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5C1AA630" ContentType="image/p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ЭтаКнига" defaultThemeVersion="124226"/>
  <workbookProtection workbookPassword="EAF9" lockStructure="1"/>
  <bookViews>
    <workbookView xWindow="0" yWindow="0" windowWidth="21720" windowHeight="8160" tabRatio="594" firstSheet="1" activeTab="1"/>
  </bookViews>
  <sheets>
    <sheet name="Расчет" sheetId="3" state="veryHidden" r:id="rId1"/>
    <sheet name="Калькулятор_от дохода" sheetId="10" r:id="rId2"/>
    <sheet name="Отправить расчет" sheetId="21" r:id="rId3"/>
    <sheet name="График платежей" sheetId="20" r:id="rId4"/>
    <sheet name="Справочники и промежут.расчет" sheetId="12" state="hidden" r:id="rId5"/>
    <sheet name="Расчет по доходу заемщика" sheetId="11" state="hidden" r:id="rId6"/>
    <sheet name="Календарь" sheetId="22" state="hidden" r:id="rId7"/>
    <sheet name="Тарифы СК" sheetId="23" state="hidden" r:id="rId8"/>
    <sheet name="Параметры" sheetId="1" state="hidden" r:id="rId9"/>
    <sheet name="Печать" sheetId="9" state="hidden" r:id="rId10"/>
    <sheet name="График_польз.срок" sheetId="13" state="hidden" r:id="rId11"/>
    <sheet name="График_180" sheetId="14" state="hidden" r:id="rId12"/>
    <sheet name="График_240" sheetId="15" state="hidden" r:id="rId13"/>
    <sheet name="График_300" sheetId="16" state="hidden" r:id="rId14"/>
    <sheet name="График_360" sheetId="17" state="hidden" r:id="rId15"/>
    <sheet name="Прогноз переменной ставки" sheetId="18" state="hidden" r:id="rId16"/>
    <sheet name="Графики" sheetId="6" state="veryHidden" r:id="rId17"/>
    <sheet name="ШаблонПечати" sheetId="8" state="veryHidden" r:id="rId18"/>
    <sheet name="Справочник" sheetId="2" state="hidden" r:id="rId19"/>
    <sheet name="Инструкция" sheetId="7" state="hidden" r:id="rId20"/>
    <sheet name="Лист1" sheetId="19" state="hidden" r:id="rId21"/>
    <sheet name="Лист2" sheetId="24" state="hidden" r:id="rId22"/>
    <sheet name="Лист3" sheetId="25" state="hidden" r:id="rId23"/>
  </sheets>
  <definedNames>
    <definedName name="AgreementDate">Параметры!$F$8</definedName>
    <definedName name="AgreementNo">Параметры!$F$6</definedName>
    <definedName name="Birth_Date">Параметры!#REF!</definedName>
    <definedName name="Data_CJZ">Параметры!#REF!</definedName>
    <definedName name="DecCell">Графики!$B$2</definedName>
    <definedName name="FactPeriods">Параметры!$H$39</definedName>
    <definedName name="FactPeriodsSelf">Параметры!#REF!</definedName>
    <definedName name="FactPeriodsSubs">Параметры!#REF!</definedName>
    <definedName name="FactTerm">Параметры!$H$24</definedName>
    <definedName name="FIO">Параметры!$F$4</definedName>
    <definedName name="FirstSelfPayment">Параметры!#REF!</definedName>
    <definedName name="GiveDate">Параметры!$H$14</definedName>
    <definedName name="Info">Параметры!$D$36</definedName>
    <definedName name="insur">Параметры!$H$26</definedName>
    <definedName name="KD_period">Параметры!$H$22</definedName>
    <definedName name="KZ">Параметры!#REF!</definedName>
    <definedName name="Label_1_1">Печать!$D$8</definedName>
    <definedName name="Label_1_2">Печать!$D$12</definedName>
    <definedName name="Label_1_3">Печать!$H$8</definedName>
    <definedName name="Label_1_4">Печать!$H$9</definedName>
    <definedName name="Label_1_5">Печать!$H$12</definedName>
    <definedName name="Label_1_6">Печать!$H$13</definedName>
    <definedName name="Label_1_7">Печать!$D$13</definedName>
    <definedName name="Label_2_1">#REF!</definedName>
    <definedName name="Label_2_2">#REF!</definedName>
    <definedName name="Label_2_3">#REF!</definedName>
    <definedName name="Label_2_4">#REF!</definedName>
    <definedName name="Label_2_5">#REF!</definedName>
    <definedName name="Label_2_6">#REF!</definedName>
    <definedName name="MaxCredSumm">Параметры!#REF!</definedName>
    <definedName name="MaxPeriods">Параметры!#REF!</definedName>
    <definedName name="MaxSelfCredSumm">Параметры!#REF!</definedName>
    <definedName name="MonthlyIncome">Параметры!#REF!</definedName>
    <definedName name="MortgageSum">Параметры!#REF!</definedName>
    <definedName name="MosprimeDate">Параметры!#REF!</definedName>
    <definedName name="MosprimeFactor">Параметры!#REF!</definedName>
    <definedName name="PrintAgreementDate">Печать!$F$5</definedName>
    <definedName name="PrintAgreementNo">Печать!$F$4</definedName>
    <definedName name="PrintFIO">Печать!$F$3</definedName>
    <definedName name="RndCell">Графики!$B$4</definedName>
    <definedName name="RoundMethod">Параметры!#REF!</definedName>
    <definedName name="SelfCredSumm">Параметры!#REF!</definedName>
    <definedName name="spravka">Параметры!$H$28</definedName>
    <definedName name="Srok_CJZ">Параметры!#REF!</definedName>
    <definedName name="stavka">Параметры!$H$24</definedName>
    <definedName name="SubsCredSumm">Параметры!$H$20</definedName>
    <definedName name="TotCredSumm">Параметры!#REF!</definedName>
    <definedName name="TZZ">Параметры!#REF!</definedName>
    <definedName name="Z_A6ED9047_BF5F_4715_989F_6B73F8A8D111_.wvu.Cols" localSheetId="8" hidden="1">Параметры!$L:$L</definedName>
    <definedName name="Z_A6ED9047_BF5F_4715_989F_6B73F8A8D111_.wvu.Cols" localSheetId="0" hidden="1">Расчет!$Z:$Z,Расчет!$AC:$AC</definedName>
    <definedName name="Z_A6ED9047_BF5F_4715_989F_6B73F8A8D111_.wvu.PrintArea" localSheetId="1" hidden="1">'Калькулятор_от дохода'!$L$3:$W$133</definedName>
    <definedName name="Z_A6ED9047_BF5F_4715_989F_6B73F8A8D111_.wvu.Rows" localSheetId="1" hidden="1">'Калькулятор_от дохода'!$169:$263</definedName>
    <definedName name="Z_A6ED9047_BF5F_4715_989F_6B73F8A8D111_.wvu.Rows" localSheetId="8" hidden="1">Параметры!$4:$10</definedName>
    <definedName name="Z_A6ED9047_BF5F_4715_989F_6B73F8A8D111_.wvu.Rows" localSheetId="9" hidden="1">Печать!$10:$12</definedName>
    <definedName name="Алтайский_край">'Калькулятор_от дохода'!$AJ$186</definedName>
    <definedName name="Амурская_область">'Калькулятор_от дохода'!$AK$186</definedName>
    <definedName name="Архангельская_область">'Калькулятор_от дохода'!$AL$186</definedName>
    <definedName name="Астраханская_область">'Калькулятор_от дохода'!$AM$186</definedName>
    <definedName name="Белгородская_область">'Калькулятор_от дохода'!$AN$186</definedName>
    <definedName name="Брянская_область">'Калькулятор_от дохода'!$AO$186</definedName>
    <definedName name="Владимирская_область">'Калькулятор_от дохода'!$AP$186</definedName>
    <definedName name="Волгоградская_область">'Калькулятор_от дохода'!$AQ$186:$AQ$189</definedName>
    <definedName name="Вологодская_область">'Калькулятор_от дохода'!$AR$186</definedName>
    <definedName name="Воронежская_область">'Калькулятор_от дохода'!$AS$186:$AS$189</definedName>
    <definedName name="г.Москва">'Калькулятор_от дохода'!$AT$186:$AT$212</definedName>
    <definedName name="г.Санкт_Петербург">'Калькулятор_от дохода'!$AU$186:$AU$192</definedName>
    <definedName name="Еврейская_авт.область">'Калькулятор_от дохода'!$AV$186</definedName>
    <definedName name="Забайкальский_край">'Калькулятор_от дохода'!$AW$186</definedName>
    <definedName name="Ивановская_область">'Калькулятор_от дохода'!$AX$186</definedName>
    <definedName name="Иное">'Справочники и промежут.расчет'!$O$109:$S$116</definedName>
    <definedName name="Иркутская_область">'Калькулятор_от дохода'!$AY$186:$AY$189</definedName>
    <definedName name="Кабардино_Балкарская_Республика">'Калькулятор_от дохода'!$AZ$186</definedName>
    <definedName name="Калининградская_область">'Калькулятор_от дохода'!$BA$186:$BA$187</definedName>
    <definedName name="Калужская_область">'Калькулятор_от дохода'!$BB$186</definedName>
    <definedName name="Камчатский_край">'Калькулятор_от дохода'!$BC$186</definedName>
    <definedName name="Карачаево_Черкесская_Республика">'Калькулятор_от дохода'!$BD$186</definedName>
    <definedName name="Кемеровская_область">'Калькулятор_от дохода'!$BE$186:$BE$187</definedName>
    <definedName name="Кировская_область">'Калькулятор_от дохода'!$BF$186</definedName>
    <definedName name="Костромская_область">'Калькулятор_от дохода'!$BG$186</definedName>
    <definedName name="Краснодарский_край">'Калькулятор_от дохода'!$BH$186:$BH$194</definedName>
    <definedName name="Красноярский_край">'Калькулятор_от дохода'!$BI$186:$BI$190</definedName>
    <definedName name="Курганская_область">'Калькулятор_от дохода'!$BJ$186</definedName>
    <definedName name="Курская_область">'Калькулятор_от дохода'!$BK$186</definedName>
    <definedName name="Ленинградская_область">'Калькулятор_от дохода'!$BL$186</definedName>
    <definedName name="Липецкая_область">'Калькулятор_от дохода'!$BM$186</definedName>
    <definedName name="ЛО">'Справочники и промежут.расчет'!$T$109:$X$116</definedName>
    <definedName name="Магаданская_область">'Калькулятор_от дохода'!$BN$186</definedName>
    <definedName name="Москва">'Справочники и промежут.расчет'!$J$109:$N$116</definedName>
    <definedName name="Московская_область">'Калькулятор_от дохода'!$BO$186</definedName>
    <definedName name="Мурманская_область">'Калькулятор_от дохода'!$BP$186</definedName>
    <definedName name="Ненецкий_авт.округ">'Калькулятор_от дохода'!$BQ$186</definedName>
    <definedName name="Нижегородская_область">'Калькулятор_от дохода'!$BR$186:$BR$188</definedName>
    <definedName name="Новгородская_область">'Калькулятор_от дохода'!$BS$186:$BS$187</definedName>
    <definedName name="Новосибирская_область">'Калькулятор_от дохода'!$BT$186:$BT$194</definedName>
    <definedName name="_xlnm.Print_Area" localSheetId="1">'Калькулятор_от дохода'!$L$3:$W$143</definedName>
    <definedName name="Омская_область">'Калькулятор_от дохода'!$BU$186</definedName>
    <definedName name="Оренбургская_область">'Калькулятор_от дохода'!$BV$186</definedName>
    <definedName name="Орловская_область">'Калькулятор_от дохода'!$BW$186</definedName>
    <definedName name="Пензенская_область">'Калькулятор_от дохода'!$BX$186:$BX$188</definedName>
    <definedName name="Пермский_край">'Калькулятор_от дохода'!$BY$186:$BY$187</definedName>
    <definedName name="Праздники">OFFSET(Календарь!$A$2,,,COUNTA(Календарь!$A$2:$A$200))</definedName>
    <definedName name="Приморский_край">'Калькулятор_от дохода'!$BZ$186:$BZ$191</definedName>
    <definedName name="Псковская_область">'Калькулятор_от дохода'!$CA$186</definedName>
    <definedName name="Рабочие_дни">OFFSET(Календарь!$D$2,,,COUNTA(Календарь!$D$2:$D$200))</definedName>
    <definedName name="Регион">'Калькулятор_от дохода'!$M$181:$M$263</definedName>
    <definedName name="Республика_Адыгея">'Калькулятор_от дохода'!$CB$186</definedName>
    <definedName name="Республика_Алтай">'Калькулятор_от дохода'!$CC$186</definedName>
    <definedName name="Республика_Башкортостан">'Калькулятор_от дохода'!$CD$186:$CD$188</definedName>
    <definedName name="Республика_Бурятия">'Калькулятор_от дохода'!$CE$186</definedName>
    <definedName name="Республика_Дагестан">'Калькулятор_от дохода'!$CF$186</definedName>
    <definedName name="Республика_Ингушетия">'Калькулятор_от дохода'!$CG$186</definedName>
    <definedName name="Республика_Калмыкия">'Калькулятор_от дохода'!$CH$186</definedName>
    <definedName name="Республика_Карелия">'Калькулятор_от дохода'!$CI$186</definedName>
    <definedName name="Республика_Коми">'Калькулятор_от дохода'!$CJ$186</definedName>
    <definedName name="Республика_Марий_Эл">'Калькулятор_от дохода'!$CK$186</definedName>
    <definedName name="Республика_Мордовия">'Калькулятор_от дохода'!$CL$186</definedName>
    <definedName name="Республика_Саха__Якутия">'Калькулятор_от дохода'!$CM$186</definedName>
    <definedName name="Республика_Северная_Осетия___Алания">'Калькулятор_от дохода'!$CN$186</definedName>
    <definedName name="Республика_Татарстан">'Калькулятор_от дохода'!$CO$186:$CO$191</definedName>
    <definedName name="Республика_Тыва">'Калькулятор_от дохода'!$CP$186</definedName>
    <definedName name="Республика_Хакасия">'Калькулятор_от дохода'!$CQ$186</definedName>
    <definedName name="Ростовская_область">'Калькулятор_от дохода'!$CR$186:$CR$188</definedName>
    <definedName name="Рязанская_область">'Калькулятор_от дохода'!$CS$186</definedName>
    <definedName name="Самарская_область">'Калькулятор_от дохода'!$CT$186:$CT$188</definedName>
    <definedName name="Саратовская_область">'Калькулятор_от дохода'!$CU$186:$CU$188</definedName>
    <definedName name="Сахалинская_область">'Калькулятор_от дохода'!$CV$186</definedName>
    <definedName name="Свердловская_область">'Калькулятор_от дохода'!$CW$186:$CW$188</definedName>
    <definedName name="Смоленская_область">'Калькулятор_от дохода'!$CX$186</definedName>
    <definedName name="Ставропольский_край">'Калькулятор_от дохода'!$CY$186</definedName>
    <definedName name="Тамбовская_область">'Калькулятор_от дохода'!$CZ$186</definedName>
    <definedName name="Тверская_область">'Калькулятор_от дохода'!$DA$186</definedName>
    <definedName name="Томская_область">'Калькулятор_от дохода'!$DB$186</definedName>
    <definedName name="Тульская_область">'Калькулятор_от дохода'!$DC$186</definedName>
    <definedName name="Тюменская_область">'Калькулятор_от дохода'!$DD$186:$DD$191</definedName>
    <definedName name="Удмуртская_Республика">'Калькулятор_от дохода'!$DE$186</definedName>
    <definedName name="Ульяновская_область">'Калькулятор_от дохода'!$DF$186</definedName>
    <definedName name="Хабаровский_край">'Калькулятор_от дохода'!$DG$186:$DG$188</definedName>
    <definedName name="Ханты_Мансийский_авт.округ___Югра">'Калькулятор_от дохода'!$DH$186</definedName>
    <definedName name="Челябинская_область">'Калькулятор_от дохода'!$DI$186:$DI$191</definedName>
    <definedName name="Чеченская_Республика">'Калькулятор_от дохода'!$DJ$186</definedName>
    <definedName name="Чувашская_Республика">'Калькулятор_от дохода'!$DK$186</definedName>
    <definedName name="Чукотский_авт.округ">'Калькулятор_от дохода'!$DL$186</definedName>
    <definedName name="Ямало_Ненецкий_авт.округ">'Калькулятор_от дохода'!$DM$186</definedName>
    <definedName name="Ярославская_область">'Калькулятор_от дохода'!$DN$186</definedName>
  </definedNames>
  <calcPr calcId="145621"/>
  <customWorkbookViews>
    <customWorkbookView name="Батанов Владимир Вячеславович - Личное представление" guid="{A6ED9047-BF5F-4715-989F-6B73F8A8D111}" mergeInterval="0" personalView="1" maximized="1" windowWidth="1916" windowHeight="865" tabRatio="922" activeSheetId="10"/>
  </customWorkbookViews>
</workbook>
</file>

<file path=xl/calcChain.xml><?xml version="1.0" encoding="utf-8"?>
<calcChain xmlns="http://schemas.openxmlformats.org/spreadsheetml/2006/main">
  <c r="Q40" i="12" l="1"/>
  <c r="Q39" i="12"/>
  <c r="Q38" i="12"/>
  <c r="R59" i="10"/>
  <c r="N37" i="12" l="1"/>
  <c r="K37" i="12" l="1"/>
  <c r="J37" i="12"/>
  <c r="J40" i="12"/>
  <c r="J39" i="12"/>
  <c r="J38" i="12"/>
  <c r="R105" i="10"/>
  <c r="R65" i="10" l="1"/>
  <c r="S74" i="12"/>
  <c r="N40" i="12"/>
  <c r="N39" i="12"/>
  <c r="N38" i="12"/>
  <c r="M38" i="12"/>
  <c r="M39" i="12"/>
  <c r="M40" i="12"/>
  <c r="M37" i="12"/>
  <c r="K40" i="12"/>
  <c r="K39" i="12"/>
  <c r="K38" i="12"/>
  <c r="N29" i="10" l="1"/>
  <c r="N50" i="10" l="1"/>
  <c r="R50" i="10" s="1"/>
  <c r="B49" i="23" l="1"/>
  <c r="C49" i="23"/>
  <c r="B50" i="23"/>
  <c r="C50" i="23"/>
  <c r="B51" i="23"/>
  <c r="C51" i="23"/>
  <c r="B52" i="23"/>
  <c r="C52" i="23"/>
  <c r="B53" i="23"/>
  <c r="C53" i="23"/>
  <c r="X119" i="12" l="1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R29" i="10" l="1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R57" i="10"/>
  <c r="N145" i="10"/>
  <c r="S113" i="12"/>
  <c r="R113" i="12"/>
  <c r="Q113" i="12"/>
  <c r="P113" i="12"/>
  <c r="O113" i="12"/>
  <c r="X110" i="12"/>
  <c r="W110" i="12"/>
  <c r="V110" i="12"/>
  <c r="U110" i="12"/>
  <c r="T110" i="12"/>
  <c r="N110" i="12"/>
  <c r="M110" i="12"/>
  <c r="L110" i="12"/>
  <c r="K110" i="12"/>
  <c r="J110" i="12"/>
  <c r="X109" i="12"/>
  <c r="W109" i="12"/>
  <c r="V109" i="12"/>
  <c r="U109" i="12"/>
  <c r="T109" i="12"/>
  <c r="N109" i="12"/>
  <c r="M109" i="12"/>
  <c r="L109" i="12"/>
  <c r="K109" i="12"/>
  <c r="J109" i="12"/>
  <c r="E76" i="11"/>
  <c r="E40" i="11"/>
  <c r="P2" i="20"/>
  <c r="C19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I152" i="20" s="1"/>
  <c r="G152" i="20" s="1"/>
  <c r="H152" i="20" s="1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I184" i="20" s="1"/>
  <c r="G184" i="20" s="1"/>
  <c r="H184" i="20" s="1"/>
  <c r="L185" i="20"/>
  <c r="L186" i="20"/>
  <c r="L187" i="20"/>
  <c r="L188" i="20"/>
  <c r="L189" i="20"/>
  <c r="L190" i="20"/>
  <c r="L191" i="20"/>
  <c r="L192" i="20"/>
  <c r="I192" i="20" s="1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I207" i="20" s="1"/>
  <c r="G207" i="20" s="1"/>
  <c r="H207" i="20" s="1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I239" i="20" s="1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I255" i="20" s="1"/>
  <c r="L256" i="20"/>
  <c r="L257" i="20"/>
  <c r="L258" i="20"/>
  <c r="L259" i="20"/>
  <c r="L260" i="20"/>
  <c r="L261" i="20"/>
  <c r="L262" i="20"/>
  <c r="L263" i="20"/>
  <c r="I263" i="20" s="1"/>
  <c r="L264" i="20"/>
  <c r="L265" i="20"/>
  <c r="L266" i="20"/>
  <c r="L267" i="20"/>
  <c r="L268" i="20"/>
  <c r="L269" i="20"/>
  <c r="L270" i="20"/>
  <c r="L271" i="20"/>
  <c r="I271" i="20" s="1"/>
  <c r="L272" i="20"/>
  <c r="L273" i="20"/>
  <c r="L274" i="20"/>
  <c r="L275" i="20"/>
  <c r="L276" i="20"/>
  <c r="L277" i="20"/>
  <c r="L278" i="20"/>
  <c r="L279" i="20"/>
  <c r="I279" i="20" s="1"/>
  <c r="G279" i="20" s="1"/>
  <c r="H279" i="20" s="1"/>
  <c r="L280" i="20"/>
  <c r="L281" i="20"/>
  <c r="L282" i="20"/>
  <c r="L283" i="20"/>
  <c r="L284" i="20"/>
  <c r="L285" i="20"/>
  <c r="L286" i="20"/>
  <c r="L287" i="20"/>
  <c r="I287" i="20" s="1"/>
  <c r="L288" i="20"/>
  <c r="L289" i="20"/>
  <c r="L290" i="20"/>
  <c r="L291" i="20"/>
  <c r="L292" i="20"/>
  <c r="L293" i="20"/>
  <c r="L294" i="20"/>
  <c r="L295" i="20"/>
  <c r="I295" i="20" s="1"/>
  <c r="K295" i="20" s="1"/>
  <c r="L296" i="20"/>
  <c r="L297" i="20"/>
  <c r="L298" i="20"/>
  <c r="L299" i="20"/>
  <c r="L300" i="20"/>
  <c r="L301" i="20"/>
  <c r="L302" i="20"/>
  <c r="L303" i="20"/>
  <c r="I303" i="20" s="1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I319" i="20" s="1"/>
  <c r="L320" i="20"/>
  <c r="I320" i="20" s="1"/>
  <c r="L321" i="20"/>
  <c r="L322" i="20"/>
  <c r="L323" i="20"/>
  <c r="L324" i="20"/>
  <c r="L325" i="20"/>
  <c r="L326" i="20"/>
  <c r="L327" i="20"/>
  <c r="I327" i="20" s="1"/>
  <c r="L328" i="20"/>
  <c r="L329" i="20"/>
  <c r="L330" i="20"/>
  <c r="L331" i="20"/>
  <c r="L332" i="20"/>
  <c r="L333" i="20"/>
  <c r="L334" i="20"/>
  <c r="L335" i="20"/>
  <c r="I335" i="20" s="1"/>
  <c r="L336" i="20"/>
  <c r="I336" i="20" s="1"/>
  <c r="G336" i="20" s="1"/>
  <c r="H336" i="20" s="1"/>
  <c r="L337" i="20"/>
  <c r="L338" i="20"/>
  <c r="L339" i="20"/>
  <c r="L340" i="20"/>
  <c r="L341" i="20"/>
  <c r="L342" i="20"/>
  <c r="L343" i="20"/>
  <c r="I343" i="20" s="1"/>
  <c r="L344" i="20"/>
  <c r="L345" i="20"/>
  <c r="L346" i="20"/>
  <c r="L347" i="20"/>
  <c r="L348" i="20"/>
  <c r="L349" i="20"/>
  <c r="L350" i="20"/>
  <c r="L351" i="20"/>
  <c r="I351" i="20" s="1"/>
  <c r="L352" i="20"/>
  <c r="L353" i="20"/>
  <c r="L354" i="20"/>
  <c r="L355" i="20"/>
  <c r="L356" i="20"/>
  <c r="L357" i="20"/>
  <c r="L358" i="20"/>
  <c r="L359" i="20"/>
  <c r="I359" i="20" s="1"/>
  <c r="L360" i="20"/>
  <c r="L361" i="20"/>
  <c r="L362" i="20"/>
  <c r="L363" i="20"/>
  <c r="L364" i="20"/>
  <c r="L365" i="20"/>
  <c r="L366" i="20"/>
  <c r="L367" i="20"/>
  <c r="I367" i="20" s="1"/>
  <c r="L368" i="20"/>
  <c r="L369" i="20"/>
  <c r="L370" i="20"/>
  <c r="L371" i="20"/>
  <c r="L372" i="20"/>
  <c r="L373" i="20"/>
  <c r="L374" i="20"/>
  <c r="L16" i="20"/>
  <c r="I16" i="20" s="1"/>
  <c r="L15" i="20"/>
  <c r="I15" i="20"/>
  <c r="B14" i="20" s="1"/>
  <c r="C14" i="20" s="1"/>
  <c r="I365" i="20" s="1"/>
  <c r="G365" i="20" s="1"/>
  <c r="I176" i="20"/>
  <c r="G176" i="20" s="1"/>
  <c r="I270" i="20"/>
  <c r="G270" i="20" s="1"/>
  <c r="H270" i="20" s="1"/>
  <c r="I254" i="20"/>
  <c r="G254" i="20" s="1"/>
  <c r="H254" i="20" s="1"/>
  <c r="I108" i="20"/>
  <c r="G108" i="20" s="1"/>
  <c r="H108" i="20" s="1"/>
  <c r="I346" i="20"/>
  <c r="I21" i="20"/>
  <c r="I45" i="20"/>
  <c r="G45" i="20" s="1"/>
  <c r="H45" i="20" s="1"/>
  <c r="I53" i="20"/>
  <c r="G53" i="20" s="1"/>
  <c r="H53" i="20" s="1"/>
  <c r="I121" i="20"/>
  <c r="G121" i="20" s="1"/>
  <c r="H121" i="20" s="1"/>
  <c r="I217" i="20"/>
  <c r="G217" i="20" s="1"/>
  <c r="H217" i="20" s="1"/>
  <c r="I22" i="20"/>
  <c r="G22" i="20" s="1"/>
  <c r="H22" i="20" s="1"/>
  <c r="I46" i="20"/>
  <c r="G46" i="20" s="1"/>
  <c r="H46" i="20" s="1"/>
  <c r="I110" i="20"/>
  <c r="G110" i="20" s="1"/>
  <c r="H110" i="20" s="1"/>
  <c r="I55" i="20"/>
  <c r="G55" i="20" s="1"/>
  <c r="H55" i="20" s="1"/>
  <c r="I59" i="20"/>
  <c r="I119" i="20"/>
  <c r="G119" i="20" s="1"/>
  <c r="I143" i="20"/>
  <c r="G143" i="20" s="1"/>
  <c r="I151" i="20"/>
  <c r="G151" i="20" s="1"/>
  <c r="H151" i="20" s="1"/>
  <c r="I283" i="20"/>
  <c r="G283" i="20" s="1"/>
  <c r="H283" i="20" s="1"/>
  <c r="I311" i="20"/>
  <c r="I315" i="20"/>
  <c r="G315" i="20" s="1"/>
  <c r="H315" i="20" s="1"/>
  <c r="I314" i="20"/>
  <c r="I363" i="20"/>
  <c r="G363" i="20" s="1"/>
  <c r="H363" i="20" s="1"/>
  <c r="I353" i="20"/>
  <c r="I294" i="20"/>
  <c r="I250" i="20"/>
  <c r="I242" i="20"/>
  <c r="G242" i="20" s="1"/>
  <c r="I68" i="20"/>
  <c r="N51" i="10"/>
  <c r="N52" i="10"/>
  <c r="N53" i="10"/>
  <c r="N54" i="10"/>
  <c r="N55" i="10"/>
  <c r="N56" i="10"/>
  <c r="Z180" i="12"/>
  <c r="Z74" i="12"/>
  <c r="N74" i="12"/>
  <c r="U74" i="12"/>
  <c r="V12" i="10"/>
  <c r="V11" i="10"/>
  <c r="V13" i="10"/>
  <c r="V158" i="12"/>
  <c r="O121" i="12"/>
  <c r="P120" i="12" s="1"/>
  <c r="I18" i="12"/>
  <c r="I17" i="12"/>
  <c r="I16" i="12"/>
  <c r="I15" i="12"/>
  <c r="I14" i="12"/>
  <c r="I13" i="12"/>
  <c r="I12" i="12"/>
  <c r="I11" i="12"/>
  <c r="I10" i="12"/>
  <c r="I9" i="12"/>
  <c r="I8" i="12"/>
  <c r="B11" i="23"/>
  <c r="C11" i="23"/>
  <c r="D3" i="23"/>
  <c r="X39" i="20" s="1"/>
  <c r="C5" i="23"/>
  <c r="C6" i="23"/>
  <c r="C7" i="23"/>
  <c r="C8" i="23"/>
  <c r="C9" i="23"/>
  <c r="C10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" i="23"/>
  <c r="B16" i="23"/>
  <c r="B5" i="23"/>
  <c r="B6" i="23"/>
  <c r="B7" i="23"/>
  <c r="B8" i="23"/>
  <c r="B9" i="23"/>
  <c r="B10" i="23"/>
  <c r="B12" i="23"/>
  <c r="B13" i="23"/>
  <c r="B14" i="23"/>
  <c r="B15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" i="23"/>
  <c r="U10" i="20"/>
  <c r="Y15" i="20"/>
  <c r="N15" i="20" s="1"/>
  <c r="R15" i="20"/>
  <c r="X111" i="20"/>
  <c r="X303" i="20"/>
  <c r="X63" i="20"/>
  <c r="X315" i="20"/>
  <c r="X123" i="20"/>
  <c r="X339" i="20"/>
  <c r="X291" i="20"/>
  <c r="X195" i="20"/>
  <c r="X327" i="20"/>
  <c r="X279" i="20"/>
  <c r="X183" i="20"/>
  <c r="E15" i="20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" i="22"/>
  <c r="M15" i="20"/>
  <c r="M16" i="20"/>
  <c r="G68" i="20"/>
  <c r="H68" i="20" s="1"/>
  <c r="H119" i="20"/>
  <c r="H143" i="20"/>
  <c r="H176" i="20"/>
  <c r="G239" i="20"/>
  <c r="H239" i="20" s="1"/>
  <c r="H242" i="20"/>
  <c r="G250" i="20"/>
  <c r="H250" i="20" s="1"/>
  <c r="G255" i="20"/>
  <c r="H255" i="20" s="1"/>
  <c r="G263" i="20"/>
  <c r="H263" i="20" s="1"/>
  <c r="G271" i="20"/>
  <c r="H271" i="20" s="1"/>
  <c r="G287" i="20"/>
  <c r="H287" i="20" s="1"/>
  <c r="G294" i="20"/>
  <c r="H294" i="20" s="1"/>
  <c r="G295" i="20"/>
  <c r="H295" i="20" s="1"/>
  <c r="G303" i="20"/>
  <c r="H303" i="20" s="1"/>
  <c r="G311" i="20"/>
  <c r="H311" i="20" s="1"/>
  <c r="G314" i="20"/>
  <c r="H314" i="20" s="1"/>
  <c r="G319" i="20"/>
  <c r="H319" i="20" s="1"/>
  <c r="G327" i="20"/>
  <c r="H327" i="20"/>
  <c r="G335" i="20"/>
  <c r="H335" i="20" s="1"/>
  <c r="G343" i="20"/>
  <c r="H343" i="20"/>
  <c r="G346" i="20"/>
  <c r="H346" i="20" s="1"/>
  <c r="G351" i="20"/>
  <c r="H351" i="20" s="1"/>
  <c r="G359" i="20"/>
  <c r="H359" i="20"/>
  <c r="H365" i="20"/>
  <c r="G367" i="20"/>
  <c r="H367" i="20" s="1"/>
  <c r="J22" i="20"/>
  <c r="K15" i="20"/>
  <c r="J15" i="20"/>
  <c r="G15" i="20"/>
  <c r="H15" i="20" s="1"/>
  <c r="U15" i="20"/>
  <c r="K255" i="20"/>
  <c r="K16" i="20"/>
  <c r="K315" i="20"/>
  <c r="Y180" i="12"/>
  <c r="Y195" i="12" s="1"/>
  <c r="X180" i="12"/>
  <c r="Y74" i="12"/>
  <c r="W74" i="12"/>
  <c r="X74" i="12"/>
  <c r="U180" i="12"/>
  <c r="U184" i="12" s="1"/>
  <c r="U189" i="12"/>
  <c r="E27" i="11"/>
  <c r="J70" i="12" s="1"/>
  <c r="L70" i="12" s="1"/>
  <c r="S158" i="12"/>
  <c r="W180" i="12"/>
  <c r="V180" i="12"/>
  <c r="V74" i="12"/>
  <c r="W73" i="12"/>
  <c r="V73" i="12"/>
  <c r="U73" i="12"/>
  <c r="N139" i="10"/>
  <c r="R48" i="10"/>
  <c r="R158" i="12"/>
  <c r="I116" i="12"/>
  <c r="I92" i="12"/>
  <c r="S35" i="12"/>
  <c r="T180" i="12"/>
  <c r="T182" i="12" s="1"/>
  <c r="T74" i="12"/>
  <c r="T75" i="12" s="1"/>
  <c r="E2" i="11"/>
  <c r="I70" i="12" s="1"/>
  <c r="S75" i="12" s="1"/>
  <c r="M74" i="12"/>
  <c r="M75" i="12" s="1"/>
  <c r="E84" i="11"/>
  <c r="E25" i="11"/>
  <c r="I74" i="12" s="1"/>
  <c r="W75" i="12" s="1"/>
  <c r="R74" i="12"/>
  <c r="E26" i="11"/>
  <c r="P74" i="12" s="1"/>
  <c r="Q74" i="12"/>
  <c r="Q75" i="12" s="1"/>
  <c r="J149" i="12"/>
  <c r="O109" i="12"/>
  <c r="E3" i="11"/>
  <c r="I109" i="12"/>
  <c r="E66" i="11"/>
  <c r="E65" i="11" s="1"/>
  <c r="T140" i="10" s="1"/>
  <c r="S110" i="12"/>
  <c r="R110" i="12"/>
  <c r="Q110" i="12"/>
  <c r="P110" i="12"/>
  <c r="O110" i="12"/>
  <c r="S109" i="12"/>
  <c r="R109" i="12"/>
  <c r="Q109" i="12"/>
  <c r="P109" i="12"/>
  <c r="X113" i="12"/>
  <c r="W113" i="12"/>
  <c r="V113" i="12"/>
  <c r="U113" i="12"/>
  <c r="T113" i="12"/>
  <c r="N113" i="12"/>
  <c r="M113" i="12"/>
  <c r="L113" i="12"/>
  <c r="K113" i="12"/>
  <c r="J113" i="12"/>
  <c r="P180" i="12"/>
  <c r="P190" i="12" s="1"/>
  <c r="O180" i="12"/>
  <c r="O181" i="12" s="1"/>
  <c r="N180" i="12"/>
  <c r="M180" i="12"/>
  <c r="L180" i="12"/>
  <c r="L185" i="12" s="1"/>
  <c r="K180" i="12"/>
  <c r="K182" i="12" s="1"/>
  <c r="R180" i="12"/>
  <c r="S180" i="12"/>
  <c r="E23" i="21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AC196" i="20"/>
  <c r="AC195" i="20"/>
  <c r="AC194" i="20"/>
  <c r="AC193" i="20"/>
  <c r="AC192" i="20"/>
  <c r="AC191" i="20"/>
  <c r="AC190" i="20"/>
  <c r="AC189" i="20"/>
  <c r="AC188" i="20"/>
  <c r="AC187" i="20"/>
  <c r="AC186" i="20"/>
  <c r="AC185" i="20"/>
  <c r="AC184" i="20"/>
  <c r="AC183" i="20"/>
  <c r="AC182" i="20"/>
  <c r="AC181" i="20"/>
  <c r="AC180" i="20"/>
  <c r="AC179" i="20"/>
  <c r="AC178" i="20"/>
  <c r="AC177" i="20"/>
  <c r="AC176" i="20"/>
  <c r="AC175" i="20"/>
  <c r="AC174" i="20"/>
  <c r="AC173" i="20"/>
  <c r="AC172" i="20"/>
  <c r="AC171" i="20"/>
  <c r="AC170" i="20"/>
  <c r="AC169" i="20"/>
  <c r="AC168" i="20"/>
  <c r="AC167" i="20"/>
  <c r="AC166" i="20"/>
  <c r="AC165" i="20"/>
  <c r="AC164" i="20"/>
  <c r="AC163" i="20"/>
  <c r="AC162" i="20"/>
  <c r="AC161" i="20"/>
  <c r="AC160" i="20"/>
  <c r="AC159" i="20"/>
  <c r="AC158" i="20"/>
  <c r="AC157" i="20"/>
  <c r="AC156" i="20"/>
  <c r="AC155" i="20"/>
  <c r="AC154" i="20"/>
  <c r="AC153" i="20"/>
  <c r="AC152" i="20"/>
  <c r="AC151" i="20"/>
  <c r="AC150" i="20"/>
  <c r="AC149" i="20"/>
  <c r="AC148" i="20"/>
  <c r="AC147" i="20"/>
  <c r="AC146" i="20"/>
  <c r="AC145" i="20"/>
  <c r="AC144" i="20"/>
  <c r="AC143" i="20"/>
  <c r="AC142" i="20"/>
  <c r="AC141" i="20"/>
  <c r="AC140" i="20"/>
  <c r="AC139" i="20"/>
  <c r="AC138" i="20"/>
  <c r="AC137" i="20"/>
  <c r="AC136" i="20"/>
  <c r="AC135" i="20"/>
  <c r="AC134" i="20"/>
  <c r="AC133" i="20"/>
  <c r="AC132" i="20"/>
  <c r="AC131" i="20"/>
  <c r="AC130" i="20"/>
  <c r="AC129" i="20"/>
  <c r="AC128" i="20"/>
  <c r="AC127" i="20"/>
  <c r="AC126" i="20"/>
  <c r="AC125" i="20"/>
  <c r="AC124" i="20"/>
  <c r="AC123" i="20"/>
  <c r="AC122" i="20"/>
  <c r="AC121" i="20"/>
  <c r="AC120" i="20"/>
  <c r="AC119" i="20"/>
  <c r="AC118" i="20"/>
  <c r="AC117" i="20"/>
  <c r="AC116" i="20"/>
  <c r="AC115" i="20"/>
  <c r="AC114" i="20"/>
  <c r="AC113" i="20"/>
  <c r="AC112" i="20"/>
  <c r="AC111" i="20"/>
  <c r="AC110" i="20"/>
  <c r="AC109" i="20"/>
  <c r="AC108" i="20"/>
  <c r="AC107" i="20"/>
  <c r="AC106" i="20"/>
  <c r="AC105" i="20"/>
  <c r="AC104" i="20"/>
  <c r="AC103" i="20"/>
  <c r="AC102" i="20"/>
  <c r="AC101" i="20"/>
  <c r="AC100" i="20"/>
  <c r="AC99" i="20"/>
  <c r="AC98" i="20"/>
  <c r="AC97" i="20"/>
  <c r="AC96" i="20"/>
  <c r="AC95" i="20"/>
  <c r="AC94" i="20"/>
  <c r="AC93" i="20"/>
  <c r="AC92" i="20"/>
  <c r="AC91" i="20"/>
  <c r="AC90" i="20"/>
  <c r="AC89" i="20"/>
  <c r="AC88" i="20"/>
  <c r="AC87" i="20"/>
  <c r="AC86" i="20"/>
  <c r="AC85" i="20"/>
  <c r="AC84" i="20"/>
  <c r="AC83" i="20"/>
  <c r="AC82" i="20"/>
  <c r="AC81" i="20"/>
  <c r="AC80" i="20"/>
  <c r="AC79" i="20"/>
  <c r="AC78" i="20"/>
  <c r="AC77" i="20"/>
  <c r="AC76" i="20"/>
  <c r="AC75" i="20"/>
  <c r="AC74" i="20"/>
  <c r="AC73" i="20"/>
  <c r="AC72" i="20"/>
  <c r="AC71" i="20"/>
  <c r="AC70" i="20"/>
  <c r="AC69" i="20"/>
  <c r="AC68" i="20"/>
  <c r="AC67" i="20"/>
  <c r="AC66" i="20"/>
  <c r="AC65" i="20"/>
  <c r="AC64" i="20"/>
  <c r="AC63" i="20"/>
  <c r="AC62" i="20"/>
  <c r="AC61" i="20"/>
  <c r="AC60" i="20"/>
  <c r="AC59" i="20"/>
  <c r="AC58" i="20"/>
  <c r="AC57" i="20"/>
  <c r="AC56" i="20"/>
  <c r="AC55" i="20"/>
  <c r="AC54" i="20"/>
  <c r="AC53" i="20"/>
  <c r="AC52" i="20"/>
  <c r="AC51" i="20"/>
  <c r="AC50" i="20"/>
  <c r="AC49" i="20"/>
  <c r="AC48" i="20"/>
  <c r="AC47" i="20"/>
  <c r="AC46" i="20"/>
  <c r="AC45" i="20"/>
  <c r="AC44" i="20"/>
  <c r="AC43" i="20"/>
  <c r="AC42" i="20"/>
  <c r="AC41" i="20"/>
  <c r="AC40" i="20"/>
  <c r="AC39" i="20"/>
  <c r="AC38" i="20"/>
  <c r="AC37" i="20"/>
  <c r="AC36" i="20"/>
  <c r="AC35" i="20"/>
  <c r="AC34" i="20"/>
  <c r="Y16" i="20"/>
  <c r="AC33" i="20"/>
  <c r="AC32" i="20"/>
  <c r="AC31" i="20"/>
  <c r="AC29" i="20"/>
  <c r="AC28" i="20"/>
  <c r="AC27" i="20"/>
  <c r="AC25" i="20"/>
  <c r="AC24" i="20"/>
  <c r="AC23" i="20"/>
  <c r="AC22" i="20"/>
  <c r="AC21" i="20"/>
  <c r="AC19" i="20"/>
  <c r="E17" i="11"/>
  <c r="F51" i="11"/>
  <c r="F52" i="11" s="1"/>
  <c r="G51" i="11"/>
  <c r="G52" i="11" s="1"/>
  <c r="H51" i="11"/>
  <c r="H52" i="11" s="1"/>
  <c r="I51" i="11"/>
  <c r="I52" i="11" s="1"/>
  <c r="E51" i="11"/>
  <c r="E52" i="11" s="1"/>
  <c r="AJ169" i="10"/>
  <c r="C2" i="18"/>
  <c r="M127" i="10"/>
  <c r="E2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9" i="18"/>
  <c r="E18" i="11"/>
  <c r="D9" i="17"/>
  <c r="G117" i="17" s="1"/>
  <c r="D9" i="16"/>
  <c r="G68" i="16" s="1"/>
  <c r="D9" i="15"/>
  <c r="G255" i="15" s="1"/>
  <c r="D9" i="14"/>
  <c r="G84" i="14" s="1"/>
  <c r="D9" i="13"/>
  <c r="G160" i="13" s="1"/>
  <c r="D5" i="18"/>
  <c r="D6" i="18"/>
  <c r="D7" i="18"/>
  <c r="N113" i="10"/>
  <c r="N109" i="10"/>
  <c r="F84" i="11"/>
  <c r="G84" i="11"/>
  <c r="H84" i="11"/>
  <c r="I84" i="11"/>
  <c r="R189" i="10"/>
  <c r="E6" i="11"/>
  <c r="C20" i="12" s="1"/>
  <c r="F6" i="11"/>
  <c r="D20" i="12" s="1"/>
  <c r="G6" i="11"/>
  <c r="H6" i="11"/>
  <c r="F20" i="12" s="1"/>
  <c r="E10" i="11"/>
  <c r="E11" i="11" s="1"/>
  <c r="F10" i="11"/>
  <c r="F11" i="11" s="1"/>
  <c r="G10" i="11"/>
  <c r="G11" i="11" s="1"/>
  <c r="H10" i="11"/>
  <c r="H11" i="11" s="1"/>
  <c r="E8" i="11"/>
  <c r="F8" i="11"/>
  <c r="G8" i="11"/>
  <c r="H8" i="11"/>
  <c r="E9" i="11"/>
  <c r="F9" i="11"/>
  <c r="G9" i="11"/>
  <c r="H9" i="11"/>
  <c r="E13" i="11"/>
  <c r="F13" i="11"/>
  <c r="G13" i="11"/>
  <c r="H13" i="11"/>
  <c r="I110" i="12"/>
  <c r="I111" i="12"/>
  <c r="F66" i="11"/>
  <c r="F65" i="11" s="1"/>
  <c r="F63" i="11" s="1"/>
  <c r="F64" i="11" s="1"/>
  <c r="G66" i="11"/>
  <c r="G65" i="11" s="1"/>
  <c r="G63" i="11" s="1"/>
  <c r="G64" i="11" s="1"/>
  <c r="H66" i="11"/>
  <c r="H65" i="11" s="1"/>
  <c r="H63" i="11" s="1"/>
  <c r="H64" i="11" s="1"/>
  <c r="I66" i="11"/>
  <c r="I65" i="11" s="1"/>
  <c r="I63" i="11" s="1"/>
  <c r="I64" i="11" s="1"/>
  <c r="M132" i="10"/>
  <c r="I154" i="12"/>
  <c r="J100" i="12" s="1"/>
  <c r="I100" i="12"/>
  <c r="K100" i="12" s="1"/>
  <c r="I85" i="12"/>
  <c r="I86" i="12"/>
  <c r="I87" i="12"/>
  <c r="C1" i="18"/>
  <c r="D8" i="18"/>
  <c r="I113" i="12"/>
  <c r="I112" i="12"/>
  <c r="I89" i="12"/>
  <c r="I88" i="12"/>
  <c r="I49" i="12"/>
  <c r="I48" i="12"/>
  <c r="I46" i="12"/>
  <c r="I45" i="12"/>
  <c r="I44" i="12"/>
  <c r="I43" i="12"/>
  <c r="M126" i="10"/>
  <c r="M123" i="10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H9" i="9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H6" i="9"/>
  <c r="H7" i="9"/>
  <c r="N37" i="10"/>
  <c r="N107" i="10"/>
  <c r="AC20" i="20"/>
  <c r="AC30" i="20"/>
  <c r="L181" i="12"/>
  <c r="G233" i="13"/>
  <c r="G223" i="13"/>
  <c r="G180" i="13"/>
  <c r="G210" i="13"/>
  <c r="G214" i="13"/>
  <c r="G242" i="13"/>
  <c r="G246" i="13"/>
  <c r="G117" i="13"/>
  <c r="G251" i="13"/>
  <c r="G103" i="13"/>
  <c r="G140" i="13"/>
  <c r="G145" i="13"/>
  <c r="G183" i="13"/>
  <c r="G249" i="13"/>
  <c r="G289" i="13"/>
  <c r="G280" i="13"/>
  <c r="G106" i="15"/>
  <c r="G65" i="15"/>
  <c r="G16" i="15"/>
  <c r="G208" i="15"/>
  <c r="G155" i="15"/>
  <c r="G264" i="16"/>
  <c r="G25" i="16"/>
  <c r="G143" i="16"/>
  <c r="G227" i="16"/>
  <c r="G17" i="16"/>
  <c r="G140" i="16"/>
  <c r="G225" i="16"/>
  <c r="G24" i="16"/>
  <c r="G202" i="16"/>
  <c r="G40" i="16"/>
  <c r="G206" i="16"/>
  <c r="G59" i="16"/>
  <c r="G69" i="16"/>
  <c r="G224" i="16"/>
  <c r="G347" i="13"/>
  <c r="G357" i="13"/>
  <c r="G344" i="17"/>
  <c r="G52" i="17"/>
  <c r="G151" i="17"/>
  <c r="G350" i="13"/>
  <c r="G97" i="17"/>
  <c r="Y17" i="20"/>
  <c r="N16" i="20"/>
  <c r="G70" i="16"/>
  <c r="G134" i="16"/>
  <c r="G317" i="13"/>
  <c r="G336" i="13"/>
  <c r="G325" i="13"/>
  <c r="G270" i="17"/>
  <c r="G278" i="17"/>
  <c r="N75" i="12"/>
  <c r="N35" i="10"/>
  <c r="N61" i="10"/>
  <c r="N21" i="10"/>
  <c r="N31" i="10"/>
  <c r="N41" i="10"/>
  <c r="N33" i="10"/>
  <c r="Q16" i="20"/>
  <c r="Y18" i="20"/>
  <c r="N17" i="20"/>
  <c r="N39" i="10"/>
  <c r="AC16" i="20"/>
  <c r="AC17" i="20"/>
  <c r="AC18" i="20"/>
  <c r="AC26" i="20"/>
  <c r="P75" i="12" l="1"/>
  <c r="R75" i="12"/>
  <c r="G66" i="16"/>
  <c r="G256" i="16"/>
  <c r="H256" i="16" s="1"/>
  <c r="G48" i="16"/>
  <c r="G37" i="16"/>
  <c r="G198" i="16"/>
  <c r="G29" i="16"/>
  <c r="G194" i="16"/>
  <c r="G13" i="16"/>
  <c r="G221" i="16"/>
  <c r="G108" i="16"/>
  <c r="G12" i="16"/>
  <c r="H12" i="16" s="1"/>
  <c r="G223" i="16"/>
  <c r="H223" i="16" s="1"/>
  <c r="G111" i="16"/>
  <c r="G20" i="16"/>
  <c r="G180" i="17"/>
  <c r="L196" i="12"/>
  <c r="G187" i="17"/>
  <c r="H227" i="16"/>
  <c r="G130" i="16"/>
  <c r="H131" i="16" s="1"/>
  <c r="G190" i="16"/>
  <c r="H190" i="16" s="1"/>
  <c r="G62" i="16"/>
  <c r="H62" i="16" s="1"/>
  <c r="G16" i="16"/>
  <c r="N186" i="12"/>
  <c r="N182" i="12"/>
  <c r="G106" i="16"/>
  <c r="G300" i="16"/>
  <c r="H300" i="16" s="1"/>
  <c r="G173" i="16"/>
  <c r="G97" i="16"/>
  <c r="H97" i="16" s="1"/>
  <c r="G287" i="16"/>
  <c r="H287" i="16" s="1"/>
  <c r="G100" i="16"/>
  <c r="G25" i="17"/>
  <c r="G120" i="16"/>
  <c r="G65" i="16"/>
  <c r="L182" i="12"/>
  <c r="G248" i="16"/>
  <c r="H249" i="16" s="1"/>
  <c r="G240" i="16"/>
  <c r="H240" i="16" s="1"/>
  <c r="G31" i="16"/>
  <c r="H31" i="16" s="1"/>
  <c r="G73" i="16"/>
  <c r="G116" i="16"/>
  <c r="G159" i="16"/>
  <c r="G199" i="16"/>
  <c r="G231" i="16"/>
  <c r="G263" i="16"/>
  <c r="G295" i="16"/>
  <c r="H295" i="16" s="1"/>
  <c r="G28" i="16"/>
  <c r="H28" i="16" s="1"/>
  <c r="G71" i="16"/>
  <c r="H71" i="16" s="1"/>
  <c r="G113" i="16"/>
  <c r="G156" i="16"/>
  <c r="G197" i="16"/>
  <c r="G229" i="16"/>
  <c r="G261" i="16"/>
  <c r="H261" i="16" s="1"/>
  <c r="G293" i="16"/>
  <c r="G45" i="16"/>
  <c r="H45" i="16" s="1"/>
  <c r="G131" i="16"/>
  <c r="G210" i="16"/>
  <c r="G274" i="16"/>
  <c r="G51" i="16"/>
  <c r="G136" i="16"/>
  <c r="H136" i="16" s="1"/>
  <c r="G214" i="16"/>
  <c r="H214" i="16" s="1"/>
  <c r="G278" i="16"/>
  <c r="G80" i="16"/>
  <c r="H80" i="16" s="1"/>
  <c r="G236" i="16"/>
  <c r="G91" i="16"/>
  <c r="G244" i="16"/>
  <c r="G192" i="16"/>
  <c r="G14" i="16"/>
  <c r="G46" i="16"/>
  <c r="G78" i="16"/>
  <c r="H78" i="16" s="1"/>
  <c r="G110" i="16"/>
  <c r="G142" i="16"/>
  <c r="H143" i="16" s="1"/>
  <c r="G174" i="16"/>
  <c r="G296" i="16"/>
  <c r="G89" i="16"/>
  <c r="G211" i="16"/>
  <c r="H212" i="16" s="1"/>
  <c r="G44" i="16"/>
  <c r="G172" i="16"/>
  <c r="H172" i="16" s="1"/>
  <c r="G273" i="16"/>
  <c r="G163" i="16"/>
  <c r="G298" i="16"/>
  <c r="G302" i="16"/>
  <c r="G155" i="16"/>
  <c r="G58" i="16"/>
  <c r="H58" i="16" s="1"/>
  <c r="G154" i="16"/>
  <c r="H154" i="16" s="1"/>
  <c r="G85" i="16"/>
  <c r="G137" i="16"/>
  <c r="H137" i="16" s="1"/>
  <c r="G215" i="16"/>
  <c r="G279" i="16"/>
  <c r="G49" i="16"/>
  <c r="G135" i="16"/>
  <c r="H135" i="16" s="1"/>
  <c r="G213" i="16"/>
  <c r="G277" i="16"/>
  <c r="H277" i="16" s="1"/>
  <c r="G88" i="16"/>
  <c r="H88" i="16" s="1"/>
  <c r="G43" i="16"/>
  <c r="H43" i="16" s="1"/>
  <c r="G53" i="16"/>
  <c r="G208" i="16"/>
  <c r="G36" i="16"/>
  <c r="G79" i="16"/>
  <c r="G121" i="16"/>
  <c r="H121" i="16" s="1"/>
  <c r="G164" i="16"/>
  <c r="H164" i="16" s="1"/>
  <c r="G203" i="16"/>
  <c r="H203" i="16" s="1"/>
  <c r="G235" i="16"/>
  <c r="G267" i="16"/>
  <c r="G299" i="16"/>
  <c r="H299" i="16" s="1"/>
  <c r="G33" i="16"/>
  <c r="G76" i="16"/>
  <c r="G119" i="16"/>
  <c r="H120" i="16" s="1"/>
  <c r="G161" i="16"/>
  <c r="H162" i="16" s="1"/>
  <c r="G201" i="16"/>
  <c r="H202" i="16" s="1"/>
  <c r="G233" i="16"/>
  <c r="G265" i="16"/>
  <c r="G297" i="16"/>
  <c r="G56" i="16"/>
  <c r="G141" i="16"/>
  <c r="G218" i="16"/>
  <c r="H219" i="16" s="1"/>
  <c r="G282" i="16"/>
  <c r="H283" i="16" s="1"/>
  <c r="G61" i="16"/>
  <c r="H61" i="16" s="1"/>
  <c r="G147" i="16"/>
  <c r="G222" i="16"/>
  <c r="G286" i="16"/>
  <c r="G101" i="16"/>
  <c r="G252" i="16"/>
  <c r="G112" i="16"/>
  <c r="G260" i="16"/>
  <c r="H260" i="16" s="1"/>
  <c r="G149" i="16"/>
  <c r="G18" i="16"/>
  <c r="G50" i="16"/>
  <c r="G82" i="16"/>
  <c r="G114" i="16"/>
  <c r="H114" i="16" s="1"/>
  <c r="G146" i="16"/>
  <c r="G178" i="16"/>
  <c r="H179" i="16" s="1"/>
  <c r="G117" i="16"/>
  <c r="H117" i="16" s="1"/>
  <c r="G47" i="16"/>
  <c r="H48" i="16" s="1"/>
  <c r="G175" i="16"/>
  <c r="H175" i="16" s="1"/>
  <c r="G243" i="16"/>
  <c r="G307" i="16"/>
  <c r="G209" i="16"/>
  <c r="H209" i="16" s="1"/>
  <c r="G77" i="16"/>
  <c r="G83" i="16"/>
  <c r="H83" i="16" s="1"/>
  <c r="G238" i="16"/>
  <c r="H239" i="16" s="1"/>
  <c r="G284" i="16"/>
  <c r="H284" i="16" s="1"/>
  <c r="G64" i="16"/>
  <c r="G26" i="16"/>
  <c r="H26" i="16" s="1"/>
  <c r="G122" i="16"/>
  <c r="G139" i="16"/>
  <c r="G32" i="16"/>
  <c r="G160" i="16"/>
  <c r="H160" i="16" s="1"/>
  <c r="G171" i="16"/>
  <c r="H171" i="16" s="1"/>
  <c r="G41" i="16"/>
  <c r="H41" i="16" s="1"/>
  <c r="G84" i="16"/>
  <c r="H84" i="16" s="1"/>
  <c r="G127" i="16"/>
  <c r="G169" i="16"/>
  <c r="G207" i="16"/>
  <c r="G239" i="16"/>
  <c r="G271" i="16"/>
  <c r="H271" i="16" s="1"/>
  <c r="G303" i="16"/>
  <c r="H303" i="16" s="1"/>
  <c r="G39" i="16"/>
  <c r="H40" i="16" s="1"/>
  <c r="G81" i="16"/>
  <c r="H81" i="16" s="1"/>
  <c r="G124" i="16"/>
  <c r="G167" i="16"/>
  <c r="G205" i="16"/>
  <c r="G237" i="16"/>
  <c r="H237" i="16" s="1"/>
  <c r="G269" i="16"/>
  <c r="G301" i="16"/>
  <c r="G67" i="16"/>
  <c r="H68" i="16" s="1"/>
  <c r="G152" i="16"/>
  <c r="G226" i="16"/>
  <c r="H226" i="16" s="1"/>
  <c r="G290" i="16"/>
  <c r="G72" i="16"/>
  <c r="H72" i="16" s="1"/>
  <c r="G157" i="16"/>
  <c r="G230" i="16"/>
  <c r="H230" i="16" s="1"/>
  <c r="G294" i="16"/>
  <c r="G123" i="16"/>
  <c r="H123" i="16" s="1"/>
  <c r="G268" i="16"/>
  <c r="G133" i="16"/>
  <c r="G276" i="16"/>
  <c r="G107" i="16"/>
  <c r="G22" i="16"/>
  <c r="G54" i="16"/>
  <c r="H54" i="16" s="1"/>
  <c r="G86" i="16"/>
  <c r="G118" i="16"/>
  <c r="H118" i="16" s="1"/>
  <c r="G150" i="16"/>
  <c r="H150" i="16" s="1"/>
  <c r="G182" i="16"/>
  <c r="G280" i="16"/>
  <c r="H280" i="16" s="1"/>
  <c r="G128" i="16"/>
  <c r="H128" i="16" s="1"/>
  <c r="G132" i="16"/>
  <c r="G275" i="16"/>
  <c r="G87" i="16"/>
  <c r="H87" i="16" s="1"/>
  <c r="G129" i="16"/>
  <c r="H129" i="16" s="1"/>
  <c r="G241" i="16"/>
  <c r="H241" i="16" s="1"/>
  <c r="G305" i="16"/>
  <c r="G234" i="16"/>
  <c r="G168" i="16"/>
  <c r="H168" i="16" s="1"/>
  <c r="G144" i="16"/>
  <c r="H144" i="16" s="1"/>
  <c r="G292" i="16"/>
  <c r="G90" i="16"/>
  <c r="G186" i="16"/>
  <c r="H186" i="16" s="1"/>
  <c r="G232" i="16"/>
  <c r="H232" i="16" s="1"/>
  <c r="G200" i="16"/>
  <c r="H200" i="16" s="1"/>
  <c r="G216" i="16"/>
  <c r="G95" i="16"/>
  <c r="G180" i="16"/>
  <c r="G247" i="16"/>
  <c r="G311" i="16"/>
  <c r="H311" i="16" s="1"/>
  <c r="G92" i="16"/>
  <c r="H92" i="16" s="1"/>
  <c r="G177" i="16"/>
  <c r="H177" i="16" s="1"/>
  <c r="G245" i="16"/>
  <c r="H245" i="16" s="1"/>
  <c r="G309" i="16"/>
  <c r="Y75" i="12"/>
  <c r="G27" i="16"/>
  <c r="G189" i="16"/>
  <c r="H189" i="16" s="1"/>
  <c r="G184" i="16"/>
  <c r="H184" i="16" s="1"/>
  <c r="G217" i="16"/>
  <c r="H217" i="16" s="1"/>
  <c r="G291" i="16"/>
  <c r="H291" i="16" s="1"/>
  <c r="G105" i="16"/>
  <c r="L187" i="12"/>
  <c r="G170" i="16"/>
  <c r="H170" i="16" s="1"/>
  <c r="G179" i="16"/>
  <c r="G285" i="16"/>
  <c r="H286" i="16" s="1"/>
  <c r="G195" i="16"/>
  <c r="G102" i="16"/>
  <c r="H102" i="16" s="1"/>
  <c r="G228" i="16"/>
  <c r="H228" i="16" s="1"/>
  <c r="G220" i="16"/>
  <c r="G266" i="16"/>
  <c r="G281" i="16"/>
  <c r="G188" i="16"/>
  <c r="G283" i="16"/>
  <c r="G191" i="16"/>
  <c r="H192" i="16" s="1"/>
  <c r="G304" i="16"/>
  <c r="G34" i="16"/>
  <c r="G212" i="16"/>
  <c r="G115" i="16"/>
  <c r="G109" i="16"/>
  <c r="G183" i="16"/>
  <c r="G259" i="16"/>
  <c r="G185" i="16"/>
  <c r="G63" i="16"/>
  <c r="G75" i="16"/>
  <c r="H75" i="16" s="1"/>
  <c r="G288" i="16"/>
  <c r="G19" i="16"/>
  <c r="G289" i="16"/>
  <c r="G219" i="16"/>
  <c r="G15" i="16"/>
  <c r="G51" i="17"/>
  <c r="H51" i="17" s="1"/>
  <c r="G172" i="17"/>
  <c r="G285" i="17"/>
  <c r="H285" i="17" s="1"/>
  <c r="G324" i="17"/>
  <c r="G162" i="17"/>
  <c r="G197" i="17"/>
  <c r="G92" i="17"/>
  <c r="G222" i="17"/>
  <c r="G314" i="17"/>
  <c r="H315" i="17" s="1"/>
  <c r="G273" i="17"/>
  <c r="G364" i="17"/>
  <c r="G166" i="17"/>
  <c r="G60" i="17"/>
  <c r="G34" i="17"/>
  <c r="G153" i="17"/>
  <c r="G330" i="17"/>
  <c r="G279" i="17"/>
  <c r="H279" i="17" s="1"/>
  <c r="G309" i="17"/>
  <c r="H309" i="17" s="1"/>
  <c r="G30" i="17"/>
  <c r="H30" i="17" s="1"/>
  <c r="G218" i="17"/>
  <c r="G121" i="17"/>
  <c r="G132" i="17"/>
  <c r="G98" i="17"/>
  <c r="G310" i="16"/>
  <c r="H310" i="16" s="1"/>
  <c r="G272" i="16"/>
  <c r="H272" i="16" s="1"/>
  <c r="G94" i="17"/>
  <c r="G38" i="16"/>
  <c r="H38" i="16" s="1"/>
  <c r="G270" i="16"/>
  <c r="G32" i="17"/>
  <c r="G162" i="16"/>
  <c r="G98" i="16"/>
  <c r="G200" i="17"/>
  <c r="G204" i="16"/>
  <c r="H205" i="16" s="1"/>
  <c r="G262" i="16"/>
  <c r="H262" i="16" s="1"/>
  <c r="G258" i="16"/>
  <c r="H258" i="16" s="1"/>
  <c r="G257" i="16"/>
  <c r="G60" i="16"/>
  <c r="G27" i="17"/>
  <c r="G158" i="16"/>
  <c r="H159" i="16" s="1"/>
  <c r="G94" i="16"/>
  <c r="G30" i="16"/>
  <c r="G195" i="17"/>
  <c r="G196" i="16"/>
  <c r="H196" i="16" s="1"/>
  <c r="G187" i="16"/>
  <c r="G254" i="16"/>
  <c r="G104" i="16"/>
  <c r="G250" i="16"/>
  <c r="G99" i="16"/>
  <c r="H99" i="16" s="1"/>
  <c r="G253" i="16"/>
  <c r="H254" i="16" s="1"/>
  <c r="G151" i="16"/>
  <c r="G55" i="16"/>
  <c r="H56" i="16" s="1"/>
  <c r="G255" i="16"/>
  <c r="G153" i="16"/>
  <c r="G57" i="16"/>
  <c r="G181" i="16"/>
  <c r="H225" i="16"/>
  <c r="L189" i="12"/>
  <c r="L186" i="12"/>
  <c r="L191" i="12"/>
  <c r="L188" i="12"/>
  <c r="L192" i="12"/>
  <c r="L190" i="12"/>
  <c r="L194" i="12"/>
  <c r="L195" i="12"/>
  <c r="L183" i="12"/>
  <c r="L193" i="12"/>
  <c r="G126" i="16"/>
  <c r="G103" i="16"/>
  <c r="G42" i="16"/>
  <c r="G308" i="16"/>
  <c r="G306" i="16"/>
  <c r="H306" i="16" s="1"/>
  <c r="G193" i="16"/>
  <c r="H193" i="16" s="1"/>
  <c r="G166" i="16"/>
  <c r="G280" i="17"/>
  <c r="H280" i="17" s="1"/>
  <c r="G125" i="16"/>
  <c r="H125" i="16" s="1"/>
  <c r="G138" i="16"/>
  <c r="G74" i="16"/>
  <c r="G312" i="16"/>
  <c r="G89" i="17"/>
  <c r="G21" i="16"/>
  <c r="H22" i="16" s="1"/>
  <c r="G176" i="16"/>
  <c r="G165" i="16"/>
  <c r="H165" i="16" s="1"/>
  <c r="G246" i="16"/>
  <c r="H246" i="16" s="1"/>
  <c r="G93" i="16"/>
  <c r="G242" i="16"/>
  <c r="G35" i="16"/>
  <c r="G249" i="16"/>
  <c r="G145" i="16"/>
  <c r="G23" i="16"/>
  <c r="H23" i="16" s="1"/>
  <c r="G251" i="16"/>
  <c r="H252" i="16" s="1"/>
  <c r="G148" i="16"/>
  <c r="H148" i="16" s="1"/>
  <c r="G52" i="16"/>
  <c r="G96" i="16"/>
  <c r="L184" i="12"/>
  <c r="V189" i="12"/>
  <c r="V187" i="12"/>
  <c r="M187" i="12"/>
  <c r="M185" i="12"/>
  <c r="M190" i="12"/>
  <c r="H32" i="17"/>
  <c r="H92" i="17"/>
  <c r="G63" i="17"/>
  <c r="H63" i="17" s="1"/>
  <c r="G287" i="17"/>
  <c r="G276" i="17"/>
  <c r="G261" i="17"/>
  <c r="G240" i="17"/>
  <c r="G326" i="17"/>
  <c r="G33" i="17"/>
  <c r="H33" i="17" s="1"/>
  <c r="G77" i="17"/>
  <c r="G340" i="17"/>
  <c r="G28" i="17"/>
  <c r="H28" i="17" s="1"/>
  <c r="G43" i="17"/>
  <c r="G100" i="17"/>
  <c r="G144" i="17"/>
  <c r="G320" i="17"/>
  <c r="G59" i="17"/>
  <c r="H60" i="17" s="1"/>
  <c r="G113" i="17"/>
  <c r="G156" i="17"/>
  <c r="H156" i="17" s="1"/>
  <c r="G199" i="17"/>
  <c r="H200" i="17" s="1"/>
  <c r="G241" i="17"/>
  <c r="G284" i="17"/>
  <c r="G333" i="17"/>
  <c r="G68" i="17"/>
  <c r="G120" i="17"/>
  <c r="H120" i="17" s="1"/>
  <c r="G163" i="17"/>
  <c r="H163" i="17" s="1"/>
  <c r="G205" i="17"/>
  <c r="H205" i="17" s="1"/>
  <c r="G248" i="17"/>
  <c r="G291" i="17"/>
  <c r="G217" i="17"/>
  <c r="G76" i="17"/>
  <c r="G267" i="17"/>
  <c r="G181" i="17"/>
  <c r="H181" i="17" s="1"/>
  <c r="G362" i="17"/>
  <c r="G347" i="17"/>
  <c r="H348" i="17" s="1"/>
  <c r="G354" i="17"/>
  <c r="G358" i="17"/>
  <c r="G42" i="17"/>
  <c r="G74" i="17"/>
  <c r="G106" i="17"/>
  <c r="G138" i="17"/>
  <c r="H138" i="17" s="1"/>
  <c r="G170" i="17"/>
  <c r="H170" i="17" s="1"/>
  <c r="G202" i="17"/>
  <c r="H202" i="17" s="1"/>
  <c r="G234" i="17"/>
  <c r="G266" i="17"/>
  <c r="G298" i="17"/>
  <c r="G116" i="17"/>
  <c r="G303" i="17"/>
  <c r="G293" i="17"/>
  <c r="H293" i="17" s="1"/>
  <c r="G281" i="17"/>
  <c r="G265" i="17"/>
  <c r="H266" i="17" s="1"/>
  <c r="G332" i="17"/>
  <c r="G40" i="17"/>
  <c r="G83" i="17"/>
  <c r="G346" i="17"/>
  <c r="G35" i="17"/>
  <c r="H35" i="17" s="1"/>
  <c r="G49" i="17"/>
  <c r="G107" i="17"/>
  <c r="H107" i="17" s="1"/>
  <c r="G149" i="17"/>
  <c r="H149" i="17" s="1"/>
  <c r="G316" i="17"/>
  <c r="G65" i="17"/>
  <c r="G119" i="17"/>
  <c r="G161" i="17"/>
  <c r="H161" i="17" s="1"/>
  <c r="G204" i="17"/>
  <c r="G247" i="17"/>
  <c r="G289" i="17"/>
  <c r="H289" i="17" s="1"/>
  <c r="G341" i="17"/>
  <c r="G75" i="17"/>
  <c r="H75" i="17" s="1"/>
  <c r="G125" i="17"/>
  <c r="G168" i="17"/>
  <c r="G211" i="17"/>
  <c r="G253" i="17"/>
  <c r="G296" i="17"/>
  <c r="G207" i="17"/>
  <c r="H207" i="17" s="1"/>
  <c r="G48" i="17"/>
  <c r="G256" i="17"/>
  <c r="H256" i="17" s="1"/>
  <c r="G164" i="17"/>
  <c r="G366" i="17"/>
  <c r="G14" i="17"/>
  <c r="G368" i="17"/>
  <c r="G357" i="17"/>
  <c r="G46" i="17"/>
  <c r="H46" i="17" s="1"/>
  <c r="G78" i="17"/>
  <c r="G110" i="17"/>
  <c r="H110" i="17" s="1"/>
  <c r="G292" i="17"/>
  <c r="H292" i="17" s="1"/>
  <c r="G159" i="17"/>
  <c r="G15" i="17"/>
  <c r="H15" i="17" s="1"/>
  <c r="G313" i="17"/>
  <c r="G297" i="17"/>
  <c r="H297" i="17" s="1"/>
  <c r="G283" i="17"/>
  <c r="G271" i="17"/>
  <c r="H271" i="17" s="1"/>
  <c r="G244" i="17"/>
  <c r="G308" i="17"/>
  <c r="G348" i="17"/>
  <c r="G45" i="17"/>
  <c r="G88" i="17"/>
  <c r="H89" i="17" s="1"/>
  <c r="G339" i="17"/>
  <c r="H339" i="17" s="1"/>
  <c r="G342" i="17"/>
  <c r="G57" i="17"/>
  <c r="G112" i="17"/>
  <c r="G155" i="17"/>
  <c r="G359" i="17"/>
  <c r="H359" i="17" s="1"/>
  <c r="G73" i="17"/>
  <c r="G124" i="17"/>
  <c r="G167" i="17"/>
  <c r="H167" i="17" s="1"/>
  <c r="G209" i="17"/>
  <c r="H209" i="17" s="1"/>
  <c r="G252" i="17"/>
  <c r="H252" i="17" s="1"/>
  <c r="G295" i="17"/>
  <c r="H295" i="17" s="1"/>
  <c r="G338" i="17"/>
  <c r="G81" i="17"/>
  <c r="G131" i="17"/>
  <c r="H132" i="17" s="1"/>
  <c r="G173" i="17"/>
  <c r="G216" i="17"/>
  <c r="G259" i="17"/>
  <c r="G301" i="17"/>
  <c r="H301" i="17" s="1"/>
  <c r="G196" i="17"/>
  <c r="G361" i="17"/>
  <c r="G245" i="17"/>
  <c r="G143" i="17"/>
  <c r="G372" i="17"/>
  <c r="G351" i="17"/>
  <c r="G18" i="17"/>
  <c r="H18" i="17" s="1"/>
  <c r="G328" i="17"/>
  <c r="H328" i="17" s="1"/>
  <c r="G350" i="17"/>
  <c r="H350" i="17" s="1"/>
  <c r="G50" i="17"/>
  <c r="G82" i="17"/>
  <c r="G114" i="17"/>
  <c r="G146" i="17"/>
  <c r="G178" i="17"/>
  <c r="G210" i="17"/>
  <c r="H210" i="17" s="1"/>
  <c r="G242" i="17"/>
  <c r="H242" i="17" s="1"/>
  <c r="G274" i="17"/>
  <c r="H274" i="17" s="1"/>
  <c r="G306" i="17"/>
  <c r="G255" i="17"/>
  <c r="G111" i="17"/>
  <c r="G208" i="17"/>
  <c r="G219" i="17"/>
  <c r="H219" i="17" s="1"/>
  <c r="G329" i="17"/>
  <c r="G72" i="17"/>
  <c r="G355" i="17"/>
  <c r="H355" i="17" s="1"/>
  <c r="G64" i="17"/>
  <c r="G133" i="17"/>
  <c r="H133" i="17" s="1"/>
  <c r="G23" i="17"/>
  <c r="G108" i="17"/>
  <c r="G183" i="17"/>
  <c r="G257" i="17"/>
  <c r="G360" i="17"/>
  <c r="H360" i="17" s="1"/>
  <c r="G96" i="17"/>
  <c r="H96" i="17" s="1"/>
  <c r="G157" i="17"/>
  <c r="G232" i="17"/>
  <c r="G307" i="17"/>
  <c r="H307" i="17" s="1"/>
  <c r="G127" i="17"/>
  <c r="G224" i="17"/>
  <c r="G327" i="17"/>
  <c r="H327" i="17" s="1"/>
  <c r="G331" i="17"/>
  <c r="H331" i="17" s="1"/>
  <c r="G22" i="17"/>
  <c r="H23" i="17" s="1"/>
  <c r="G365" i="17"/>
  <c r="G58" i="17"/>
  <c r="G102" i="17"/>
  <c r="G154" i="17"/>
  <c r="G194" i="17"/>
  <c r="G238" i="17"/>
  <c r="H238" i="17" s="1"/>
  <c r="G282" i="17"/>
  <c r="H282" i="17" s="1"/>
  <c r="G19" i="17"/>
  <c r="H20" i="17" s="1"/>
  <c r="G20" i="17"/>
  <c r="G160" i="17"/>
  <c r="H160" i="17" s="1"/>
  <c r="G135" i="17"/>
  <c r="G24" i="17"/>
  <c r="G184" i="17"/>
  <c r="H184" i="17" s="1"/>
  <c r="G272" i="17"/>
  <c r="G175" i="17"/>
  <c r="H176" i="17" s="1"/>
  <c r="G304" i="17"/>
  <c r="G12" i="17"/>
  <c r="H12" i="17" s="1"/>
  <c r="G93" i="17"/>
  <c r="G13" i="17"/>
  <c r="H13" i="17" s="1"/>
  <c r="G71" i="17"/>
  <c r="G139" i="17"/>
  <c r="G36" i="17"/>
  <c r="H36" i="17" s="1"/>
  <c r="G129" i="17"/>
  <c r="G188" i="17"/>
  <c r="H188" i="17" s="1"/>
  <c r="G263" i="17"/>
  <c r="G349" i="17"/>
  <c r="H349" i="17" s="1"/>
  <c r="G103" i="17"/>
  <c r="G179" i="17"/>
  <c r="H180" i="17" s="1"/>
  <c r="G237" i="17"/>
  <c r="G260" i="17"/>
  <c r="H260" i="17" s="1"/>
  <c r="G105" i="17"/>
  <c r="H105" i="17" s="1"/>
  <c r="G213" i="17"/>
  <c r="H214" i="17" s="1"/>
  <c r="G371" i="17"/>
  <c r="G26" i="17"/>
  <c r="H26" i="17" s="1"/>
  <c r="G325" i="17"/>
  <c r="H325" i="17" s="1"/>
  <c r="G62" i="17"/>
  <c r="G118" i="17"/>
  <c r="G158" i="17"/>
  <c r="G198" i="17"/>
  <c r="H199" i="17" s="1"/>
  <c r="G246" i="17"/>
  <c r="G286" i="17"/>
  <c r="G91" i="17"/>
  <c r="G201" i="17"/>
  <c r="G99" i="17"/>
  <c r="H100" i="17" s="1"/>
  <c r="G79" i="17"/>
  <c r="G44" i="17"/>
  <c r="H45" i="17" s="1"/>
  <c r="G193" i="17"/>
  <c r="G268" i="17"/>
  <c r="G109" i="17"/>
  <c r="N193" i="12"/>
  <c r="N195" i="12"/>
  <c r="N184" i="12"/>
  <c r="N190" i="12"/>
  <c r="N188" i="12"/>
  <c r="N194" i="12"/>
  <c r="N192" i="12"/>
  <c r="N196" i="12"/>
  <c r="N183" i="12"/>
  <c r="G262" i="17"/>
  <c r="H262" i="17" s="1"/>
  <c r="G214" i="17"/>
  <c r="G90" i="17"/>
  <c r="H90" i="17" s="1"/>
  <c r="G21" i="17"/>
  <c r="H21" i="17" s="1"/>
  <c r="G322" i="17"/>
  <c r="G192" i="17"/>
  <c r="G275" i="17"/>
  <c r="G53" i="17"/>
  <c r="H53" i="17" s="1"/>
  <c r="G321" i="17"/>
  <c r="H52" i="16"/>
  <c r="H53" i="16"/>
  <c r="H216" i="16"/>
  <c r="H301" i="16"/>
  <c r="G258" i="17"/>
  <c r="G142" i="17"/>
  <c r="G86" i="17"/>
  <c r="G16" i="17"/>
  <c r="G319" i="17"/>
  <c r="G203" i="17"/>
  <c r="G269" i="17"/>
  <c r="H270" i="17" s="1"/>
  <c r="G47" i="17"/>
  <c r="H47" i="17" s="1"/>
  <c r="G140" i="17"/>
  <c r="G31" i="17"/>
  <c r="H156" i="16"/>
  <c r="G212" i="17"/>
  <c r="H212" i="17" s="1"/>
  <c r="G190" i="17"/>
  <c r="G185" i="17"/>
  <c r="G147" i="17"/>
  <c r="G225" i="17"/>
  <c r="G171" i="17"/>
  <c r="G367" i="17"/>
  <c r="G137" i="17"/>
  <c r="S196" i="12"/>
  <c r="S182" i="12"/>
  <c r="S190" i="12"/>
  <c r="G250" i="17"/>
  <c r="G130" i="17"/>
  <c r="G315" i="17"/>
  <c r="G318" i="17"/>
  <c r="G228" i="17"/>
  <c r="G141" i="17"/>
  <c r="H142" i="17" s="1"/>
  <c r="G220" i="17"/>
  <c r="H220" i="17" s="1"/>
  <c r="G165" i="17"/>
  <c r="H166" i="17" s="1"/>
  <c r="G67" i="17"/>
  <c r="G211" i="13"/>
  <c r="G83" i="13"/>
  <c r="G146" i="13"/>
  <c r="H146" i="13" s="1"/>
  <c r="G182" i="17"/>
  <c r="H183" i="17" s="1"/>
  <c r="G61" i="17"/>
  <c r="H61" i="17" s="1"/>
  <c r="G195" i="13"/>
  <c r="N191" i="12"/>
  <c r="I131" i="12"/>
  <c r="M131" i="12" s="1"/>
  <c r="I125" i="12"/>
  <c r="L125" i="12" s="1"/>
  <c r="H218" i="17"/>
  <c r="F19" i="12"/>
  <c r="G150" i="17"/>
  <c r="H151" i="17" s="1"/>
  <c r="G148" i="17"/>
  <c r="H148" i="17" s="1"/>
  <c r="G189" i="17"/>
  <c r="H189" i="17" s="1"/>
  <c r="G236" i="17"/>
  <c r="G145" i="17"/>
  <c r="H145" i="17" s="1"/>
  <c r="G85" i="17"/>
  <c r="G334" i="17"/>
  <c r="H334" i="17" s="1"/>
  <c r="G369" i="17"/>
  <c r="G84" i="17"/>
  <c r="H84" i="17" s="1"/>
  <c r="G55" i="17"/>
  <c r="H55" i="17" s="1"/>
  <c r="G233" i="17"/>
  <c r="H233" i="17" s="1"/>
  <c r="G206" i="17"/>
  <c r="G169" i="17"/>
  <c r="G152" i="17"/>
  <c r="H152" i="17" s="1"/>
  <c r="G231" i="17"/>
  <c r="G176" i="17"/>
  <c r="G317" i="17"/>
  <c r="G353" i="17"/>
  <c r="H353" i="17" s="1"/>
  <c r="G370" i="17"/>
  <c r="H370" i="17" s="1"/>
  <c r="N189" i="12"/>
  <c r="G310" i="17"/>
  <c r="G254" i="17"/>
  <c r="H254" i="17" s="1"/>
  <c r="G134" i="17"/>
  <c r="G70" i="17"/>
  <c r="H71" i="17" s="1"/>
  <c r="G352" i="17"/>
  <c r="G312" i="17"/>
  <c r="G235" i="17"/>
  <c r="H235" i="17" s="1"/>
  <c r="G264" i="17"/>
  <c r="G39" i="17"/>
  <c r="H40" i="17" s="1"/>
  <c r="G101" i="17"/>
  <c r="H101" i="17" s="1"/>
  <c r="G17" i="17"/>
  <c r="G104" i="17"/>
  <c r="G229" i="17"/>
  <c r="G191" i="17"/>
  <c r="N185" i="12"/>
  <c r="G286" i="13"/>
  <c r="G22" i="13"/>
  <c r="G150" i="13"/>
  <c r="G278" i="13"/>
  <c r="G165" i="13"/>
  <c r="G55" i="13"/>
  <c r="H55" i="13" s="1"/>
  <c r="G225" i="13"/>
  <c r="G136" i="13"/>
  <c r="G68" i="13"/>
  <c r="G131" i="13"/>
  <c r="G343" i="13"/>
  <c r="G313" i="13"/>
  <c r="G341" i="13"/>
  <c r="G348" i="13"/>
  <c r="H348" i="13" s="1"/>
  <c r="G244" i="13"/>
  <c r="G50" i="13"/>
  <c r="G178" i="13"/>
  <c r="G37" i="13"/>
  <c r="G203" i="13"/>
  <c r="G60" i="13"/>
  <c r="G231" i="13"/>
  <c r="G125" i="13"/>
  <c r="G47" i="13"/>
  <c r="H47" i="13" s="1"/>
  <c r="G120" i="13"/>
  <c r="G328" i="13"/>
  <c r="G358" i="13"/>
  <c r="H358" i="13" s="1"/>
  <c r="G315" i="13"/>
  <c r="G318" i="13"/>
  <c r="H318" i="13" s="1"/>
  <c r="G54" i="13"/>
  <c r="G182" i="13"/>
  <c r="H183" i="13" s="1"/>
  <c r="G43" i="13"/>
  <c r="G208" i="13"/>
  <c r="G97" i="13"/>
  <c r="G268" i="13"/>
  <c r="G321" i="13"/>
  <c r="G370" i="13"/>
  <c r="G364" i="13"/>
  <c r="G86" i="13"/>
  <c r="G274" i="13"/>
  <c r="G287" i="13"/>
  <c r="G300" i="13"/>
  <c r="G239" i="13"/>
  <c r="G365" i="13"/>
  <c r="G322" i="13"/>
  <c r="H322" i="13" s="1"/>
  <c r="G114" i="13"/>
  <c r="G80" i="13"/>
  <c r="G291" i="13"/>
  <c r="G304" i="13"/>
  <c r="G164" i="13"/>
  <c r="G319" i="13"/>
  <c r="H319" i="13" s="1"/>
  <c r="G339" i="13"/>
  <c r="G276" i="13"/>
  <c r="G118" i="13"/>
  <c r="H118" i="13" s="1"/>
  <c r="G85" i="13"/>
  <c r="G17" i="13"/>
  <c r="H18" i="13" s="1"/>
  <c r="G40" i="13"/>
  <c r="G301" i="13"/>
  <c r="G153" i="13"/>
  <c r="H243" i="16"/>
  <c r="G302" i="17"/>
  <c r="G186" i="17"/>
  <c r="H187" i="17" s="1"/>
  <c r="G66" i="17"/>
  <c r="G338" i="13"/>
  <c r="G277" i="17"/>
  <c r="H277" i="17" s="1"/>
  <c r="G243" i="17"/>
  <c r="G311" i="17"/>
  <c r="G95" i="17"/>
  <c r="G345" i="17"/>
  <c r="H345" i="17" s="1"/>
  <c r="G337" i="17"/>
  <c r="H337" i="17" s="1"/>
  <c r="G29" i="17"/>
  <c r="H29" i="17" s="1"/>
  <c r="G245" i="13"/>
  <c r="N181" i="12"/>
  <c r="G294" i="17"/>
  <c r="G230" i="17"/>
  <c r="G126" i="17"/>
  <c r="G54" i="17"/>
  <c r="H54" i="17" s="1"/>
  <c r="G363" i="17"/>
  <c r="G356" i="17"/>
  <c r="H356" i="17" s="1"/>
  <c r="G41" i="17"/>
  <c r="H41" i="17" s="1"/>
  <c r="G288" i="17"/>
  <c r="G239" i="17"/>
  <c r="H240" i="17" s="1"/>
  <c r="G227" i="17"/>
  <c r="G136" i="17"/>
  <c r="G305" i="17"/>
  <c r="H305" i="17" s="1"/>
  <c r="G215" i="17"/>
  <c r="H215" i="17" s="1"/>
  <c r="G87" i="17"/>
  <c r="H87" i="17" s="1"/>
  <c r="G128" i="17"/>
  <c r="G335" i="17"/>
  <c r="G343" i="17"/>
  <c r="G221" i="13"/>
  <c r="G251" i="17"/>
  <c r="G77" i="13"/>
  <c r="G82" i="13"/>
  <c r="G290" i="17"/>
  <c r="G226" i="17"/>
  <c r="H226" i="17" s="1"/>
  <c r="G174" i="17"/>
  <c r="G122" i="17"/>
  <c r="H122" i="17" s="1"/>
  <c r="G37" i="17"/>
  <c r="G38" i="17"/>
  <c r="G336" i="17"/>
  <c r="H336" i="17" s="1"/>
  <c r="H90" i="16"/>
  <c r="H91" i="16"/>
  <c r="G69" i="17"/>
  <c r="G299" i="17"/>
  <c r="H299" i="17" s="1"/>
  <c r="G249" i="17"/>
  <c r="G221" i="17"/>
  <c r="G115" i="17"/>
  <c r="G300" i="17"/>
  <c r="G177" i="17"/>
  <c r="H177" i="17" s="1"/>
  <c r="G80" i="17"/>
  <c r="H81" i="17" s="1"/>
  <c r="G123" i="17"/>
  <c r="H123" i="17" s="1"/>
  <c r="G323" i="17"/>
  <c r="H324" i="17" s="1"/>
  <c r="G56" i="17"/>
  <c r="G355" i="13"/>
  <c r="G205" i="13"/>
  <c r="G293" i="13"/>
  <c r="G223" i="17"/>
  <c r="H223" i="17" s="1"/>
  <c r="G188" i="13"/>
  <c r="G123" i="13"/>
  <c r="G18" i="13"/>
  <c r="N187" i="12"/>
  <c r="H133" i="16"/>
  <c r="H139" i="16"/>
  <c r="H140" i="16"/>
  <c r="H161" i="16"/>
  <c r="H33" i="16"/>
  <c r="H235" i="16"/>
  <c r="H95" i="16"/>
  <c r="H278" i="16"/>
  <c r="H231" i="16"/>
  <c r="H312" i="16"/>
  <c r="H206" i="16"/>
  <c r="H213" i="16"/>
  <c r="H204" i="16"/>
  <c r="H37" i="16"/>
  <c r="H116" i="16"/>
  <c r="H255" i="16"/>
  <c r="H282" i="16"/>
  <c r="H183" i="16"/>
  <c r="H185" i="16"/>
  <c r="O196" i="12"/>
  <c r="H27" i="17"/>
  <c r="H65" i="17"/>
  <c r="H207" i="16"/>
  <c r="H281" i="16"/>
  <c r="H146" i="17"/>
  <c r="H115" i="17"/>
  <c r="H107" i="16"/>
  <c r="H101" i="16"/>
  <c r="G31" i="15"/>
  <c r="G146" i="15"/>
  <c r="G147" i="15"/>
  <c r="G184" i="15"/>
  <c r="G253" i="15"/>
  <c r="G61" i="15"/>
  <c r="G279" i="15"/>
  <c r="O195" i="12"/>
  <c r="E24" i="11"/>
  <c r="H77" i="11" s="1"/>
  <c r="V190" i="12"/>
  <c r="H366" i="17"/>
  <c r="G47" i="15"/>
  <c r="G162" i="15"/>
  <c r="G19" i="15"/>
  <c r="G180" i="15"/>
  <c r="G229" i="15"/>
  <c r="V186" i="12"/>
  <c r="H27" i="16"/>
  <c r="H229" i="16"/>
  <c r="H70" i="16"/>
  <c r="H220" i="16"/>
  <c r="G63" i="15"/>
  <c r="G178" i="15"/>
  <c r="G238" i="15"/>
  <c r="G116" i="15"/>
  <c r="G225" i="15"/>
  <c r="V184" i="12"/>
  <c r="G294" i="15"/>
  <c r="G102" i="15"/>
  <c r="G110" i="15"/>
  <c r="G112" i="15"/>
  <c r="G161" i="15"/>
  <c r="G86" i="15"/>
  <c r="G280" i="15"/>
  <c r="G88" i="15"/>
  <c r="G157" i="15"/>
  <c r="H251" i="17"/>
  <c r="H276" i="16"/>
  <c r="H172" i="17"/>
  <c r="G70" i="15"/>
  <c r="G276" i="15"/>
  <c r="G24" i="15"/>
  <c r="G133" i="15"/>
  <c r="G55" i="15"/>
  <c r="V195" i="12"/>
  <c r="G203" i="15"/>
  <c r="G272" i="15"/>
  <c r="G20" i="15"/>
  <c r="G69" i="15"/>
  <c r="G74" i="15"/>
  <c r="V191" i="12"/>
  <c r="U75" i="12"/>
  <c r="E53" i="11"/>
  <c r="R140" i="10" s="1"/>
  <c r="P187" i="12"/>
  <c r="P185" i="12"/>
  <c r="E63" i="11"/>
  <c r="T139" i="10" s="1"/>
  <c r="E456" i="18"/>
  <c r="P188" i="12"/>
  <c r="P186" i="12"/>
  <c r="E138" i="18"/>
  <c r="I111" i="15" s="1"/>
  <c r="E297" i="18"/>
  <c r="I270" i="17" s="1"/>
  <c r="E538" i="18"/>
  <c r="E261" i="18"/>
  <c r="I234" i="16" s="1"/>
  <c r="E649" i="18"/>
  <c r="Z75" i="12"/>
  <c r="E92" i="18"/>
  <c r="I65" i="16" s="1"/>
  <c r="E197" i="18"/>
  <c r="E60" i="18"/>
  <c r="I33" i="16" s="1"/>
  <c r="E16" i="18"/>
  <c r="E505" i="18"/>
  <c r="H97" i="17"/>
  <c r="H98" i="17"/>
  <c r="H367" i="17"/>
  <c r="H368" i="17"/>
  <c r="H194" i="16"/>
  <c r="H195" i="16"/>
  <c r="H25" i="16"/>
  <c r="H24" i="16"/>
  <c r="H222" i="16"/>
  <c r="H221" i="16"/>
  <c r="H146" i="16"/>
  <c r="H145" i="16"/>
  <c r="H104" i="16"/>
  <c r="H60" i="16"/>
  <c r="H17" i="16"/>
  <c r="H105" i="16"/>
  <c r="H106" i="16"/>
  <c r="H21" i="16"/>
  <c r="H20" i="16"/>
  <c r="H304" i="16"/>
  <c r="H305" i="16"/>
  <c r="H17" i="17"/>
  <c r="H16" i="17"/>
  <c r="H14" i="16"/>
  <c r="H15" i="16"/>
  <c r="H136" i="17"/>
  <c r="H118" i="17"/>
  <c r="H180" i="16"/>
  <c r="H169" i="17"/>
  <c r="H174" i="16"/>
  <c r="H224" i="16"/>
  <c r="X182" i="12"/>
  <c r="X185" i="12"/>
  <c r="X189" i="12"/>
  <c r="X193" i="12"/>
  <c r="X187" i="12"/>
  <c r="X191" i="12"/>
  <c r="X195" i="12"/>
  <c r="H308" i="17"/>
  <c r="H25" i="17"/>
  <c r="H74" i="16"/>
  <c r="H169" i="16"/>
  <c r="G15" i="13"/>
  <c r="G127" i="13"/>
  <c r="H127" i="13" s="1"/>
  <c r="G201" i="13"/>
  <c r="G191" i="13"/>
  <c r="G137" i="13"/>
  <c r="H137" i="13" s="1"/>
  <c r="G26" i="13"/>
  <c r="G58" i="13"/>
  <c r="G90" i="13"/>
  <c r="G122" i="13"/>
  <c r="G154" i="13"/>
  <c r="H154" i="13" s="1"/>
  <c r="G186" i="13"/>
  <c r="G218" i="13"/>
  <c r="G250" i="13"/>
  <c r="H251" i="13" s="1"/>
  <c r="G282" i="13"/>
  <c r="G48" i="13"/>
  <c r="H48" i="13" s="1"/>
  <c r="G91" i="13"/>
  <c r="H91" i="13" s="1"/>
  <c r="G128" i="13"/>
  <c r="G171" i="13"/>
  <c r="G213" i="13"/>
  <c r="G256" i="13"/>
  <c r="G295" i="13"/>
  <c r="G23" i="13"/>
  <c r="G65" i="13"/>
  <c r="G108" i="13"/>
  <c r="G151" i="13"/>
  <c r="H151" i="13" s="1"/>
  <c r="G193" i="13"/>
  <c r="G236" i="13"/>
  <c r="G273" i="13"/>
  <c r="G308" i="13"/>
  <c r="G45" i="13"/>
  <c r="G88" i="13"/>
  <c r="G285" i="13"/>
  <c r="G200" i="13"/>
  <c r="H200" i="13" s="1"/>
  <c r="G115" i="13"/>
  <c r="H115" i="13" s="1"/>
  <c r="G306" i="13"/>
  <c r="G228" i="13"/>
  <c r="G143" i="13"/>
  <c r="G25" i="13"/>
  <c r="G269" i="13"/>
  <c r="G184" i="13"/>
  <c r="H184" i="13" s="1"/>
  <c r="G109" i="13"/>
  <c r="H109" i="13" s="1"/>
  <c r="G361" i="13"/>
  <c r="G329" i="13"/>
  <c r="G356" i="13"/>
  <c r="H357" i="13" s="1"/>
  <c r="G362" i="13"/>
  <c r="G320" i="13"/>
  <c r="G351" i="13"/>
  <c r="H351" i="13" s="1"/>
  <c r="G349" i="13"/>
  <c r="G79" i="13"/>
  <c r="H79" i="13" s="1"/>
  <c r="G159" i="13"/>
  <c r="G148" i="13"/>
  <c r="G95" i="13"/>
  <c r="G30" i="13"/>
  <c r="G62" i="13"/>
  <c r="G94" i="13"/>
  <c r="G126" i="13"/>
  <c r="G158" i="13"/>
  <c r="G190" i="13"/>
  <c r="H190" i="13" s="1"/>
  <c r="G222" i="13"/>
  <c r="H223" i="13" s="1"/>
  <c r="G254" i="13"/>
  <c r="G359" i="13"/>
  <c r="H359" i="13" s="1"/>
  <c r="G53" i="13"/>
  <c r="G133" i="13"/>
  <c r="G176" i="13"/>
  <c r="G219" i="13"/>
  <c r="G261" i="13"/>
  <c r="G299" i="13"/>
  <c r="G28" i="13"/>
  <c r="G71" i="13"/>
  <c r="G113" i="13"/>
  <c r="G156" i="13"/>
  <c r="G199" i="13"/>
  <c r="G241" i="13"/>
  <c r="G279" i="13"/>
  <c r="H279" i="13" s="1"/>
  <c r="G13" i="13"/>
  <c r="G51" i="13"/>
  <c r="H51" i="13" s="1"/>
  <c r="G275" i="13"/>
  <c r="G189" i="13"/>
  <c r="G104" i="13"/>
  <c r="H104" i="13" s="1"/>
  <c r="G298" i="13"/>
  <c r="G217" i="13"/>
  <c r="G132" i="13"/>
  <c r="G259" i="13"/>
  <c r="G173" i="13"/>
  <c r="G99" i="13"/>
  <c r="G323" i="13"/>
  <c r="G330" i="13"/>
  <c r="G363" i="13"/>
  <c r="G316" i="13"/>
  <c r="G360" i="13"/>
  <c r="G369" i="13"/>
  <c r="G331" i="13"/>
  <c r="G294" i="13"/>
  <c r="G116" i="13"/>
  <c r="G105" i="13"/>
  <c r="H105" i="13" s="1"/>
  <c r="G34" i="13"/>
  <c r="G66" i="13"/>
  <c r="H66" i="13" s="1"/>
  <c r="G98" i="13"/>
  <c r="G130" i="13"/>
  <c r="G162" i="13"/>
  <c r="G194" i="13"/>
  <c r="G226" i="13"/>
  <c r="G258" i="13"/>
  <c r="G16" i="13"/>
  <c r="G59" i="13"/>
  <c r="G96" i="13"/>
  <c r="G139" i="13"/>
  <c r="H140" i="13" s="1"/>
  <c r="G181" i="13"/>
  <c r="G224" i="13"/>
  <c r="H224" i="13" s="1"/>
  <c r="G267" i="13"/>
  <c r="G303" i="13"/>
  <c r="G33" i="13"/>
  <c r="G76" i="13"/>
  <c r="H77" i="13" s="1"/>
  <c r="G119" i="13"/>
  <c r="G161" i="13"/>
  <c r="H161" i="13" s="1"/>
  <c r="G204" i="13"/>
  <c r="H204" i="13" s="1"/>
  <c r="G247" i="13"/>
  <c r="H247" i="13" s="1"/>
  <c r="G284" i="13"/>
  <c r="G19" i="13"/>
  <c r="G56" i="13"/>
  <c r="G264" i="13"/>
  <c r="G179" i="13"/>
  <c r="G93" i="13"/>
  <c r="G290" i="13"/>
  <c r="G207" i="13"/>
  <c r="G121" i="13"/>
  <c r="G248" i="13"/>
  <c r="G163" i="13"/>
  <c r="G84" i="13"/>
  <c r="G332" i="13"/>
  <c r="G344" i="13"/>
  <c r="H344" i="13" s="1"/>
  <c r="G366" i="13"/>
  <c r="H366" i="13" s="1"/>
  <c r="G326" i="13"/>
  <c r="H326" i="13" s="1"/>
  <c r="G337" i="13"/>
  <c r="H337" i="13" s="1"/>
  <c r="G314" i="13"/>
  <c r="G327" i="13"/>
  <c r="G324" i="13"/>
  <c r="G255" i="13"/>
  <c r="G57" i="13"/>
  <c r="G36" i="13"/>
  <c r="G38" i="13"/>
  <c r="H38" i="13" s="1"/>
  <c r="G70" i="13"/>
  <c r="G102" i="13"/>
  <c r="G134" i="13"/>
  <c r="G166" i="13"/>
  <c r="H166" i="13" s="1"/>
  <c r="G198" i="13"/>
  <c r="G230" i="13"/>
  <c r="G262" i="13"/>
  <c r="G21" i="13"/>
  <c r="H22" i="13" s="1"/>
  <c r="G64" i="13"/>
  <c r="G101" i="13"/>
  <c r="G144" i="13"/>
  <c r="G187" i="13"/>
  <c r="H188" i="13" s="1"/>
  <c r="G229" i="13"/>
  <c r="G272" i="13"/>
  <c r="G307" i="13"/>
  <c r="G39" i="13"/>
  <c r="H39" i="13" s="1"/>
  <c r="G81" i="13"/>
  <c r="G124" i="13"/>
  <c r="G167" i="13"/>
  <c r="G209" i="13"/>
  <c r="G252" i="13"/>
  <c r="H252" i="13" s="1"/>
  <c r="G288" i="13"/>
  <c r="H288" i="13" s="1"/>
  <c r="G24" i="13"/>
  <c r="H24" i="13" s="1"/>
  <c r="G61" i="13"/>
  <c r="G253" i="13"/>
  <c r="G168" i="13"/>
  <c r="G73" i="13"/>
  <c r="G281" i="13"/>
  <c r="H281" i="13" s="1"/>
  <c r="G196" i="13"/>
  <c r="G111" i="13"/>
  <c r="G237" i="13"/>
  <c r="G152" i="13"/>
  <c r="G63" i="13"/>
  <c r="G334" i="13"/>
  <c r="G345" i="13"/>
  <c r="G354" i="13"/>
  <c r="G342" i="13"/>
  <c r="G372" i="13"/>
  <c r="G346" i="13"/>
  <c r="H347" i="13" s="1"/>
  <c r="G212" i="13"/>
  <c r="H212" i="13" s="1"/>
  <c r="G302" i="13"/>
  <c r="G352" i="13"/>
  <c r="H352" i="13" s="1"/>
  <c r="G42" i="13"/>
  <c r="G74" i="13"/>
  <c r="H74" i="13" s="1"/>
  <c r="G106" i="13"/>
  <c r="H106" i="13" s="1"/>
  <c r="G138" i="13"/>
  <c r="G170" i="13"/>
  <c r="G202" i="13"/>
  <c r="G234" i="13"/>
  <c r="H234" i="13" s="1"/>
  <c r="G266" i="13"/>
  <c r="G27" i="13"/>
  <c r="G69" i="13"/>
  <c r="H69" i="13" s="1"/>
  <c r="G107" i="13"/>
  <c r="H107" i="13" s="1"/>
  <c r="G149" i="13"/>
  <c r="H150" i="13" s="1"/>
  <c r="G192" i="13"/>
  <c r="H192" i="13" s="1"/>
  <c r="G235" i="13"/>
  <c r="G277" i="13"/>
  <c r="G311" i="13"/>
  <c r="G44" i="13"/>
  <c r="G87" i="13"/>
  <c r="H87" i="13" s="1"/>
  <c r="G129" i="13"/>
  <c r="G172" i="13"/>
  <c r="G215" i="13"/>
  <c r="H215" i="13" s="1"/>
  <c r="G257" i="13"/>
  <c r="G292" i="13"/>
  <c r="G29" i="13"/>
  <c r="G67" i="13"/>
  <c r="G243" i="13"/>
  <c r="H243" i="13" s="1"/>
  <c r="G157" i="13"/>
  <c r="H157" i="13" s="1"/>
  <c r="G52" i="13"/>
  <c r="G271" i="13"/>
  <c r="G185" i="13"/>
  <c r="G100" i="13"/>
  <c r="G305" i="13"/>
  <c r="G227" i="13"/>
  <c r="G41" i="13"/>
  <c r="G335" i="13"/>
  <c r="G371" i="13"/>
  <c r="G340" i="13"/>
  <c r="G367" i="13"/>
  <c r="G312" i="13"/>
  <c r="G368" i="13"/>
  <c r="G333" i="13"/>
  <c r="G353" i="13"/>
  <c r="H353" i="13" s="1"/>
  <c r="G169" i="13"/>
  <c r="H169" i="13" s="1"/>
  <c r="G310" i="13"/>
  <c r="G265" i="13"/>
  <c r="G14" i="13"/>
  <c r="G46" i="13"/>
  <c r="H46" i="13" s="1"/>
  <c r="G78" i="13"/>
  <c r="G110" i="13"/>
  <c r="G142" i="13"/>
  <c r="H142" i="13" s="1"/>
  <c r="G174" i="13"/>
  <c r="G206" i="13"/>
  <c r="H206" i="13" s="1"/>
  <c r="G238" i="13"/>
  <c r="H238" i="13" s="1"/>
  <c r="G270" i="13"/>
  <c r="G32" i="13"/>
  <c r="G75" i="13"/>
  <c r="G112" i="13"/>
  <c r="G155" i="13"/>
  <c r="G197" i="13"/>
  <c r="H197" i="13" s="1"/>
  <c r="G240" i="13"/>
  <c r="G283" i="13"/>
  <c r="H283" i="13" s="1"/>
  <c r="G12" i="13"/>
  <c r="H12" i="13" s="1"/>
  <c r="G49" i="13"/>
  <c r="G92" i="13"/>
  <c r="G135" i="13"/>
  <c r="G177" i="13"/>
  <c r="H177" i="13" s="1"/>
  <c r="G220" i="13"/>
  <c r="G263" i="13"/>
  <c r="G296" i="13"/>
  <c r="G35" i="13"/>
  <c r="G72" i="13"/>
  <c r="G309" i="13"/>
  <c r="G232" i="13"/>
  <c r="H233" i="13" s="1"/>
  <c r="G147" i="13"/>
  <c r="G31" i="13"/>
  <c r="G260" i="13"/>
  <c r="H260" i="13" s="1"/>
  <c r="G175" i="13"/>
  <c r="G89" i="13"/>
  <c r="G297" i="13"/>
  <c r="G216" i="13"/>
  <c r="G141" i="13"/>
  <c r="H141" i="13" s="1"/>
  <c r="G20" i="13"/>
  <c r="H20" i="13" s="1"/>
  <c r="Q180" i="12"/>
  <c r="Q187" i="12" s="1"/>
  <c r="L100" i="12"/>
  <c r="M100" i="12" s="1"/>
  <c r="N105" i="10" s="1"/>
  <c r="G129" i="14"/>
  <c r="G153" i="14"/>
  <c r="G182" i="14"/>
  <c r="G80" i="14"/>
  <c r="G295" i="14"/>
  <c r="G287" i="14"/>
  <c r="R195" i="12"/>
  <c r="R183" i="12"/>
  <c r="R187" i="12"/>
  <c r="R191" i="12"/>
  <c r="R196" i="12"/>
  <c r="R190" i="12"/>
  <c r="R181" i="12"/>
  <c r="H174" i="17"/>
  <c r="H131" i="17"/>
  <c r="G159" i="15"/>
  <c r="G263" i="15"/>
  <c r="G283" i="15"/>
  <c r="G139" i="15"/>
  <c r="G94" i="15"/>
  <c r="G248" i="15"/>
  <c r="G176" i="15"/>
  <c r="G84" i="15"/>
  <c r="G293" i="15"/>
  <c r="G221" i="15"/>
  <c r="G129" i="15"/>
  <c r="G37" i="15"/>
  <c r="G87" i="15"/>
  <c r="G302" i="15"/>
  <c r="V185" i="12"/>
  <c r="V182" i="12"/>
  <c r="H134" i="17"/>
  <c r="H326" i="17"/>
  <c r="H39" i="17"/>
  <c r="H94" i="16"/>
  <c r="H30" i="16"/>
  <c r="H308" i="16"/>
  <c r="G175" i="15"/>
  <c r="G274" i="15"/>
  <c r="G275" i="15"/>
  <c r="H276" i="15" s="1"/>
  <c r="G91" i="15"/>
  <c r="G78" i="15"/>
  <c r="G244" i="15"/>
  <c r="G152" i="15"/>
  <c r="G80" i="15"/>
  <c r="G289" i="15"/>
  <c r="G197" i="15"/>
  <c r="G125" i="15"/>
  <c r="G33" i="15"/>
  <c r="I33" i="15" s="1"/>
  <c r="G266" i="15"/>
  <c r="G26" i="15"/>
  <c r="G278" i="15"/>
  <c r="V181" i="12"/>
  <c r="V193" i="12"/>
  <c r="G191" i="15"/>
  <c r="G18" i="15"/>
  <c r="G286" i="15"/>
  <c r="G267" i="15"/>
  <c r="H267" i="15" s="1"/>
  <c r="G83" i="15"/>
  <c r="G14" i="15"/>
  <c r="G240" i="15"/>
  <c r="G148" i="15"/>
  <c r="H148" i="15" s="1"/>
  <c r="G56" i="15"/>
  <c r="G285" i="15"/>
  <c r="G193" i="15"/>
  <c r="G101" i="15"/>
  <c r="G29" i="15"/>
  <c r="G287" i="15"/>
  <c r="G39" i="15"/>
  <c r="G135" i="15"/>
  <c r="V196" i="12"/>
  <c r="V183" i="12"/>
  <c r="H51" i="16"/>
  <c r="H265" i="16"/>
  <c r="H234" i="16"/>
  <c r="H77" i="16"/>
  <c r="G271" i="15"/>
  <c r="G34" i="15"/>
  <c r="H34" i="15" s="1"/>
  <c r="G198" i="15"/>
  <c r="G219" i="15"/>
  <c r="G75" i="15"/>
  <c r="G308" i="15"/>
  <c r="G216" i="15"/>
  <c r="G144" i="15"/>
  <c r="G52" i="15"/>
  <c r="G261" i="15"/>
  <c r="G189" i="15"/>
  <c r="G97" i="15"/>
  <c r="G310" i="15"/>
  <c r="G231" i="15"/>
  <c r="V194" i="12"/>
  <c r="G282" i="15"/>
  <c r="G50" i="15"/>
  <c r="G182" i="15"/>
  <c r="G211" i="15"/>
  <c r="G27" i="15"/>
  <c r="H27" i="15" s="1"/>
  <c r="G304" i="15"/>
  <c r="G212" i="15"/>
  <c r="G120" i="15"/>
  <c r="G48" i="15"/>
  <c r="G257" i="15"/>
  <c r="G165" i="15"/>
  <c r="G93" i="15"/>
  <c r="G42" i="15"/>
  <c r="G23" i="15"/>
  <c r="V192" i="12"/>
  <c r="Z195" i="12"/>
  <c r="Z185" i="12"/>
  <c r="Z184" i="12"/>
  <c r="Z182" i="12"/>
  <c r="Z194" i="12"/>
  <c r="Z192" i="12"/>
  <c r="Z190" i="12"/>
  <c r="Z189" i="12"/>
  <c r="Z186" i="12"/>
  <c r="H249" i="13"/>
  <c r="H301" i="13"/>
  <c r="H78" i="13"/>
  <c r="H74" i="17"/>
  <c r="H362" i="17"/>
  <c r="H363" i="17"/>
  <c r="H66" i="16"/>
  <c r="H143" i="17"/>
  <c r="H144" i="17"/>
  <c r="H217" i="17"/>
  <c r="H82" i="17"/>
  <c r="H275" i="16"/>
  <c r="H218" i="16"/>
  <c r="H141" i="16"/>
  <c r="H142" i="16"/>
  <c r="H57" i="16"/>
  <c r="H297" i="16"/>
  <c r="H298" i="16"/>
  <c r="H201" i="16"/>
  <c r="H163" i="16"/>
  <c r="H266" i="16"/>
  <c r="G249" i="14"/>
  <c r="G68" i="14"/>
  <c r="G261" i="14"/>
  <c r="G148" i="14"/>
  <c r="G301" i="14"/>
  <c r="G37" i="14"/>
  <c r="G69" i="14"/>
  <c r="G101" i="14"/>
  <c r="G133" i="14"/>
  <c r="G165" i="14"/>
  <c r="G197" i="14"/>
  <c r="G43" i="14"/>
  <c r="G75" i="14"/>
  <c r="G107" i="14"/>
  <c r="G139" i="14"/>
  <c r="G171" i="14"/>
  <c r="G22" i="14"/>
  <c r="G78" i="14"/>
  <c r="G134" i="14"/>
  <c r="G190" i="14"/>
  <c r="G226" i="14"/>
  <c r="G258" i="14"/>
  <c r="G290" i="14"/>
  <c r="G26" i="14"/>
  <c r="G146" i="14"/>
  <c r="G204" i="14"/>
  <c r="G236" i="14"/>
  <c r="G268" i="14"/>
  <c r="G300" i="14"/>
  <c r="G271" i="14"/>
  <c r="G100" i="14"/>
  <c r="G277" i="14"/>
  <c r="G180" i="14"/>
  <c r="G289" i="14"/>
  <c r="G305" i="14"/>
  <c r="G41" i="14"/>
  <c r="G73" i="14"/>
  <c r="G105" i="14"/>
  <c r="G137" i="14"/>
  <c r="G169" i="14"/>
  <c r="G15" i="14"/>
  <c r="G47" i="14"/>
  <c r="G79" i="14"/>
  <c r="G111" i="14"/>
  <c r="G143" i="14"/>
  <c r="G175" i="14"/>
  <c r="G30" i="14"/>
  <c r="G86" i="14"/>
  <c r="G142" i="14"/>
  <c r="G198" i="14"/>
  <c r="G230" i="14"/>
  <c r="G262" i="14"/>
  <c r="G294" i="14"/>
  <c r="H295" i="14" s="1"/>
  <c r="G34" i="14"/>
  <c r="G90" i="14"/>
  <c r="G154" i="14"/>
  <c r="G208" i="14"/>
  <c r="G240" i="14"/>
  <c r="G272" i="14"/>
  <c r="G304" i="14"/>
  <c r="G263" i="14"/>
  <c r="G140" i="14"/>
  <c r="G108" i="14"/>
  <c r="G132" i="14"/>
  <c r="G293" i="14"/>
  <c r="G205" i="14"/>
  <c r="H205" i="14" s="1"/>
  <c r="G257" i="14"/>
  <c r="G273" i="14"/>
  <c r="G13" i="14"/>
  <c r="G45" i="14"/>
  <c r="G77" i="14"/>
  <c r="G109" i="14"/>
  <c r="G141" i="14"/>
  <c r="G173" i="14"/>
  <c r="G19" i="14"/>
  <c r="G51" i="14"/>
  <c r="G83" i="14"/>
  <c r="H84" i="14" s="1"/>
  <c r="G115" i="14"/>
  <c r="G147" i="14"/>
  <c r="G179" i="14"/>
  <c r="G38" i="14"/>
  <c r="G94" i="14"/>
  <c r="G150" i="14"/>
  <c r="G202" i="14"/>
  <c r="G234" i="14"/>
  <c r="G266" i="14"/>
  <c r="G298" i="14"/>
  <c r="G42" i="14"/>
  <c r="H42" i="14" s="1"/>
  <c r="G98" i="14"/>
  <c r="G162" i="14"/>
  <c r="G212" i="14"/>
  <c r="G244" i="14"/>
  <c r="G276" i="14"/>
  <c r="G308" i="14"/>
  <c r="G255" i="14"/>
  <c r="G265" i="14"/>
  <c r="H265" i="14" s="1"/>
  <c r="G217" i="14"/>
  <c r="G297" i="14"/>
  <c r="G164" i="14"/>
  <c r="G309" i="14"/>
  <c r="G221" i="14"/>
  <c r="G225" i="14"/>
  <c r="G241" i="14"/>
  <c r="G17" i="14"/>
  <c r="G49" i="14"/>
  <c r="G81" i="14"/>
  <c r="G113" i="14"/>
  <c r="G145" i="14"/>
  <c r="G177" i="14"/>
  <c r="G23" i="14"/>
  <c r="G55" i="14"/>
  <c r="G87" i="14"/>
  <c r="H87" i="14" s="1"/>
  <c r="G119" i="14"/>
  <c r="G151" i="14"/>
  <c r="G183" i="14"/>
  <c r="G46" i="14"/>
  <c r="G102" i="14"/>
  <c r="G158" i="14"/>
  <c r="G206" i="14"/>
  <c r="G238" i="14"/>
  <c r="G270" i="14"/>
  <c r="G302" i="14"/>
  <c r="G50" i="14"/>
  <c r="G106" i="14"/>
  <c r="G170" i="14"/>
  <c r="G216" i="14"/>
  <c r="G248" i="14"/>
  <c r="G280" i="14"/>
  <c r="G311" i="14"/>
  <c r="G247" i="14"/>
  <c r="G12" i="14"/>
  <c r="H12" i="14" s="1"/>
  <c r="G281" i="14"/>
  <c r="G201" i="14"/>
  <c r="G196" i="14"/>
  <c r="G20" i="14"/>
  <c r="G237" i="14"/>
  <c r="G188" i="14"/>
  <c r="G209" i="14"/>
  <c r="G21" i="14"/>
  <c r="G53" i="14"/>
  <c r="G85" i="14"/>
  <c r="H85" i="14" s="1"/>
  <c r="G117" i="14"/>
  <c r="G149" i="14"/>
  <c r="H149" i="14" s="1"/>
  <c r="G181" i="14"/>
  <c r="G27" i="14"/>
  <c r="G59" i="14"/>
  <c r="G91" i="14"/>
  <c r="G123" i="14"/>
  <c r="G155" i="14"/>
  <c r="G187" i="14"/>
  <c r="G54" i="14"/>
  <c r="H54" i="14" s="1"/>
  <c r="G110" i="14"/>
  <c r="H110" i="14" s="1"/>
  <c r="G166" i="14"/>
  <c r="G210" i="14"/>
  <c r="H210" i="14" s="1"/>
  <c r="G242" i="14"/>
  <c r="G274" i="14"/>
  <c r="H274" i="14" s="1"/>
  <c r="G306" i="14"/>
  <c r="G58" i="14"/>
  <c r="G114" i="14"/>
  <c r="G178" i="14"/>
  <c r="H178" i="14" s="1"/>
  <c r="G220" i="14"/>
  <c r="G252" i="14"/>
  <c r="G284" i="14"/>
  <c r="G303" i="14"/>
  <c r="G233" i="14"/>
  <c r="G253" i="14"/>
  <c r="G92" i="14"/>
  <c r="G65" i="14"/>
  <c r="G157" i="14"/>
  <c r="G63" i="14"/>
  <c r="G135" i="14"/>
  <c r="H135" i="14" s="1"/>
  <c r="G62" i="14"/>
  <c r="G214" i="14"/>
  <c r="G286" i="14"/>
  <c r="G130" i="14"/>
  <c r="G256" i="14"/>
  <c r="G279" i="14"/>
  <c r="G168" i="14"/>
  <c r="G40" i="14"/>
  <c r="G259" i="14"/>
  <c r="G192" i="14"/>
  <c r="G64" i="14"/>
  <c r="G76" i="14"/>
  <c r="H76" i="14" s="1"/>
  <c r="G36" i="14"/>
  <c r="G269" i="14"/>
  <c r="H269" i="14" s="1"/>
  <c r="G28" i="14"/>
  <c r="G89" i="14"/>
  <c r="G161" i="14"/>
  <c r="G67" i="14"/>
  <c r="G159" i="14"/>
  <c r="H159" i="14" s="1"/>
  <c r="G70" i="14"/>
  <c r="H70" i="14" s="1"/>
  <c r="G218" i="14"/>
  <c r="G310" i="14"/>
  <c r="H310" i="14" s="1"/>
  <c r="G138" i="14"/>
  <c r="G260" i="14"/>
  <c r="G239" i="14"/>
  <c r="G152" i="14"/>
  <c r="G24" i="14"/>
  <c r="H24" i="14" s="1"/>
  <c r="G251" i="14"/>
  <c r="G176" i="14"/>
  <c r="G48" i="14"/>
  <c r="G213" i="14"/>
  <c r="G285" i="14"/>
  <c r="H285" i="14" s="1"/>
  <c r="G93" i="14"/>
  <c r="G185" i="14"/>
  <c r="G71" i="14"/>
  <c r="G163" i="14"/>
  <c r="G118" i="14"/>
  <c r="G222" i="14"/>
  <c r="H222" i="14" s="1"/>
  <c r="G18" i="14"/>
  <c r="G186" i="14"/>
  <c r="G264" i="14"/>
  <c r="G231" i="14"/>
  <c r="G136" i="14"/>
  <c r="G307" i="14"/>
  <c r="H307" i="14" s="1"/>
  <c r="G243" i="14"/>
  <c r="G160" i="14"/>
  <c r="G32" i="14"/>
  <c r="G44" i="14"/>
  <c r="G229" i="14"/>
  <c r="G124" i="14"/>
  <c r="H124" i="14" s="1"/>
  <c r="G25" i="14"/>
  <c r="H25" i="14" s="1"/>
  <c r="G97" i="14"/>
  <c r="G189" i="14"/>
  <c r="G95" i="14"/>
  <c r="G167" i="14"/>
  <c r="G246" i="14"/>
  <c r="G194" i="14"/>
  <c r="G288" i="14"/>
  <c r="H288" i="14" s="1"/>
  <c r="G223" i="14"/>
  <c r="G120" i="14"/>
  <c r="G299" i="14"/>
  <c r="G235" i="14"/>
  <c r="H235" i="14" s="1"/>
  <c r="G144" i="14"/>
  <c r="H144" i="14" s="1"/>
  <c r="G16" i="14"/>
  <c r="G172" i="14"/>
  <c r="G245" i="14"/>
  <c r="H245" i="14" s="1"/>
  <c r="G60" i="14"/>
  <c r="G29" i="14"/>
  <c r="G121" i="14"/>
  <c r="G193" i="14"/>
  <c r="H193" i="14" s="1"/>
  <c r="G99" i="14"/>
  <c r="G191" i="14"/>
  <c r="G126" i="14"/>
  <c r="G250" i="14"/>
  <c r="G66" i="14"/>
  <c r="G200" i="14"/>
  <c r="G292" i="14"/>
  <c r="G215" i="14"/>
  <c r="H215" i="14" s="1"/>
  <c r="G104" i="14"/>
  <c r="G291" i="14"/>
  <c r="G227" i="14"/>
  <c r="G128" i="14"/>
  <c r="G52" i="14"/>
  <c r="H52" i="14" s="1"/>
  <c r="G33" i="14"/>
  <c r="G125" i="14"/>
  <c r="H125" i="14" s="1"/>
  <c r="G31" i="14"/>
  <c r="G103" i="14"/>
  <c r="G195" i="14"/>
  <c r="G174" i="14"/>
  <c r="G254" i="14"/>
  <c r="G74" i="14"/>
  <c r="H74" i="14" s="1"/>
  <c r="G224" i="14"/>
  <c r="G296" i="14"/>
  <c r="H296" i="14" s="1"/>
  <c r="G207" i="14"/>
  <c r="G88" i="14"/>
  <c r="G283" i="14"/>
  <c r="G219" i="14"/>
  <c r="G112" i="14"/>
  <c r="H112" i="14" s="1"/>
  <c r="G96" i="14"/>
  <c r="G232" i="14"/>
  <c r="G61" i="14"/>
  <c r="H134" i="16"/>
  <c r="H135" i="17"/>
  <c r="H210" i="16"/>
  <c r="G203" i="14"/>
  <c r="H203" i="14" s="1"/>
  <c r="G228" i="14"/>
  <c r="H228" i="14" s="1"/>
  <c r="G14" i="14"/>
  <c r="H14" i="14" s="1"/>
  <c r="G57" i="14"/>
  <c r="H115" i="16"/>
  <c r="H132" i="16"/>
  <c r="G211" i="14"/>
  <c r="G56" i="14"/>
  <c r="G122" i="14"/>
  <c r="G131" i="14"/>
  <c r="G156" i="14"/>
  <c r="H267" i="16"/>
  <c r="G267" i="14"/>
  <c r="G72" i="14"/>
  <c r="G82" i="14"/>
  <c r="G127" i="14"/>
  <c r="H127" i="14" s="1"/>
  <c r="G275" i="14"/>
  <c r="H275" i="14" s="1"/>
  <c r="G184" i="14"/>
  <c r="G282" i="14"/>
  <c r="H282" i="14" s="1"/>
  <c r="G39" i="14"/>
  <c r="H65" i="13"/>
  <c r="G199" i="14"/>
  <c r="G278" i="14"/>
  <c r="G35" i="14"/>
  <c r="H147" i="15"/>
  <c r="G116" i="14"/>
  <c r="H153" i="13"/>
  <c r="H211" i="13"/>
  <c r="H305" i="13"/>
  <c r="H304" i="13"/>
  <c r="H145" i="13"/>
  <c r="W183" i="12"/>
  <c r="W186" i="12"/>
  <c r="H69" i="16"/>
  <c r="S181" i="12"/>
  <c r="S194" i="12"/>
  <c r="S183" i="12"/>
  <c r="S193" i="12"/>
  <c r="S185" i="12"/>
  <c r="S184" i="12"/>
  <c r="S187" i="12"/>
  <c r="S188" i="12"/>
  <c r="S189" i="12"/>
  <c r="S192" i="12"/>
  <c r="S191" i="12"/>
  <c r="S186" i="12"/>
  <c r="S195" i="12"/>
  <c r="G103" i="15"/>
  <c r="G79" i="15"/>
  <c r="G207" i="15"/>
  <c r="G303" i="15"/>
  <c r="G66" i="15"/>
  <c r="H66" i="15" s="1"/>
  <c r="G194" i="15"/>
  <c r="G295" i="15"/>
  <c r="H295" i="15" s="1"/>
  <c r="G166" i="15"/>
  <c r="G259" i="15"/>
  <c r="G195" i="15"/>
  <c r="G131" i="15"/>
  <c r="G67" i="15"/>
  <c r="G214" i="15"/>
  <c r="G62" i="15"/>
  <c r="H62" i="15" s="1"/>
  <c r="G300" i="15"/>
  <c r="G268" i="15"/>
  <c r="G236" i="15"/>
  <c r="G204" i="15"/>
  <c r="G172" i="15"/>
  <c r="G140" i="15"/>
  <c r="G108" i="15"/>
  <c r="G76" i="15"/>
  <c r="G44" i="15"/>
  <c r="G12" i="15"/>
  <c r="H12" i="15" s="1"/>
  <c r="G281" i="15"/>
  <c r="G249" i="15"/>
  <c r="G217" i="15"/>
  <c r="G185" i="15"/>
  <c r="H185" i="15" s="1"/>
  <c r="G153" i="15"/>
  <c r="G121" i="15"/>
  <c r="H121" i="15" s="1"/>
  <c r="G89" i="15"/>
  <c r="G57" i="15"/>
  <c r="G25" i="15"/>
  <c r="G119" i="15"/>
  <c r="G90" i="15"/>
  <c r="G138" i="15"/>
  <c r="G58" i="15"/>
  <c r="R194" i="12"/>
  <c r="R192" i="12"/>
  <c r="E401" i="18"/>
  <c r="X183" i="12"/>
  <c r="X181" i="12"/>
  <c r="G95" i="15"/>
  <c r="G223" i="15"/>
  <c r="G82" i="15"/>
  <c r="G210" i="15"/>
  <c r="G306" i="15"/>
  <c r="G158" i="15"/>
  <c r="G54" i="15"/>
  <c r="G251" i="15"/>
  <c r="G187" i="15"/>
  <c r="G123" i="15"/>
  <c r="G59" i="15"/>
  <c r="H59" i="15" s="1"/>
  <c r="G190" i="15"/>
  <c r="G46" i="15"/>
  <c r="G296" i="15"/>
  <c r="G264" i="15"/>
  <c r="G232" i="15"/>
  <c r="G200" i="15"/>
  <c r="G168" i="15"/>
  <c r="G136" i="15"/>
  <c r="G104" i="15"/>
  <c r="G72" i="15"/>
  <c r="G40" i="15"/>
  <c r="G309" i="15"/>
  <c r="G277" i="15"/>
  <c r="G245" i="15"/>
  <c r="G213" i="15"/>
  <c r="G181" i="15"/>
  <c r="G149" i="15"/>
  <c r="H149" i="15" s="1"/>
  <c r="G117" i="15"/>
  <c r="G85" i="15"/>
  <c r="G53" i="15"/>
  <c r="G21" i="15"/>
  <c r="G151" i="15"/>
  <c r="G154" i="15"/>
  <c r="G170" i="15"/>
  <c r="G122" i="15"/>
  <c r="H122" i="15" s="1"/>
  <c r="R182" i="12"/>
  <c r="R188" i="12"/>
  <c r="X196" i="12"/>
  <c r="X194" i="12"/>
  <c r="G111" i="15"/>
  <c r="G239" i="15"/>
  <c r="G98" i="15"/>
  <c r="G226" i="15"/>
  <c r="G230" i="15"/>
  <c r="G142" i="15"/>
  <c r="G307" i="15"/>
  <c r="G243" i="15"/>
  <c r="G179" i="15"/>
  <c r="G115" i="15"/>
  <c r="G51" i="15"/>
  <c r="G174" i="15"/>
  <c r="G38" i="15"/>
  <c r="G292" i="15"/>
  <c r="G260" i="15"/>
  <c r="G228" i="15"/>
  <c r="G196" i="15"/>
  <c r="G164" i="15"/>
  <c r="G132" i="15"/>
  <c r="G100" i="15"/>
  <c r="G68" i="15"/>
  <c r="G36" i="15"/>
  <c r="G305" i="15"/>
  <c r="G273" i="15"/>
  <c r="G241" i="15"/>
  <c r="G209" i="15"/>
  <c r="H209" i="15" s="1"/>
  <c r="G177" i="15"/>
  <c r="G145" i="15"/>
  <c r="G113" i="15"/>
  <c r="H113" i="15" s="1"/>
  <c r="G81" i="15"/>
  <c r="G49" i="15"/>
  <c r="G17" i="15"/>
  <c r="G183" i="15"/>
  <c r="G218" i="15"/>
  <c r="G202" i="15"/>
  <c r="G186" i="15"/>
  <c r="G298" i="15"/>
  <c r="R193" i="12"/>
  <c r="R184" i="12"/>
  <c r="X192" i="12"/>
  <c r="X190" i="12"/>
  <c r="G127" i="15"/>
  <c r="G250" i="15"/>
  <c r="G114" i="15"/>
  <c r="G242" i="15"/>
  <c r="G222" i="15"/>
  <c r="G126" i="15"/>
  <c r="G299" i="15"/>
  <c r="G235" i="15"/>
  <c r="G171" i="15"/>
  <c r="G107" i="15"/>
  <c r="H107" i="15" s="1"/>
  <c r="G43" i="15"/>
  <c r="H43" i="15" s="1"/>
  <c r="G150" i="15"/>
  <c r="G30" i="15"/>
  <c r="G288" i="15"/>
  <c r="G256" i="15"/>
  <c r="G224" i="15"/>
  <c r="G192" i="15"/>
  <c r="G160" i="15"/>
  <c r="G128" i="15"/>
  <c r="G96" i="15"/>
  <c r="G64" i="15"/>
  <c r="G32" i="15"/>
  <c r="G301" i="15"/>
  <c r="G269" i="15"/>
  <c r="G237" i="15"/>
  <c r="G205" i="15"/>
  <c r="G173" i="15"/>
  <c r="G141" i="15"/>
  <c r="G109" i="15"/>
  <c r="G77" i="15"/>
  <c r="G45" i="15"/>
  <c r="G13" i="15"/>
  <c r="G215" i="15"/>
  <c r="G270" i="15"/>
  <c r="G234" i="15"/>
  <c r="G247" i="15"/>
  <c r="G199" i="15"/>
  <c r="G167" i="15"/>
  <c r="H167" i="15" s="1"/>
  <c r="R189" i="12"/>
  <c r="R186" i="12"/>
  <c r="V75" i="12"/>
  <c r="X188" i="12"/>
  <c r="X186" i="12"/>
  <c r="G15" i="15"/>
  <c r="G143" i="15"/>
  <c r="G262" i="15"/>
  <c r="G130" i="15"/>
  <c r="G254" i="15"/>
  <c r="G206" i="15"/>
  <c r="G118" i="15"/>
  <c r="G291" i="15"/>
  <c r="G227" i="15"/>
  <c r="G163" i="15"/>
  <c r="G99" i="15"/>
  <c r="G35" i="15"/>
  <c r="G134" i="15"/>
  <c r="G22" i="15"/>
  <c r="G284" i="15"/>
  <c r="G252" i="15"/>
  <c r="G220" i="15"/>
  <c r="G188" i="15"/>
  <c r="G156" i="15"/>
  <c r="H156" i="15" s="1"/>
  <c r="G124" i="15"/>
  <c r="G92" i="15"/>
  <c r="G60" i="15"/>
  <c r="G28" i="15"/>
  <c r="G297" i="15"/>
  <c r="G265" i="15"/>
  <c r="G233" i="15"/>
  <c r="G201" i="15"/>
  <c r="G169" i="15"/>
  <c r="G137" i="15"/>
  <c r="G105" i="15"/>
  <c r="G73" i="15"/>
  <c r="G41" i="15"/>
  <c r="G246" i="15"/>
  <c r="G311" i="15"/>
  <c r="G258" i="15"/>
  <c r="G290" i="15"/>
  <c r="G71" i="15"/>
  <c r="H71" i="15" s="1"/>
  <c r="R185" i="12"/>
  <c r="Y196" i="12"/>
  <c r="X184" i="12"/>
  <c r="S120" i="12"/>
  <c r="O120" i="12"/>
  <c r="Q120" i="12"/>
  <c r="J131" i="12"/>
  <c r="N131" i="12" s="1"/>
  <c r="E383" i="18"/>
  <c r="E228" i="18"/>
  <c r="I201" i="17" s="1"/>
  <c r="E129" i="18"/>
  <c r="E141" i="18"/>
  <c r="E117" i="18"/>
  <c r="E340" i="18"/>
  <c r="E493" i="18"/>
  <c r="E604" i="18"/>
  <c r="E411" i="18"/>
  <c r="E608" i="18"/>
  <c r="P183" i="12"/>
  <c r="P184" i="12"/>
  <c r="Y188" i="12"/>
  <c r="E300" i="18"/>
  <c r="E311" i="18"/>
  <c r="E301" i="18"/>
  <c r="E97" i="18"/>
  <c r="I70" i="15" s="1"/>
  <c r="E26" i="18"/>
  <c r="E267" i="18"/>
  <c r="I240" i="15" s="1"/>
  <c r="E78" i="18"/>
  <c r="I51" i="17" s="1"/>
  <c r="E567" i="18"/>
  <c r="E391" i="18"/>
  <c r="E579" i="18"/>
  <c r="P181" i="12"/>
  <c r="P182" i="12"/>
  <c r="Y189" i="12"/>
  <c r="E108" i="18"/>
  <c r="E349" i="18"/>
  <c r="E638" i="18"/>
  <c r="E211" i="18"/>
  <c r="E363" i="18"/>
  <c r="E45" i="18"/>
  <c r="E34" i="18"/>
  <c r="E46" i="18"/>
  <c r="I19" i="16" s="1"/>
  <c r="E216" i="18"/>
  <c r="E381" i="18"/>
  <c r="E451" i="18"/>
  <c r="P195" i="12"/>
  <c r="P196" i="12"/>
  <c r="E555" i="18"/>
  <c r="E182" i="18"/>
  <c r="I155" i="17" s="1"/>
  <c r="E663" i="18"/>
  <c r="E471" i="18"/>
  <c r="E279" i="18"/>
  <c r="E160" i="18"/>
  <c r="I133" i="17" s="1"/>
  <c r="E253" i="18"/>
  <c r="E212" i="18"/>
  <c r="E184" i="18"/>
  <c r="I157" i="17" s="1"/>
  <c r="E290" i="18"/>
  <c r="I263" i="14" s="1"/>
  <c r="E163" i="18"/>
  <c r="I136" i="17" s="1"/>
  <c r="P193" i="12"/>
  <c r="P194" i="12"/>
  <c r="E49" i="18"/>
  <c r="E51" i="18"/>
  <c r="E662" i="18"/>
  <c r="E71" i="18"/>
  <c r="E477" i="18"/>
  <c r="E472" i="18"/>
  <c r="E5" i="18"/>
  <c r="E14" i="18"/>
  <c r="E633" i="18"/>
  <c r="E600" i="18"/>
  <c r="E560" i="18"/>
  <c r="E85" i="18"/>
  <c r="E195" i="18"/>
  <c r="I168" i="17" s="1"/>
  <c r="E271" i="18"/>
  <c r="I244" i="16" s="1"/>
  <c r="E281" i="18"/>
  <c r="I254" i="16" s="1"/>
  <c r="P191" i="12"/>
  <c r="P192" i="12"/>
  <c r="E332" i="18"/>
  <c r="E202" i="18"/>
  <c r="E62" i="18"/>
  <c r="I35" i="16" s="1"/>
  <c r="E438" i="18"/>
  <c r="E361" i="18"/>
  <c r="E67" i="18"/>
  <c r="I40" i="16" s="1"/>
  <c r="E277" i="18"/>
  <c r="I250" i="15" s="1"/>
  <c r="E102" i="18"/>
  <c r="E392" i="18"/>
  <c r="E589" i="18"/>
  <c r="E305" i="18"/>
  <c r="E346" i="18"/>
  <c r="E586" i="18"/>
  <c r="E630" i="18"/>
  <c r="P189" i="12"/>
  <c r="M188" i="12"/>
  <c r="M183" i="12"/>
  <c r="Y185" i="12"/>
  <c r="M186" i="12"/>
  <c r="M181" i="12"/>
  <c r="Y181" i="12"/>
  <c r="M193" i="12"/>
  <c r="M184" i="12"/>
  <c r="Y194" i="12"/>
  <c r="M189" i="12"/>
  <c r="M182" i="12"/>
  <c r="Y187" i="12"/>
  <c r="M196" i="12"/>
  <c r="M195" i="12"/>
  <c r="Y183" i="12"/>
  <c r="M194" i="12"/>
  <c r="M191" i="12"/>
  <c r="M192" i="12"/>
  <c r="W181" i="12"/>
  <c r="U191" i="12"/>
  <c r="U182" i="12"/>
  <c r="U185" i="12"/>
  <c r="W190" i="12"/>
  <c r="U181" i="12"/>
  <c r="U196" i="12"/>
  <c r="W182" i="12"/>
  <c r="U192" i="12"/>
  <c r="W189" i="12"/>
  <c r="U190" i="12"/>
  <c r="W185" i="12"/>
  <c r="U195" i="12"/>
  <c r="U186" i="12"/>
  <c r="W196" i="12"/>
  <c r="W195" i="12"/>
  <c r="W194" i="12"/>
  <c r="W193" i="12"/>
  <c r="V188" i="12"/>
  <c r="U193" i="12"/>
  <c r="U194" i="12"/>
  <c r="W192" i="12"/>
  <c r="W191" i="12"/>
  <c r="W188" i="12"/>
  <c r="W187" i="12"/>
  <c r="U187" i="12"/>
  <c r="U188" i="12"/>
  <c r="W184" i="12"/>
  <c r="U183" i="12"/>
  <c r="O194" i="12"/>
  <c r="O193" i="12"/>
  <c r="O192" i="12"/>
  <c r="O191" i="12"/>
  <c r="Z181" i="12"/>
  <c r="Z193" i="12"/>
  <c r="O190" i="12"/>
  <c r="O189" i="12"/>
  <c r="O188" i="12"/>
  <c r="O187" i="12"/>
  <c r="O186" i="12"/>
  <c r="O185" i="12"/>
  <c r="O184" i="12"/>
  <c r="O183" i="12"/>
  <c r="O182" i="12"/>
  <c r="K46" i="20"/>
  <c r="G353" i="20"/>
  <c r="H353" i="20" s="1"/>
  <c r="G59" i="20"/>
  <c r="H59" i="20" s="1"/>
  <c r="G320" i="20"/>
  <c r="H320" i="20" s="1"/>
  <c r="K320" i="20"/>
  <c r="G192" i="20"/>
  <c r="H192" i="20" s="1"/>
  <c r="C24" i="20"/>
  <c r="S2" i="20"/>
  <c r="C25" i="20"/>
  <c r="K152" i="20"/>
  <c r="G21" i="20"/>
  <c r="H21" i="20" s="1"/>
  <c r="J21" i="20"/>
  <c r="G16" i="20"/>
  <c r="H16" i="20" s="1"/>
  <c r="O16" i="20" s="1"/>
  <c r="S16" i="20" s="1"/>
  <c r="J16" i="20"/>
  <c r="K336" i="20"/>
  <c r="K22" i="20"/>
  <c r="K363" i="20"/>
  <c r="K271" i="20"/>
  <c r="I54" i="20"/>
  <c r="I109" i="20"/>
  <c r="I60" i="20"/>
  <c r="I372" i="20"/>
  <c r="I334" i="20"/>
  <c r="I292" i="20"/>
  <c r="I238" i="20"/>
  <c r="I172" i="20"/>
  <c r="I44" i="20"/>
  <c r="I371" i="20"/>
  <c r="I260" i="20"/>
  <c r="I30" i="20"/>
  <c r="I62" i="20"/>
  <c r="I94" i="20"/>
  <c r="I126" i="20"/>
  <c r="I158" i="20"/>
  <c r="I282" i="20"/>
  <c r="I252" i="20"/>
  <c r="I370" i="20"/>
  <c r="I332" i="20"/>
  <c r="I289" i="20"/>
  <c r="I234" i="20"/>
  <c r="I164" i="20"/>
  <c r="I36" i="20"/>
  <c r="I329" i="20"/>
  <c r="I286" i="20"/>
  <c r="I230" i="20"/>
  <c r="I156" i="20"/>
  <c r="I28" i="20"/>
  <c r="I244" i="20"/>
  <c r="I33" i="20"/>
  <c r="I65" i="20"/>
  <c r="I97" i="20"/>
  <c r="I129" i="20"/>
  <c r="I161" i="20"/>
  <c r="I193" i="20"/>
  <c r="I225" i="20"/>
  <c r="I257" i="20"/>
  <c r="I34" i="20"/>
  <c r="I66" i="20"/>
  <c r="I98" i="20"/>
  <c r="I130" i="20"/>
  <c r="I162" i="20"/>
  <c r="I35" i="20"/>
  <c r="I67" i="20"/>
  <c r="I99" i="20"/>
  <c r="I131" i="20"/>
  <c r="I163" i="20"/>
  <c r="I195" i="20"/>
  <c r="I227" i="20"/>
  <c r="I259" i="20"/>
  <c r="I291" i="20"/>
  <c r="I323" i="20"/>
  <c r="I355" i="20"/>
  <c r="I236" i="20"/>
  <c r="I366" i="20"/>
  <c r="I326" i="20"/>
  <c r="I284" i="20"/>
  <c r="I226" i="20"/>
  <c r="I148" i="20"/>
  <c r="I20" i="20"/>
  <c r="I364" i="20"/>
  <c r="I324" i="20"/>
  <c r="I281" i="20"/>
  <c r="I222" i="20"/>
  <c r="I140" i="20"/>
  <c r="I220" i="20"/>
  <c r="I38" i="20"/>
  <c r="I70" i="20"/>
  <c r="I102" i="20"/>
  <c r="I134" i="20"/>
  <c r="I166" i="20"/>
  <c r="I369" i="20"/>
  <c r="I228" i="20"/>
  <c r="I362" i="20"/>
  <c r="I321" i="20"/>
  <c r="I278" i="20"/>
  <c r="I218" i="20"/>
  <c r="I132" i="20"/>
  <c r="I318" i="20"/>
  <c r="I276" i="20"/>
  <c r="I214" i="20"/>
  <c r="I124" i="20"/>
  <c r="I361" i="20"/>
  <c r="I204" i="20"/>
  <c r="I41" i="20"/>
  <c r="I73" i="20"/>
  <c r="I105" i="20"/>
  <c r="I137" i="20"/>
  <c r="I169" i="20"/>
  <c r="I201" i="20"/>
  <c r="I233" i="20"/>
  <c r="I265" i="20"/>
  <c r="I42" i="20"/>
  <c r="I74" i="20"/>
  <c r="I106" i="20"/>
  <c r="I138" i="20"/>
  <c r="I170" i="20"/>
  <c r="I43" i="20"/>
  <c r="I75" i="20"/>
  <c r="I107" i="20"/>
  <c r="I139" i="20"/>
  <c r="I171" i="20"/>
  <c r="I203" i="20"/>
  <c r="I235" i="20"/>
  <c r="I267" i="20"/>
  <c r="I299" i="20"/>
  <c r="I331" i="20"/>
  <c r="I212" i="20"/>
  <c r="I358" i="20"/>
  <c r="K359" i="20" s="1"/>
  <c r="I316" i="20"/>
  <c r="I273" i="20"/>
  <c r="I210" i="20"/>
  <c r="I116" i="20"/>
  <c r="I350" i="20"/>
  <c r="I308" i="20"/>
  <c r="I262" i="20"/>
  <c r="I198" i="20"/>
  <c r="I92" i="20"/>
  <c r="I330" i="20"/>
  <c r="I306" i="20"/>
  <c r="I17" i="20"/>
  <c r="I49" i="20"/>
  <c r="I81" i="20"/>
  <c r="I113" i="20"/>
  <c r="I145" i="20"/>
  <c r="I177" i="20"/>
  <c r="I209" i="20"/>
  <c r="I241" i="20"/>
  <c r="I18" i="20"/>
  <c r="I50" i="20"/>
  <c r="I82" i="20"/>
  <c r="I114" i="20"/>
  <c r="I146" i="20"/>
  <c r="I19" i="20"/>
  <c r="I51" i="20"/>
  <c r="I83" i="20"/>
  <c r="I115" i="20"/>
  <c r="I147" i="20"/>
  <c r="I179" i="20"/>
  <c r="I211" i="20"/>
  <c r="I243" i="20"/>
  <c r="I275" i="20"/>
  <c r="I307" i="20"/>
  <c r="I339" i="20"/>
  <c r="I354" i="20"/>
  <c r="I180" i="20"/>
  <c r="I348" i="20"/>
  <c r="I305" i="20"/>
  <c r="I258" i="20"/>
  <c r="I194" i="20"/>
  <c r="I84" i="20"/>
  <c r="I356" i="20"/>
  <c r="I246" i="20"/>
  <c r="I188" i="20"/>
  <c r="I57" i="20"/>
  <c r="I58" i="20"/>
  <c r="K59" i="20" s="1"/>
  <c r="I150" i="20"/>
  <c r="I79" i="20"/>
  <c r="I155" i="20"/>
  <c r="I338" i="20"/>
  <c r="I342" i="20"/>
  <c r="I202" i="20"/>
  <c r="I345" i="20"/>
  <c r="I206" i="20"/>
  <c r="I77" i="20"/>
  <c r="I153" i="20"/>
  <c r="I78" i="20"/>
  <c r="I154" i="20"/>
  <c r="I87" i="20"/>
  <c r="I251" i="20"/>
  <c r="I290" i="20"/>
  <c r="I337" i="20"/>
  <c r="I186" i="20"/>
  <c r="I232" i="20"/>
  <c r="I340" i="20"/>
  <c r="I190" i="20"/>
  <c r="I216" i="20"/>
  <c r="I136" i="20"/>
  <c r="I85" i="20"/>
  <c r="I173" i="20"/>
  <c r="I249" i="20"/>
  <c r="I86" i="20"/>
  <c r="I174" i="20"/>
  <c r="I91" i="20"/>
  <c r="I347" i="20"/>
  <c r="I274" i="20"/>
  <c r="I310" i="20"/>
  <c r="I178" i="20"/>
  <c r="I313" i="20"/>
  <c r="I182" i="20"/>
  <c r="I40" i="20"/>
  <c r="I89" i="20"/>
  <c r="I90" i="20"/>
  <c r="I23" i="20"/>
  <c r="I111" i="20"/>
  <c r="I187" i="20"/>
  <c r="I268" i="20"/>
  <c r="I300" i="20"/>
  <c r="I100" i="20"/>
  <c r="I80" i="20"/>
  <c r="I297" i="20"/>
  <c r="I76" i="20"/>
  <c r="I322" i="20"/>
  <c r="I25" i="20"/>
  <c r="I117" i="20"/>
  <c r="I205" i="20"/>
  <c r="I26" i="20"/>
  <c r="I118" i="20"/>
  <c r="I47" i="20"/>
  <c r="I123" i="20"/>
  <c r="I298" i="20"/>
  <c r="I88" i="20"/>
  <c r="I266" i="20"/>
  <c r="I52" i="20"/>
  <c r="I247" i="20"/>
  <c r="I231" i="20"/>
  <c r="I223" i="20"/>
  <c r="I215" i="20"/>
  <c r="I199" i="20"/>
  <c r="I191" i="20"/>
  <c r="I183" i="20"/>
  <c r="K184" i="20" s="1"/>
  <c r="I175" i="20"/>
  <c r="I167" i="20"/>
  <c r="I159" i="20"/>
  <c r="I135" i="20"/>
  <c r="I127" i="20"/>
  <c r="I103" i="20"/>
  <c r="I95" i="20"/>
  <c r="I71" i="20"/>
  <c r="I63" i="20"/>
  <c r="I39" i="20"/>
  <c r="I31" i="20"/>
  <c r="I374" i="20"/>
  <c r="I27" i="20"/>
  <c r="I213" i="20"/>
  <c r="I280" i="20"/>
  <c r="I302" i="20"/>
  <c r="I196" i="20"/>
  <c r="I219" i="20"/>
  <c r="I142" i="20"/>
  <c r="I185" i="20"/>
  <c r="I296" i="20"/>
  <c r="I32" i="20"/>
  <c r="I341" i="20"/>
  <c r="I309" i="20"/>
  <c r="I293" i="20"/>
  <c r="I269" i="20"/>
  <c r="I245" i="20"/>
  <c r="I237" i="20"/>
  <c r="I181" i="20"/>
  <c r="I149" i="20"/>
  <c r="I344" i="20"/>
  <c r="I122" i="20"/>
  <c r="I141" i="20"/>
  <c r="I96" i="20"/>
  <c r="I48" i="20"/>
  <c r="I368" i="20"/>
  <c r="I360" i="20"/>
  <c r="I352" i="20"/>
  <c r="K353" i="20" s="1"/>
  <c r="I328" i="20"/>
  <c r="I312" i="20"/>
  <c r="I304" i="20"/>
  <c r="I288" i="20"/>
  <c r="I272" i="20"/>
  <c r="I264" i="20"/>
  <c r="I256" i="20"/>
  <c r="I248" i="20"/>
  <c r="I240" i="20"/>
  <c r="I224" i="20"/>
  <c r="I208" i="20"/>
  <c r="I200" i="20"/>
  <c r="I168" i="20"/>
  <c r="I160" i="20"/>
  <c r="I144" i="20"/>
  <c r="I128" i="20"/>
  <c r="I120" i="20"/>
  <c r="I112" i="20"/>
  <c r="I104" i="20"/>
  <c r="I72" i="20"/>
  <c r="I64" i="20"/>
  <c r="I56" i="20"/>
  <c r="I24" i="20"/>
  <c r="I373" i="20"/>
  <c r="I357" i="20"/>
  <c r="I349" i="20"/>
  <c r="I333" i="20"/>
  <c r="I325" i="20"/>
  <c r="I317" i="20"/>
  <c r="I301" i="20"/>
  <c r="I285" i="20"/>
  <c r="I277" i="20"/>
  <c r="I261" i="20"/>
  <c r="I253" i="20"/>
  <c r="I229" i="20"/>
  <c r="I221" i="20"/>
  <c r="I197" i="20"/>
  <c r="I189" i="20"/>
  <c r="I165" i="20"/>
  <c r="I157" i="20"/>
  <c r="I133" i="20"/>
  <c r="I125" i="20"/>
  <c r="I101" i="20"/>
  <c r="I93" i="20"/>
  <c r="I69" i="20"/>
  <c r="I61" i="20"/>
  <c r="I37" i="20"/>
  <c r="I29" i="20"/>
  <c r="W15" i="20"/>
  <c r="Z187" i="12"/>
  <c r="Z196" i="12"/>
  <c r="Z188" i="12"/>
  <c r="Z183" i="12"/>
  <c r="Z191" i="12"/>
  <c r="Y184" i="12"/>
  <c r="Y190" i="12"/>
  <c r="Y191" i="12"/>
  <c r="Y186" i="12"/>
  <c r="Y193" i="12"/>
  <c r="Y182" i="12"/>
  <c r="Y192" i="12"/>
  <c r="E27" i="20"/>
  <c r="W27" i="20" s="1"/>
  <c r="X27" i="20"/>
  <c r="X15" i="20"/>
  <c r="X159" i="20"/>
  <c r="X51" i="20"/>
  <c r="X171" i="20"/>
  <c r="X255" i="20"/>
  <c r="X88" i="20"/>
  <c r="X99" i="20"/>
  <c r="X267" i="20"/>
  <c r="X351" i="20"/>
  <c r="X135" i="20"/>
  <c r="X147" i="20"/>
  <c r="X363" i="20"/>
  <c r="X207" i="20"/>
  <c r="X75" i="20"/>
  <c r="X231" i="20"/>
  <c r="X243" i="20"/>
  <c r="X219" i="20"/>
  <c r="P16" i="20"/>
  <c r="Y19" i="20"/>
  <c r="N18" i="20"/>
  <c r="O15" i="20"/>
  <c r="Q15" i="20"/>
  <c r="E65" i="18"/>
  <c r="I38" i="17" s="1"/>
  <c r="E530" i="18"/>
  <c r="E54" i="18"/>
  <c r="E75" i="18"/>
  <c r="E460" i="18"/>
  <c r="E262" i="18"/>
  <c r="E74" i="18"/>
  <c r="I47" i="15" s="1"/>
  <c r="E412" i="18"/>
  <c r="E38" i="18"/>
  <c r="E337" i="18"/>
  <c r="E540" i="18"/>
  <c r="E278" i="18"/>
  <c r="E145" i="18"/>
  <c r="E390" i="18"/>
  <c r="E237" i="18"/>
  <c r="E249" i="18"/>
  <c r="I222" i="15" s="1"/>
  <c r="E564" i="18"/>
  <c r="E334" i="18"/>
  <c r="E146" i="18"/>
  <c r="E357" i="18"/>
  <c r="E601" i="18"/>
  <c r="E636" i="18"/>
  <c r="E583" i="18"/>
  <c r="E72" i="18"/>
  <c r="E655" i="18"/>
  <c r="E646" i="18"/>
  <c r="E377" i="18"/>
  <c r="E549" i="18"/>
  <c r="E155" i="18"/>
  <c r="E343" i="18"/>
  <c r="E140" i="18"/>
  <c r="E177" i="18"/>
  <c r="E402" i="18"/>
  <c r="E134" i="18"/>
  <c r="E257" i="18"/>
  <c r="E639" i="18"/>
  <c r="E61" i="18"/>
  <c r="E225" i="18"/>
  <c r="E658" i="18"/>
  <c r="E214" i="18"/>
  <c r="E8" i="18"/>
  <c r="E427" i="18"/>
  <c r="E324" i="18"/>
  <c r="E217" i="18"/>
  <c r="E476" i="18"/>
  <c r="E302" i="18"/>
  <c r="E114" i="18"/>
  <c r="E37" i="18"/>
  <c r="E557" i="18"/>
  <c r="E596" i="18"/>
  <c r="E559" i="18"/>
  <c r="E40" i="18"/>
  <c r="E487" i="18"/>
  <c r="E386" i="18"/>
  <c r="E588" i="18"/>
  <c r="E28" i="18"/>
  <c r="E266" i="18"/>
  <c r="E252" i="18"/>
  <c r="E321" i="18"/>
  <c r="E491" i="18"/>
  <c r="E29" i="18"/>
  <c r="E227" i="18"/>
  <c r="E461" i="18"/>
  <c r="E188" i="18"/>
  <c r="E360" i="18"/>
  <c r="E535" i="18"/>
  <c r="E219" i="18"/>
  <c r="E355" i="18"/>
  <c r="E318" i="18"/>
  <c r="E203" i="18"/>
  <c r="E312" i="18"/>
  <c r="E543" i="18"/>
  <c r="E36" i="18"/>
  <c r="E73" i="18"/>
  <c r="E584" i="18"/>
  <c r="E69" i="18"/>
  <c r="E528" i="18"/>
  <c r="E573" i="18"/>
  <c r="E103" i="18"/>
  <c r="E119" i="18"/>
  <c r="E657" i="18"/>
  <c r="E47" i="18"/>
  <c r="E70" i="18"/>
  <c r="E156" i="18"/>
  <c r="E250" i="18"/>
  <c r="E224" i="18"/>
  <c r="E653" i="18"/>
  <c r="E10" i="18"/>
  <c r="E320" i="18"/>
  <c r="E358" i="18"/>
  <c r="E322" i="18"/>
  <c r="E296" i="18"/>
  <c r="E447" i="18"/>
  <c r="E218" i="18"/>
  <c r="E265" i="18"/>
  <c r="E254" i="18"/>
  <c r="E298" i="18"/>
  <c r="E288" i="18"/>
  <c r="E503" i="18"/>
  <c r="E285" i="18"/>
  <c r="E41" i="18"/>
  <c r="E496" i="18"/>
  <c r="E260" i="18"/>
  <c r="E488" i="18"/>
  <c r="E553" i="18"/>
  <c r="E444" i="18"/>
  <c r="E548" i="18"/>
  <c r="E529" i="18"/>
  <c r="E293" i="18"/>
  <c r="E326" i="18"/>
  <c r="E310" i="18"/>
  <c r="E122" i="18"/>
  <c r="E109" i="18"/>
  <c r="E485" i="18"/>
  <c r="E235" i="18"/>
  <c r="E128" i="18"/>
  <c r="E166" i="18"/>
  <c r="E170" i="18"/>
  <c r="E64" i="18"/>
  <c r="E613" i="18"/>
  <c r="E90" i="18"/>
  <c r="E618" i="18"/>
  <c r="E222" i="18"/>
  <c r="E66" i="18"/>
  <c r="E139" i="18"/>
  <c r="E537" i="18"/>
  <c r="E21" i="18"/>
  <c r="E306" i="18"/>
  <c r="E607" i="18"/>
  <c r="E303" i="18"/>
  <c r="E478" i="18"/>
  <c r="E405" i="18"/>
  <c r="E394" i="18"/>
  <c r="E578" i="18"/>
  <c r="T193" i="12"/>
  <c r="T191" i="12"/>
  <c r="T189" i="12"/>
  <c r="T187" i="12"/>
  <c r="T185" i="12"/>
  <c r="T183" i="12"/>
  <c r="T181" i="12"/>
  <c r="T195" i="12"/>
  <c r="T196" i="12"/>
  <c r="T194" i="12"/>
  <c r="T192" i="12"/>
  <c r="T190" i="12"/>
  <c r="T188" i="12"/>
  <c r="T186" i="12"/>
  <c r="T184" i="12"/>
  <c r="F3" i="11"/>
  <c r="E20" i="11"/>
  <c r="D19" i="12"/>
  <c r="E19" i="12"/>
  <c r="R120" i="12"/>
  <c r="C19" i="12"/>
  <c r="M70" i="12"/>
  <c r="I75" i="12"/>
  <c r="I136" i="12"/>
  <c r="E32" i="11"/>
  <c r="H53" i="11"/>
  <c r="H54" i="11" s="1"/>
  <c r="L131" i="12"/>
  <c r="O131" i="12" s="1"/>
  <c r="I53" i="11"/>
  <c r="I54" i="11" s="1"/>
  <c r="E241" i="18"/>
  <c r="E12" i="18"/>
  <c r="E96" i="18"/>
  <c r="E417" i="18"/>
  <c r="E545" i="18"/>
  <c r="E673" i="18"/>
  <c r="E467" i="18"/>
  <c r="E595" i="18"/>
  <c r="E422" i="18"/>
  <c r="E678" i="18"/>
  <c r="E640" i="18"/>
  <c r="E610" i="18"/>
  <c r="E580" i="18"/>
  <c r="E151" i="18"/>
  <c r="E501" i="18"/>
  <c r="E669" i="18"/>
  <c r="E507" i="18"/>
  <c r="E368" i="18"/>
  <c r="E670" i="18"/>
  <c r="E434" i="18"/>
  <c r="E492" i="18"/>
  <c r="E143" i="18"/>
  <c r="E570" i="18"/>
  <c r="E118" i="18"/>
  <c r="E175" i="18"/>
  <c r="E433" i="18"/>
  <c r="E561" i="18"/>
  <c r="E374" i="18"/>
  <c r="E483" i="18"/>
  <c r="E611" i="18"/>
  <c r="E454" i="18"/>
  <c r="E416" i="18"/>
  <c r="E672" i="18"/>
  <c r="E642" i="18"/>
  <c r="E612" i="18"/>
  <c r="E183" i="18"/>
  <c r="E521" i="18"/>
  <c r="E378" i="18"/>
  <c r="E527" i="18"/>
  <c r="E388" i="18"/>
  <c r="E424" i="18"/>
  <c r="E474" i="18"/>
  <c r="E532" i="18"/>
  <c r="E191" i="18"/>
  <c r="E91" i="18"/>
  <c r="E104" i="18"/>
  <c r="E425" i="18"/>
  <c r="E597" i="18"/>
  <c r="E431" i="18"/>
  <c r="E603" i="18"/>
  <c r="E526" i="18"/>
  <c r="E568" i="18"/>
  <c r="E626" i="18"/>
  <c r="E39" i="18"/>
  <c r="E335" i="18"/>
  <c r="E245" i="18"/>
  <c r="E248" i="18"/>
  <c r="E645" i="18"/>
  <c r="E651" i="18"/>
  <c r="E664" i="18"/>
  <c r="E159" i="18"/>
  <c r="E80" i="18"/>
  <c r="E131" i="18"/>
  <c r="E105" i="18"/>
  <c r="E172" i="18"/>
  <c r="E178" i="18"/>
  <c r="E221" i="18"/>
  <c r="E68" i="18"/>
  <c r="E110" i="18"/>
  <c r="E19" i="18"/>
  <c r="E581" i="18"/>
  <c r="E587" i="18"/>
  <c r="E536" i="18"/>
  <c r="E652" i="18"/>
  <c r="E204" i="18"/>
  <c r="E344" i="18"/>
  <c r="E25" i="18"/>
  <c r="E313" i="18"/>
  <c r="E98" i="18"/>
  <c r="E331" i="18"/>
  <c r="E173" i="18"/>
  <c r="E30" i="18"/>
  <c r="E286" i="18"/>
  <c r="E677" i="18"/>
  <c r="E442" i="18"/>
  <c r="E32" i="18"/>
  <c r="E81" i="18"/>
  <c r="E154" i="18"/>
  <c r="E44" i="18"/>
  <c r="E342" i="18"/>
  <c r="E619" i="18"/>
  <c r="E135" i="18"/>
  <c r="E83" i="18"/>
  <c r="E347" i="18"/>
  <c r="E181" i="18"/>
  <c r="E292" i="18"/>
  <c r="E198" i="18"/>
  <c r="E76" i="18"/>
  <c r="E628" i="18"/>
  <c r="E449" i="18"/>
  <c r="E577" i="18"/>
  <c r="E371" i="18"/>
  <c r="E499" i="18"/>
  <c r="E627" i="18"/>
  <c r="E486" i="18"/>
  <c r="E448" i="18"/>
  <c r="E418" i="18"/>
  <c r="E674" i="18"/>
  <c r="E644" i="18"/>
  <c r="E373" i="18"/>
  <c r="E541" i="18"/>
  <c r="E379" i="18"/>
  <c r="E551" i="18"/>
  <c r="E414" i="18"/>
  <c r="E464" i="18"/>
  <c r="E522" i="18"/>
  <c r="E572" i="18"/>
  <c r="E223" i="18"/>
  <c r="E243" i="18"/>
  <c r="E136" i="18"/>
  <c r="E445" i="18"/>
  <c r="E617" i="18"/>
  <c r="E455" i="18"/>
  <c r="E623" i="18"/>
  <c r="E566" i="18"/>
  <c r="E616" i="18"/>
  <c r="E666" i="18"/>
  <c r="E79" i="18"/>
  <c r="E352" i="18"/>
  <c r="E7" i="18"/>
  <c r="E280" i="18"/>
  <c r="E370" i="18"/>
  <c r="E384" i="18"/>
  <c r="E466" i="18"/>
  <c r="E231" i="18"/>
  <c r="E144" i="18"/>
  <c r="E259" i="18"/>
  <c r="E137" i="18"/>
  <c r="E364" i="18"/>
  <c r="E210" i="18"/>
  <c r="E27" i="18"/>
  <c r="E100" i="18"/>
  <c r="E142" i="18"/>
  <c r="E18" i="18"/>
  <c r="E621" i="18"/>
  <c r="E631" i="18"/>
  <c r="E624" i="18"/>
  <c r="E31" i="18"/>
  <c r="E189" i="18"/>
  <c r="E345" i="18"/>
  <c r="E57" i="18"/>
  <c r="E123" i="18"/>
  <c r="E130" i="18"/>
  <c r="E284" i="18"/>
  <c r="E11" i="18"/>
  <c r="E213" i="18"/>
  <c r="E115" i="18"/>
  <c r="E269" i="18"/>
  <c r="E520" i="18"/>
  <c r="E465" i="18"/>
  <c r="E593" i="18"/>
  <c r="E387" i="18"/>
  <c r="E515" i="18"/>
  <c r="E643" i="18"/>
  <c r="E518" i="18"/>
  <c r="E480" i="18"/>
  <c r="E450" i="18"/>
  <c r="E420" i="18"/>
  <c r="E676" i="18"/>
  <c r="E393" i="18"/>
  <c r="E565" i="18"/>
  <c r="E399" i="18"/>
  <c r="E571" i="18"/>
  <c r="E462" i="18"/>
  <c r="E504" i="18"/>
  <c r="E562" i="18"/>
  <c r="E620" i="18"/>
  <c r="E255" i="18"/>
  <c r="E164" i="18"/>
  <c r="E168" i="18"/>
  <c r="E469" i="18"/>
  <c r="E637" i="18"/>
  <c r="E475" i="18"/>
  <c r="E647" i="18"/>
  <c r="E606" i="18"/>
  <c r="E656" i="18"/>
  <c r="E428" i="18"/>
  <c r="E127" i="18"/>
  <c r="E329" i="18"/>
  <c r="E56" i="18"/>
  <c r="E389" i="18"/>
  <c r="E395" i="18"/>
  <c r="E446" i="18"/>
  <c r="E554" i="18"/>
  <c r="E295" i="18"/>
  <c r="E208" i="18"/>
  <c r="E180" i="18"/>
  <c r="E169" i="18"/>
  <c r="E205" i="18"/>
  <c r="E242" i="18"/>
  <c r="E59" i="18"/>
  <c r="E132" i="18"/>
  <c r="E174" i="18"/>
  <c r="E20" i="18"/>
  <c r="E665" i="18"/>
  <c r="E671" i="18"/>
  <c r="E426" i="18"/>
  <c r="E111" i="18"/>
  <c r="E48" i="18"/>
  <c r="E354" i="18"/>
  <c r="E89" i="18"/>
  <c r="E299" i="18"/>
  <c r="E162" i="18"/>
  <c r="E133" i="18"/>
  <c r="E52" i="18"/>
  <c r="E94" i="18"/>
  <c r="E350" i="18"/>
  <c r="E511" i="18"/>
  <c r="E500" i="18"/>
  <c r="E272" i="18"/>
  <c r="E209" i="18"/>
  <c r="E282" i="18"/>
  <c r="E236" i="18"/>
  <c r="E441" i="18"/>
  <c r="E558" i="18"/>
  <c r="E353" i="18"/>
  <c r="E125" i="18"/>
  <c r="E42" i="18"/>
  <c r="E339" i="18"/>
  <c r="E230" i="18"/>
  <c r="E598" i="18"/>
  <c r="E171" i="18"/>
  <c r="E246" i="18"/>
  <c r="E470" i="18"/>
  <c r="E193" i="18"/>
  <c r="E186" i="18"/>
  <c r="E575" i="18"/>
  <c r="E481" i="18"/>
  <c r="E609" i="18"/>
  <c r="E403" i="18"/>
  <c r="E531" i="18"/>
  <c r="E659" i="18"/>
  <c r="E550" i="18"/>
  <c r="E512" i="18"/>
  <c r="E482" i="18"/>
  <c r="E452" i="18"/>
  <c r="E23" i="18"/>
  <c r="E413" i="18"/>
  <c r="E585" i="18"/>
  <c r="E423" i="18"/>
  <c r="E591" i="18"/>
  <c r="E502" i="18"/>
  <c r="E552" i="18"/>
  <c r="E602" i="18"/>
  <c r="E660" i="18"/>
  <c r="E287" i="18"/>
  <c r="E356" i="18"/>
  <c r="E200" i="18"/>
  <c r="E489" i="18"/>
  <c r="E661" i="18"/>
  <c r="E495" i="18"/>
  <c r="E667" i="18"/>
  <c r="E654" i="18"/>
  <c r="E410" i="18"/>
  <c r="E468" i="18"/>
  <c r="E167" i="18"/>
  <c r="E338" i="18"/>
  <c r="E88" i="18"/>
  <c r="E429" i="18"/>
  <c r="E439" i="18"/>
  <c r="E534" i="18"/>
  <c r="E634" i="18"/>
  <c r="E359" i="18"/>
  <c r="E264" i="18"/>
  <c r="E348" i="18"/>
  <c r="E201" i="18"/>
  <c r="E9" i="18"/>
  <c r="E274" i="18"/>
  <c r="E147" i="18"/>
  <c r="E196" i="18"/>
  <c r="E206" i="18"/>
  <c r="E365" i="18"/>
  <c r="E375" i="18"/>
  <c r="E406" i="18"/>
  <c r="E506" i="18"/>
  <c r="E199" i="18"/>
  <c r="E112" i="18"/>
  <c r="E187" i="18"/>
  <c r="E121" i="18"/>
  <c r="E276" i="18"/>
  <c r="E194" i="18"/>
  <c r="E333" i="18"/>
  <c r="E84" i="18"/>
  <c r="E126" i="18"/>
  <c r="E17" i="18"/>
  <c r="E599" i="18"/>
  <c r="E668" i="18"/>
  <c r="E336" i="18"/>
  <c r="E289" i="18"/>
  <c r="E307" i="18"/>
  <c r="E22" i="18"/>
  <c r="E525" i="18"/>
  <c r="E432" i="18"/>
  <c r="E308" i="18"/>
  <c r="E33" i="18"/>
  <c r="E106" i="18"/>
  <c r="E229" i="18"/>
  <c r="E294" i="18"/>
  <c r="E648" i="18"/>
  <c r="E407" i="18"/>
  <c r="E569" i="18"/>
  <c r="E58" i="18"/>
  <c r="E256" i="18"/>
  <c r="E220" i="18"/>
  <c r="E369" i="18"/>
  <c r="E497" i="18"/>
  <c r="E625" i="18"/>
  <c r="E419" i="18"/>
  <c r="E547" i="18"/>
  <c r="E675" i="18"/>
  <c r="E582" i="18"/>
  <c r="E544" i="18"/>
  <c r="E514" i="18"/>
  <c r="E484" i="18"/>
  <c r="E55" i="18"/>
  <c r="E437" i="18"/>
  <c r="E605" i="18"/>
  <c r="E443" i="18"/>
  <c r="E615" i="18"/>
  <c r="E542" i="18"/>
  <c r="E592" i="18"/>
  <c r="E650" i="18"/>
  <c r="E6" i="18"/>
  <c r="E319" i="18"/>
  <c r="E149" i="18"/>
  <c r="E232" i="18"/>
  <c r="E509" i="18"/>
  <c r="E366" i="18"/>
  <c r="E519" i="18"/>
  <c r="E376" i="18"/>
  <c r="E400" i="18"/>
  <c r="E458" i="18"/>
  <c r="E508" i="18"/>
  <c r="E207" i="18"/>
  <c r="E179" i="18"/>
  <c r="E120" i="18"/>
  <c r="E473" i="18"/>
  <c r="E479" i="18"/>
  <c r="E622" i="18"/>
  <c r="E436" i="18"/>
  <c r="E314" i="18"/>
  <c r="E304" i="18"/>
  <c r="E165" i="18"/>
  <c r="E233" i="18"/>
  <c r="E50" i="18"/>
  <c r="E107" i="18"/>
  <c r="E244" i="18"/>
  <c r="E157" i="18"/>
  <c r="E238" i="18"/>
  <c r="E409" i="18"/>
  <c r="E415" i="18"/>
  <c r="E494" i="18"/>
  <c r="E594" i="18"/>
  <c r="E263" i="18"/>
  <c r="E176" i="18"/>
  <c r="E323" i="18"/>
  <c r="E153" i="18"/>
  <c r="E101" i="18"/>
  <c r="E226" i="18"/>
  <c r="E43" i="18"/>
  <c r="E116" i="18"/>
  <c r="E158" i="18"/>
  <c r="E15" i="18"/>
  <c r="E372" i="18"/>
  <c r="E95" i="18"/>
  <c r="E330" i="18"/>
  <c r="E251" i="18"/>
  <c r="E93" i="18"/>
  <c r="E86" i="18"/>
  <c r="E362" i="18"/>
  <c r="E397" i="18"/>
  <c r="E430" i="18"/>
  <c r="E113" i="18"/>
  <c r="E385" i="18"/>
  <c r="E513" i="18"/>
  <c r="E641" i="18"/>
  <c r="E435" i="18"/>
  <c r="E563" i="18"/>
  <c r="E380" i="18"/>
  <c r="E614" i="18"/>
  <c r="E576" i="18"/>
  <c r="E546" i="18"/>
  <c r="E516" i="18"/>
  <c r="E87" i="18"/>
  <c r="E457" i="18"/>
  <c r="E629" i="18"/>
  <c r="E463" i="18"/>
  <c r="E635" i="18"/>
  <c r="E590" i="18"/>
  <c r="E632" i="18"/>
  <c r="E404" i="18"/>
  <c r="E63" i="18"/>
  <c r="E351" i="18"/>
  <c r="E317" i="18"/>
  <c r="E24" i="18"/>
  <c r="E533" i="18"/>
  <c r="E367" i="18"/>
  <c r="E539" i="18"/>
  <c r="E398" i="18"/>
  <c r="E440" i="18"/>
  <c r="E498" i="18"/>
  <c r="E556" i="18"/>
  <c r="E239" i="18"/>
  <c r="E315" i="18"/>
  <c r="E152" i="18"/>
  <c r="E517" i="18"/>
  <c r="E523" i="18"/>
  <c r="E408" i="18"/>
  <c r="E524" i="18"/>
  <c r="E283" i="18"/>
  <c r="E328" i="18"/>
  <c r="E341" i="18"/>
  <c r="E273" i="18"/>
  <c r="E82" i="18"/>
  <c r="E275" i="18"/>
  <c r="E77" i="18"/>
  <c r="E325" i="18"/>
  <c r="E270" i="18"/>
  <c r="E453" i="18"/>
  <c r="E459" i="18"/>
  <c r="E574" i="18"/>
  <c r="E396" i="18"/>
  <c r="E327" i="18"/>
  <c r="E240" i="18"/>
  <c r="E268" i="18"/>
  <c r="E185" i="18"/>
  <c r="E309" i="18"/>
  <c r="E258" i="18"/>
  <c r="E99" i="18"/>
  <c r="E148" i="18"/>
  <c r="E190" i="18"/>
  <c r="E421" i="18"/>
  <c r="E510" i="18"/>
  <c r="E247" i="18"/>
  <c r="E291" i="18"/>
  <c r="E53" i="18"/>
  <c r="E35" i="18"/>
  <c r="E150" i="18"/>
  <c r="E382" i="18"/>
  <c r="E490" i="18"/>
  <c r="E192" i="18"/>
  <c r="E161" i="18"/>
  <c r="E234" i="18"/>
  <c r="E124" i="18"/>
  <c r="E13" i="18"/>
  <c r="E215" i="18"/>
  <c r="E316" i="18"/>
  <c r="E20" i="12"/>
  <c r="E15" i="11"/>
  <c r="K187" i="12"/>
  <c r="K193" i="12"/>
  <c r="K183" i="12"/>
  <c r="K189" i="12"/>
  <c r="K192" i="12"/>
  <c r="K185" i="12"/>
  <c r="K184" i="12"/>
  <c r="K181" i="12"/>
  <c r="K194" i="12"/>
  <c r="K196" i="12"/>
  <c r="K190" i="12"/>
  <c r="K188" i="12"/>
  <c r="K195" i="12"/>
  <c r="K186" i="12"/>
  <c r="G53" i="11"/>
  <c r="G54" i="11" s="1"/>
  <c r="F53" i="11"/>
  <c r="F54" i="11" s="1"/>
  <c r="K191" i="12"/>
  <c r="E16" i="11"/>
  <c r="L40" i="12" l="1"/>
  <c r="L38" i="12"/>
  <c r="L39" i="12"/>
  <c r="I189" i="17"/>
  <c r="H126" i="16"/>
  <c r="H127" i="16"/>
  <c r="H65" i="16"/>
  <c r="H64" i="16"/>
  <c r="H233" i="16"/>
  <c r="H288" i="16"/>
  <c r="H67" i="17"/>
  <c r="H66" i="17"/>
  <c r="H80" i="13"/>
  <c r="H63" i="16"/>
  <c r="H149" i="16"/>
  <c r="H190" i="17"/>
  <c r="H69" i="17"/>
  <c r="H70" i="17"/>
  <c r="H269" i="16"/>
  <c r="H268" i="16"/>
  <c r="H19" i="16"/>
  <c r="H18" i="16"/>
  <c r="H273" i="16"/>
  <c r="H274" i="16"/>
  <c r="H196" i="17"/>
  <c r="H197" i="17"/>
  <c r="H247" i="16"/>
  <c r="H226" i="15"/>
  <c r="H245" i="13"/>
  <c r="H246" i="13"/>
  <c r="H34" i="16"/>
  <c r="H35" i="16"/>
  <c r="H152" i="16"/>
  <c r="H153" i="16"/>
  <c r="H111" i="16"/>
  <c r="H110" i="16"/>
  <c r="H198" i="16"/>
  <c r="H199" i="16"/>
  <c r="H220" i="13"/>
  <c r="H129" i="13"/>
  <c r="H159" i="13"/>
  <c r="H138" i="16"/>
  <c r="H322" i="17"/>
  <c r="H323" i="17"/>
  <c r="H193" i="17"/>
  <c r="H151" i="16"/>
  <c r="H333" i="13"/>
  <c r="H361" i="17"/>
  <c r="H251" i="16"/>
  <c r="H130" i="16"/>
  <c r="H273" i="17"/>
  <c r="H258" i="17"/>
  <c r="H113" i="17"/>
  <c r="H176" i="16"/>
  <c r="H294" i="16"/>
  <c r="H47" i="16"/>
  <c r="H232" i="13"/>
  <c r="H257" i="17"/>
  <c r="H140" i="17"/>
  <c r="H224" i="17"/>
  <c r="H351" i="17"/>
  <c r="H296" i="17"/>
  <c r="H293" i="16"/>
  <c r="H292" i="16"/>
  <c r="H112" i="16"/>
  <c r="I58" i="16"/>
  <c r="I44" i="16"/>
  <c r="I18" i="16"/>
  <c r="I274" i="17"/>
  <c r="H199" i="14"/>
  <c r="H191" i="16"/>
  <c r="H251" i="14"/>
  <c r="H48" i="15"/>
  <c r="H79" i="16"/>
  <c r="H253" i="16"/>
  <c r="I111" i="16"/>
  <c r="H257" i="16"/>
  <c r="H98" i="16"/>
  <c r="H95" i="17"/>
  <c r="H318" i="17"/>
  <c r="H62" i="17"/>
  <c r="H24" i="17"/>
  <c r="H372" i="17"/>
  <c r="H173" i="17"/>
  <c r="H124" i="17"/>
  <c r="H303" i="17"/>
  <c r="H267" i="17"/>
  <c r="H68" i="17"/>
  <c r="H250" i="16"/>
  <c r="H188" i="16"/>
  <c r="H181" i="16"/>
  <c r="H158" i="16"/>
  <c r="H157" i="16"/>
  <c r="H32" i="16"/>
  <c r="H147" i="16"/>
  <c r="H76" i="16"/>
  <c r="H197" i="16"/>
  <c r="H52" i="17"/>
  <c r="H364" i="17"/>
  <c r="H317" i="17"/>
  <c r="H166" i="16"/>
  <c r="I251" i="16"/>
  <c r="H245" i="15"/>
  <c r="H124" i="16"/>
  <c r="H237" i="14"/>
  <c r="H89" i="16"/>
  <c r="H237" i="17"/>
  <c r="H216" i="17"/>
  <c r="H259" i="16"/>
  <c r="H248" i="16"/>
  <c r="H258" i="15"/>
  <c r="H264" i="15"/>
  <c r="H46" i="16"/>
  <c r="H119" i="16"/>
  <c r="H67" i="16"/>
  <c r="H87" i="15"/>
  <c r="H89" i="13"/>
  <c r="H35" i="13"/>
  <c r="H270" i="13"/>
  <c r="H368" i="13"/>
  <c r="H185" i="13"/>
  <c r="H61" i="13"/>
  <c r="H294" i="13"/>
  <c r="H31" i="13"/>
  <c r="H362" i="13"/>
  <c r="H211" i="16"/>
  <c r="H222" i="17"/>
  <c r="H37" i="17"/>
  <c r="H227" i="17"/>
  <c r="H230" i="17"/>
  <c r="H239" i="13"/>
  <c r="H268" i="13"/>
  <c r="H83" i="13"/>
  <c r="H316" i="17"/>
  <c r="H171" i="17"/>
  <c r="H201" i="17"/>
  <c r="H104" i="17"/>
  <c r="H111" i="17"/>
  <c r="H346" i="17"/>
  <c r="H116" i="17"/>
  <c r="H76" i="17"/>
  <c r="H333" i="17"/>
  <c r="H109" i="16"/>
  <c r="H96" i="16"/>
  <c r="H108" i="16"/>
  <c r="H36" i="16"/>
  <c r="H49" i="16"/>
  <c r="H302" i="16"/>
  <c r="H296" i="16"/>
  <c r="H13" i="16"/>
  <c r="H129" i="17"/>
  <c r="H39" i="16"/>
  <c r="H85" i="16"/>
  <c r="H126" i="13"/>
  <c r="H259" i="17"/>
  <c r="H281" i="17"/>
  <c r="H86" i="16"/>
  <c r="H44" i="16"/>
  <c r="H263" i="16"/>
  <c r="H173" i="16"/>
  <c r="H44" i="17"/>
  <c r="H229" i="17"/>
  <c r="H185" i="17"/>
  <c r="H178" i="17"/>
  <c r="H357" i="17"/>
  <c r="H55" i="16"/>
  <c r="H178" i="16"/>
  <c r="I273" i="16"/>
  <c r="H199" i="15"/>
  <c r="H238" i="16"/>
  <c r="H265" i="13"/>
  <c r="H291" i="13"/>
  <c r="H306" i="17"/>
  <c r="H103" i="16"/>
  <c r="H285" i="16"/>
  <c r="H59" i="16"/>
  <c r="H249" i="17"/>
  <c r="H343" i="17"/>
  <c r="H294" i="17"/>
  <c r="H164" i="13"/>
  <c r="H68" i="13"/>
  <c r="H85" i="17"/>
  <c r="H225" i="17"/>
  <c r="H155" i="16"/>
  <c r="H232" i="17"/>
  <c r="H245" i="17"/>
  <c r="H119" i="17"/>
  <c r="H42" i="17"/>
  <c r="H261" i="17"/>
  <c r="H242" i="16"/>
  <c r="H42" i="16"/>
  <c r="H309" i="16"/>
  <c r="H290" i="16"/>
  <c r="H167" i="16"/>
  <c r="H122" i="16"/>
  <c r="H307" i="16"/>
  <c r="H82" i="16"/>
  <c r="H208" i="16"/>
  <c r="H279" i="16"/>
  <c r="H113" i="16"/>
  <c r="H264" i="16"/>
  <c r="I45" i="16"/>
  <c r="I75" i="16"/>
  <c r="I22" i="17"/>
  <c r="I90" i="16"/>
  <c r="H246" i="15"/>
  <c r="H266" i="15"/>
  <c r="H227" i="15"/>
  <c r="H150" i="15"/>
  <c r="H242" i="15"/>
  <c r="H117" i="15"/>
  <c r="H89" i="15"/>
  <c r="H139" i="17"/>
  <c r="H24" i="15"/>
  <c r="H310" i="13"/>
  <c r="H371" i="13"/>
  <c r="H172" i="13"/>
  <c r="H111" i="13"/>
  <c r="H57" i="13"/>
  <c r="H93" i="13"/>
  <c r="H370" i="13"/>
  <c r="H259" i="13"/>
  <c r="H299" i="13"/>
  <c r="H148" i="13"/>
  <c r="H306" i="13"/>
  <c r="H201" i="13"/>
  <c r="H114" i="17"/>
  <c r="H70" i="15"/>
  <c r="H288" i="17"/>
  <c r="H41" i="13"/>
  <c r="H31" i="17"/>
  <c r="H275" i="17"/>
  <c r="H286" i="17"/>
  <c r="H263" i="17"/>
  <c r="H365" i="17"/>
  <c r="H338" i="17"/>
  <c r="H358" i="17"/>
  <c r="H93" i="16"/>
  <c r="H187" i="16"/>
  <c r="H270" i="16"/>
  <c r="H289" i="16"/>
  <c r="H182" i="16"/>
  <c r="H244" i="16"/>
  <c r="H50" i="16"/>
  <c r="H215" i="16"/>
  <c r="H236" i="16"/>
  <c r="H73" i="16"/>
  <c r="H100" i="16"/>
  <c r="H16" i="16"/>
  <c r="H29" i="16"/>
  <c r="H48" i="17"/>
  <c r="H341" i="17"/>
  <c r="H340" i="17"/>
  <c r="I210" i="14"/>
  <c r="I252" i="17"/>
  <c r="H48" i="14"/>
  <c r="H166" i="14"/>
  <c r="H296" i="13"/>
  <c r="H221" i="17"/>
  <c r="H57" i="17"/>
  <c r="H56" i="17"/>
  <c r="H243" i="17"/>
  <c r="H329" i="17"/>
  <c r="H283" i="17"/>
  <c r="H78" i="17"/>
  <c r="H77" i="17"/>
  <c r="H136" i="15"/>
  <c r="H347" i="17"/>
  <c r="H272" i="17"/>
  <c r="H213" i="13"/>
  <c r="H186" i="13"/>
  <c r="H335" i="17"/>
  <c r="H287" i="13"/>
  <c r="H79" i="17"/>
  <c r="H213" i="15"/>
  <c r="H248" i="14"/>
  <c r="H69" i="14"/>
  <c r="H250" i="13"/>
  <c r="H221" i="13"/>
  <c r="H196" i="13"/>
  <c r="H97" i="13"/>
  <c r="H360" i="13"/>
  <c r="H91" i="17"/>
  <c r="H128" i="17"/>
  <c r="H127" i="17"/>
  <c r="H208" i="17"/>
  <c r="H313" i="17"/>
  <c r="H314" i="17"/>
  <c r="H253" i="17"/>
  <c r="H320" i="17"/>
  <c r="I48" i="17"/>
  <c r="H137" i="15"/>
  <c r="H111" i="15"/>
  <c r="H60" i="14"/>
  <c r="H302" i="17"/>
  <c r="H234" i="17"/>
  <c r="H175" i="17"/>
  <c r="H102" i="17"/>
  <c r="H147" i="13"/>
  <c r="H355" i="13"/>
  <c r="H291" i="17"/>
  <c r="H290" i="17"/>
  <c r="H312" i="17"/>
  <c r="H321" i="17"/>
  <c r="H73" i="17"/>
  <c r="H211" i="17"/>
  <c r="H35" i="15"/>
  <c r="H232" i="15"/>
  <c r="H249" i="15"/>
  <c r="H204" i="15"/>
  <c r="H160" i="13"/>
  <c r="H152" i="14"/>
  <c r="H136" i="13"/>
  <c r="H110" i="13"/>
  <c r="H44" i="13"/>
  <c r="H144" i="13"/>
  <c r="H56" i="13"/>
  <c r="H286" i="13"/>
  <c r="H352" i="17"/>
  <c r="H159" i="17"/>
  <c r="H168" i="17"/>
  <c r="H83" i="17"/>
  <c r="H298" i="17"/>
  <c r="H284" i="17"/>
  <c r="H121" i="17"/>
  <c r="H34" i="17"/>
  <c r="I175" i="14"/>
  <c r="H201" i="15"/>
  <c r="H99" i="15"/>
  <c r="H305" i="15"/>
  <c r="H303" i="14"/>
  <c r="H95" i="14"/>
  <c r="H271" i="13"/>
  <c r="H311" i="17"/>
  <c r="H342" i="17"/>
  <c r="H177" i="15"/>
  <c r="H40" i="13"/>
  <c r="H203" i="17"/>
  <c r="H106" i="17"/>
  <c r="H240" i="13"/>
  <c r="H138" i="13"/>
  <c r="H13" i="13"/>
  <c r="H329" i="13"/>
  <c r="H236" i="13"/>
  <c r="H150" i="17"/>
  <c r="H265" i="17"/>
  <c r="H206" i="17"/>
  <c r="H194" i="17"/>
  <c r="H195" i="17"/>
  <c r="H49" i="17"/>
  <c r="H153" i="17"/>
  <c r="J125" i="12"/>
  <c r="I118" i="17"/>
  <c r="H206" i="15"/>
  <c r="H171" i="15"/>
  <c r="H154" i="15"/>
  <c r="H82" i="14"/>
  <c r="H38" i="17"/>
  <c r="H33" i="14"/>
  <c r="H29" i="14"/>
  <c r="H163" i="14"/>
  <c r="H206" i="14"/>
  <c r="H241" i="14"/>
  <c r="H98" i="13"/>
  <c r="H132" i="13"/>
  <c r="H182" i="17"/>
  <c r="H310" i="17"/>
  <c r="H255" i="17"/>
  <c r="H191" i="17"/>
  <c r="H236" i="17"/>
  <c r="H344" i="17"/>
  <c r="H319" i="17"/>
  <c r="H72" i="17"/>
  <c r="H155" i="17"/>
  <c r="H154" i="17"/>
  <c r="H108" i="17"/>
  <c r="H204" i="17"/>
  <c r="H330" i="17"/>
  <c r="H241" i="15"/>
  <c r="H64" i="14"/>
  <c r="H253" i="14"/>
  <c r="H178" i="13"/>
  <c r="H155" i="13"/>
  <c r="H179" i="17"/>
  <c r="H278" i="17"/>
  <c r="H80" i="17"/>
  <c r="H88" i="17"/>
  <c r="H86" i="13"/>
  <c r="H103" i="17"/>
  <c r="H14" i="17"/>
  <c r="I27" i="15"/>
  <c r="H21" i="15"/>
  <c r="H195" i="15"/>
  <c r="H346" i="13"/>
  <c r="H211" i="14"/>
  <c r="H354" i="17"/>
  <c r="H165" i="13"/>
  <c r="H75" i="15"/>
  <c r="H279" i="15"/>
  <c r="H283" i="15"/>
  <c r="H228" i="17"/>
  <c r="H99" i="17"/>
  <c r="H130" i="17"/>
  <c r="H86" i="17"/>
  <c r="H93" i="17"/>
  <c r="H94" i="17"/>
  <c r="H59" i="17"/>
  <c r="H58" i="17"/>
  <c r="I185" i="14"/>
  <c r="H262" i="15"/>
  <c r="H126" i="15"/>
  <c r="H53" i="15"/>
  <c r="H25" i="15"/>
  <c r="H236" i="15"/>
  <c r="H103" i="15"/>
  <c r="H269" i="13"/>
  <c r="H35" i="14"/>
  <c r="H264" i="17"/>
  <c r="H174" i="14"/>
  <c r="H227" i="14"/>
  <c r="H334" i="13"/>
  <c r="H246" i="17"/>
  <c r="H309" i="13"/>
  <c r="H92" i="13"/>
  <c r="H19" i="13"/>
  <c r="H269" i="17"/>
  <c r="H280" i="15"/>
  <c r="H162" i="15"/>
  <c r="H300" i="17"/>
  <c r="H162" i="17"/>
  <c r="H250" i="17"/>
  <c r="H147" i="17"/>
  <c r="H109" i="17"/>
  <c r="H371" i="17"/>
  <c r="H158" i="17"/>
  <c r="H157" i="17"/>
  <c r="H64" i="17"/>
  <c r="H50" i="17"/>
  <c r="H164" i="17"/>
  <c r="H125" i="17"/>
  <c r="H241" i="17"/>
  <c r="H43" i="17"/>
  <c r="H276" i="17"/>
  <c r="I24" i="14"/>
  <c r="I226" i="14"/>
  <c r="I184" i="17"/>
  <c r="H163" i="15"/>
  <c r="H222" i="15"/>
  <c r="H40" i="15"/>
  <c r="H158" i="15"/>
  <c r="H57" i="15"/>
  <c r="H198" i="17"/>
  <c r="H195" i="14"/>
  <c r="H191" i="14"/>
  <c r="H44" i="14"/>
  <c r="H260" i="14"/>
  <c r="H183" i="14"/>
  <c r="H79" i="14"/>
  <c r="H354" i="13"/>
  <c r="H19" i="15"/>
  <c r="H294" i="15"/>
  <c r="H141" i="17"/>
  <c r="H72" i="13"/>
  <c r="H49" i="13"/>
  <c r="H100" i="13"/>
  <c r="H292" i="13"/>
  <c r="H277" i="13"/>
  <c r="H302" i="13"/>
  <c r="H121" i="13"/>
  <c r="H226" i="13"/>
  <c r="H323" i="13"/>
  <c r="H189" i="13"/>
  <c r="H320" i="13"/>
  <c r="H23" i="13"/>
  <c r="H186" i="17"/>
  <c r="H239" i="17"/>
  <c r="H137" i="17"/>
  <c r="H126" i="17"/>
  <c r="H339" i="13"/>
  <c r="H365" i="13"/>
  <c r="H231" i="17"/>
  <c r="H369" i="17"/>
  <c r="H165" i="17"/>
  <c r="H192" i="17"/>
  <c r="H268" i="17"/>
  <c r="H247" i="17"/>
  <c r="H213" i="17"/>
  <c r="H304" i="17"/>
  <c r="H19" i="17"/>
  <c r="H22" i="17"/>
  <c r="H112" i="17"/>
  <c r="H244" i="17"/>
  <c r="H332" i="17"/>
  <c r="H248" i="17"/>
  <c r="H287" i="17"/>
  <c r="H117" i="17"/>
  <c r="F77" i="11"/>
  <c r="N111" i="10"/>
  <c r="F41" i="11"/>
  <c r="D4" i="14" s="1"/>
  <c r="E41" i="11"/>
  <c r="E62" i="11" s="1"/>
  <c r="I77" i="11"/>
  <c r="H41" i="11"/>
  <c r="H62" i="11" s="1"/>
  <c r="G77" i="11"/>
  <c r="I41" i="11"/>
  <c r="G41" i="11"/>
  <c r="G62" i="11" s="1"/>
  <c r="Q196" i="12"/>
  <c r="J196" i="12" s="1"/>
  <c r="E77" i="11"/>
  <c r="Q184" i="12"/>
  <c r="J184" i="12" s="1"/>
  <c r="Q193" i="12"/>
  <c r="J193" i="12" s="1"/>
  <c r="Q182" i="12"/>
  <c r="J182" i="12" s="1"/>
  <c r="Q194" i="12"/>
  <c r="J194" i="12" s="1"/>
  <c r="Q188" i="12"/>
  <c r="J188" i="12" s="1"/>
  <c r="Q183" i="12"/>
  <c r="J183" i="12" s="1"/>
  <c r="Q189" i="12"/>
  <c r="J189" i="12" s="1"/>
  <c r="Q192" i="12"/>
  <c r="J192" i="12" s="1"/>
  <c r="Q186" i="12"/>
  <c r="J186" i="12" s="1"/>
  <c r="N44" i="10" s="1"/>
  <c r="Q185" i="12"/>
  <c r="J185" i="12" s="1"/>
  <c r="Q191" i="12"/>
  <c r="J191" i="12" s="1"/>
  <c r="Q195" i="12"/>
  <c r="J195" i="12" s="1"/>
  <c r="I33" i="14"/>
  <c r="I81" i="15"/>
  <c r="I102" i="15"/>
  <c r="H102" i="15"/>
  <c r="I170" i="15"/>
  <c r="I114" i="14"/>
  <c r="H173" i="15"/>
  <c r="H156" i="14"/>
  <c r="H232" i="14"/>
  <c r="H264" i="14"/>
  <c r="H286" i="15"/>
  <c r="H88" i="15"/>
  <c r="H67" i="13"/>
  <c r="H16" i="13"/>
  <c r="H283" i="14"/>
  <c r="H291" i="14"/>
  <c r="H246" i="14"/>
  <c r="H186" i="14"/>
  <c r="H89" i="14"/>
  <c r="H40" i="14"/>
  <c r="H242" i="14"/>
  <c r="H91" i="14"/>
  <c r="H21" i="14"/>
  <c r="H113" i="14"/>
  <c r="H164" i="14"/>
  <c r="H150" i="14"/>
  <c r="H19" i="14"/>
  <c r="H272" i="14"/>
  <c r="H230" i="14"/>
  <c r="H305" i="14"/>
  <c r="H222" i="13"/>
  <c r="H15" i="15"/>
  <c r="E54" i="11"/>
  <c r="R141" i="10" s="1"/>
  <c r="H123" i="15"/>
  <c r="H223" i="15"/>
  <c r="H67" i="15"/>
  <c r="H72" i="14"/>
  <c r="H103" i="14"/>
  <c r="H302" i="14"/>
  <c r="H56" i="15"/>
  <c r="H32" i="13"/>
  <c r="H253" i="13"/>
  <c r="H70" i="13"/>
  <c r="H267" i="13"/>
  <c r="H116" i="13"/>
  <c r="H113" i="13"/>
  <c r="H45" i="13"/>
  <c r="H282" i="13"/>
  <c r="H290" i="15"/>
  <c r="H95" i="15"/>
  <c r="H207" i="14"/>
  <c r="H31" i="14"/>
  <c r="H249" i="14"/>
  <c r="H272" i="15"/>
  <c r="H152" i="13"/>
  <c r="H121" i="14"/>
  <c r="H299" i="14"/>
  <c r="H256" i="14"/>
  <c r="H109" i="14"/>
  <c r="H86" i="14"/>
  <c r="H169" i="14"/>
  <c r="H277" i="14"/>
  <c r="H171" i="14"/>
  <c r="H101" i="14"/>
  <c r="H369" i="13"/>
  <c r="H302" i="15"/>
  <c r="H175" i="13"/>
  <c r="H170" i="13"/>
  <c r="H237" i="13"/>
  <c r="H307" i="13"/>
  <c r="H262" i="13"/>
  <c r="H36" i="13"/>
  <c r="H162" i="13"/>
  <c r="H331" i="13"/>
  <c r="H173" i="13"/>
  <c r="H28" i="13"/>
  <c r="H255" i="13"/>
  <c r="H228" i="13"/>
  <c r="H218" i="13"/>
  <c r="H191" i="13"/>
  <c r="H20" i="15"/>
  <c r="E64" i="11"/>
  <c r="I111" i="17"/>
  <c r="I111" i="14"/>
  <c r="I270" i="14"/>
  <c r="I270" i="16"/>
  <c r="I22" i="16"/>
  <c r="I75" i="14"/>
  <c r="I133" i="15"/>
  <c r="I234" i="17"/>
  <c r="I273" i="14"/>
  <c r="I133" i="16"/>
  <c r="I22" i="15"/>
  <c r="I273" i="17"/>
  <c r="I75" i="17"/>
  <c r="I157" i="16"/>
  <c r="I70" i="17"/>
  <c r="I35" i="15"/>
  <c r="I35" i="14"/>
  <c r="I35" i="17"/>
  <c r="I58" i="17"/>
  <c r="I58" i="14"/>
  <c r="I48" i="14"/>
  <c r="I170" i="14"/>
  <c r="I65" i="14"/>
  <c r="I170" i="17"/>
  <c r="I65" i="17"/>
  <c r="I65" i="15"/>
  <c r="I170" i="16"/>
  <c r="I184" i="16"/>
  <c r="I250" i="17"/>
  <c r="I234" i="14"/>
  <c r="I33" i="17"/>
  <c r="I58" i="15"/>
  <c r="I18" i="14"/>
  <c r="I70" i="14"/>
  <c r="I44" i="15"/>
  <c r="I18" i="15"/>
  <c r="I90" i="15"/>
  <c r="I157" i="15"/>
  <c r="I70" i="16"/>
  <c r="I254" i="15"/>
  <c r="I18" i="17"/>
  <c r="I44" i="17"/>
  <c r="I234" i="15"/>
  <c r="I19" i="15"/>
  <c r="I102" i="16"/>
  <c r="I240" i="16"/>
  <c r="I244" i="14"/>
  <c r="I19" i="17"/>
  <c r="I102" i="14"/>
  <c r="I136" i="16"/>
  <c r="I273" i="15"/>
  <c r="I157" i="14"/>
  <c r="I240" i="14"/>
  <c r="I244" i="15"/>
  <c r="I244" i="17"/>
  <c r="I240" i="17"/>
  <c r="I19" i="14"/>
  <c r="I102" i="17"/>
  <c r="I136" i="15"/>
  <c r="I136" i="14"/>
  <c r="I81" i="16"/>
  <c r="H81" i="15"/>
  <c r="H268" i="15"/>
  <c r="H166" i="15"/>
  <c r="H149" i="13"/>
  <c r="H157" i="15"/>
  <c r="H120" i="14"/>
  <c r="H130" i="14"/>
  <c r="H147" i="14"/>
  <c r="H290" i="13"/>
  <c r="H198" i="15"/>
  <c r="Q190" i="12"/>
  <c r="J190" i="12" s="1"/>
  <c r="Q181" i="12"/>
  <c r="J181" i="12" s="1"/>
  <c r="H174" i="13"/>
  <c r="H335" i="13"/>
  <c r="H336" i="13"/>
  <c r="H342" i="13"/>
  <c r="H343" i="13"/>
  <c r="H229" i="13"/>
  <c r="H198" i="13"/>
  <c r="H332" i="13"/>
  <c r="H179" i="13"/>
  <c r="H180" i="13"/>
  <c r="H120" i="13"/>
  <c r="H119" i="13"/>
  <c r="H261" i="13"/>
  <c r="H361" i="13"/>
  <c r="H193" i="13"/>
  <c r="H321" i="13"/>
  <c r="H114" i="13"/>
  <c r="H278" i="13"/>
  <c r="H341" i="13"/>
  <c r="H340" i="13"/>
  <c r="H182" i="13"/>
  <c r="H181" i="13"/>
  <c r="H273" i="13"/>
  <c r="H274" i="13"/>
  <c r="H233" i="15"/>
  <c r="H259" i="15"/>
  <c r="H219" i="13"/>
  <c r="H189" i="14"/>
  <c r="H154" i="14"/>
  <c r="H52" i="13"/>
  <c r="H205" i="13"/>
  <c r="H250" i="14"/>
  <c r="I252" i="14"/>
  <c r="I252" i="16"/>
  <c r="H297" i="15"/>
  <c r="H291" i="15"/>
  <c r="H44" i="15"/>
  <c r="H300" i="15"/>
  <c r="H278" i="14"/>
  <c r="H39" i="14"/>
  <c r="H131" i="14"/>
  <c r="H66" i="14"/>
  <c r="H223" i="14"/>
  <c r="H71" i="14"/>
  <c r="H58" i="14"/>
  <c r="H117" i="14"/>
  <c r="H216" i="14"/>
  <c r="H158" i="14"/>
  <c r="H23" i="14"/>
  <c r="H225" i="14"/>
  <c r="H308" i="14"/>
  <c r="H266" i="14"/>
  <c r="H115" i="14"/>
  <c r="H140" i="14"/>
  <c r="H34" i="14"/>
  <c r="H175" i="14"/>
  <c r="H105" i="14"/>
  <c r="H271" i="14"/>
  <c r="H107" i="14"/>
  <c r="H37" i="14"/>
  <c r="H289" i="13"/>
  <c r="H209" i="13"/>
  <c r="H210" i="13"/>
  <c r="H187" i="13"/>
  <c r="H324" i="13"/>
  <c r="H85" i="13"/>
  <c r="H84" i="13"/>
  <c r="H264" i="13"/>
  <c r="H76" i="13"/>
  <c r="H59" i="13"/>
  <c r="H60" i="13"/>
  <c r="H317" i="13"/>
  <c r="H316" i="13"/>
  <c r="H217" i="13"/>
  <c r="H241" i="13"/>
  <c r="H158" i="13"/>
  <c r="H128" i="13"/>
  <c r="H122" i="13"/>
  <c r="H123" i="13"/>
  <c r="H356" i="13"/>
  <c r="H242" i="13"/>
  <c r="H225" i="13"/>
  <c r="H257" i="13"/>
  <c r="H256" i="13"/>
  <c r="I250" i="14"/>
  <c r="H311" i="15"/>
  <c r="H280" i="14"/>
  <c r="H230" i="13"/>
  <c r="H231" i="13"/>
  <c r="H130" i="13"/>
  <c r="H131" i="13"/>
  <c r="I226" i="17"/>
  <c r="I75" i="15"/>
  <c r="H76" i="15"/>
  <c r="H194" i="15"/>
  <c r="H254" i="13"/>
  <c r="H122" i="14"/>
  <c r="H306" i="14"/>
  <c r="H84" i="15"/>
  <c r="H112" i="13"/>
  <c r="H227" i="13"/>
  <c r="H27" i="13"/>
  <c r="H42" i="13"/>
  <c r="H43" i="13"/>
  <c r="H345" i="13"/>
  <c r="H73" i="13"/>
  <c r="H167" i="13"/>
  <c r="H135" i="13"/>
  <c r="H134" i="13"/>
  <c r="H327" i="13"/>
  <c r="H328" i="13"/>
  <c r="H163" i="13"/>
  <c r="H33" i="13"/>
  <c r="H34" i="13"/>
  <c r="H364" i="13"/>
  <c r="H363" i="13"/>
  <c r="H298" i="13"/>
  <c r="H199" i="13"/>
  <c r="H350" i="13"/>
  <c r="H349" i="13"/>
  <c r="H285" i="13"/>
  <c r="H108" i="13"/>
  <c r="H90" i="13"/>
  <c r="H50" i="13"/>
  <c r="H96" i="13"/>
  <c r="H95" i="13"/>
  <c r="I90" i="17"/>
  <c r="H218" i="14"/>
  <c r="H263" i="13"/>
  <c r="H372" i="13"/>
  <c r="H272" i="13"/>
  <c r="H139" i="13"/>
  <c r="I189" i="15"/>
  <c r="I44" i="14"/>
  <c r="I184" i="15"/>
  <c r="H205" i="15"/>
  <c r="H250" i="15"/>
  <c r="H98" i="15"/>
  <c r="H153" i="15"/>
  <c r="H171" i="13"/>
  <c r="H56" i="14"/>
  <c r="H57" i="14"/>
  <c r="H172" i="14"/>
  <c r="H262" i="14"/>
  <c r="H212" i="15"/>
  <c r="H275" i="15"/>
  <c r="H176" i="15"/>
  <c r="H216" i="13"/>
  <c r="H75" i="13"/>
  <c r="H29" i="13"/>
  <c r="H311" i="13"/>
  <c r="H266" i="13"/>
  <c r="H168" i="13"/>
  <c r="H125" i="13"/>
  <c r="H124" i="13"/>
  <c r="H101" i="13"/>
  <c r="H103" i="13"/>
  <c r="H102" i="13"/>
  <c r="H315" i="13"/>
  <c r="H314" i="13"/>
  <c r="H248" i="13"/>
  <c r="H303" i="13"/>
  <c r="H258" i="13"/>
  <c r="H330" i="13"/>
  <c r="H156" i="13"/>
  <c r="H133" i="13"/>
  <c r="H94" i="13"/>
  <c r="H88" i="13"/>
  <c r="H58" i="13"/>
  <c r="H117" i="13"/>
  <c r="H244" i="13"/>
  <c r="H17" i="13"/>
  <c r="H96" i="14"/>
  <c r="H16" i="14"/>
  <c r="H50" i="14"/>
  <c r="H212" i="14"/>
  <c r="H257" i="14"/>
  <c r="H134" i="14"/>
  <c r="H287" i="15"/>
  <c r="H297" i="13"/>
  <c r="H313" i="13"/>
  <c r="H312" i="13"/>
  <c r="H81" i="13"/>
  <c r="H82" i="13"/>
  <c r="H64" i="13"/>
  <c r="H284" i="13"/>
  <c r="H53" i="13"/>
  <c r="H54" i="13"/>
  <c r="H63" i="13"/>
  <c r="H62" i="13"/>
  <c r="H25" i="13"/>
  <c r="H26" i="13"/>
  <c r="H293" i="13"/>
  <c r="H300" i="13"/>
  <c r="H37" i="13"/>
  <c r="I90" i="14"/>
  <c r="I47" i="16"/>
  <c r="H140" i="15"/>
  <c r="H214" i="13"/>
  <c r="I250" i="16"/>
  <c r="I226" i="16"/>
  <c r="I222" i="14"/>
  <c r="I22" i="14"/>
  <c r="I133" i="14"/>
  <c r="H130" i="15"/>
  <c r="H269" i="15"/>
  <c r="H235" i="15"/>
  <c r="H183" i="15"/>
  <c r="H187" i="15"/>
  <c r="H217" i="15"/>
  <c r="H16" i="15"/>
  <c r="H176" i="13"/>
  <c r="H99" i="14"/>
  <c r="H167" i="14"/>
  <c r="H32" i="14"/>
  <c r="H138" i="14"/>
  <c r="H28" i="14"/>
  <c r="H63" i="14"/>
  <c r="H209" i="14"/>
  <c r="H81" i="14"/>
  <c r="H198" i="14"/>
  <c r="H94" i="15"/>
  <c r="H15" i="13"/>
  <c r="H14" i="13"/>
  <c r="H367" i="13"/>
  <c r="H235" i="13"/>
  <c r="H202" i="13"/>
  <c r="H21" i="13"/>
  <c r="H207" i="13"/>
  <c r="H208" i="13"/>
  <c r="H195" i="13"/>
  <c r="H194" i="13"/>
  <c r="H99" i="13"/>
  <c r="H275" i="13"/>
  <c r="H276" i="13"/>
  <c r="H71" i="13"/>
  <c r="H30" i="13"/>
  <c r="H143" i="13"/>
  <c r="H308" i="13"/>
  <c r="H295" i="13"/>
  <c r="H203" i="13"/>
  <c r="H280" i="13"/>
  <c r="H338" i="13"/>
  <c r="H325" i="13"/>
  <c r="I254" i="14"/>
  <c r="I155" i="15"/>
  <c r="I114" i="16"/>
  <c r="H106" i="15"/>
  <c r="H105" i="15"/>
  <c r="H60" i="15"/>
  <c r="H61" i="15"/>
  <c r="H23" i="15"/>
  <c r="H22" i="15"/>
  <c r="H270" i="15"/>
  <c r="H271" i="15"/>
  <c r="H161" i="15"/>
  <c r="H160" i="15"/>
  <c r="H203" i="15"/>
  <c r="H202" i="15"/>
  <c r="H132" i="15"/>
  <c r="H52" i="15"/>
  <c r="H51" i="15"/>
  <c r="H170" i="15"/>
  <c r="H181" i="15"/>
  <c r="H182" i="15"/>
  <c r="H82" i="15"/>
  <c r="H83" i="15"/>
  <c r="H58" i="15"/>
  <c r="H108" i="15"/>
  <c r="H214" i="15"/>
  <c r="I270" i="15"/>
  <c r="H63" i="15"/>
  <c r="H219" i="14"/>
  <c r="H126" i="14"/>
  <c r="H194" i="14"/>
  <c r="H229" i="14"/>
  <c r="H93" i="14"/>
  <c r="H239" i="14"/>
  <c r="H161" i="14"/>
  <c r="H259" i="14"/>
  <c r="H62" i="14"/>
  <c r="H123" i="14"/>
  <c r="H53" i="14"/>
  <c r="H281" i="14"/>
  <c r="H106" i="14"/>
  <c r="H46" i="14"/>
  <c r="H145" i="14"/>
  <c r="H309" i="14"/>
  <c r="H244" i="14"/>
  <c r="H202" i="14"/>
  <c r="H51" i="14"/>
  <c r="H273" i="14"/>
  <c r="H304" i="14"/>
  <c r="H111" i="14"/>
  <c r="H41" i="14"/>
  <c r="H268" i="14"/>
  <c r="H190" i="14"/>
  <c r="H43" i="14"/>
  <c r="H148" i="14"/>
  <c r="H263" i="15"/>
  <c r="H93" i="15"/>
  <c r="H92" i="15"/>
  <c r="H135" i="15"/>
  <c r="H134" i="15"/>
  <c r="H254" i="15"/>
  <c r="H255" i="15"/>
  <c r="H216" i="15"/>
  <c r="H215" i="15"/>
  <c r="H237" i="15"/>
  <c r="H238" i="15"/>
  <c r="H193" i="15"/>
  <c r="H192" i="15"/>
  <c r="H127" i="15"/>
  <c r="H218" i="15"/>
  <c r="H219" i="15"/>
  <c r="H165" i="15"/>
  <c r="H164" i="15"/>
  <c r="H115" i="15"/>
  <c r="H116" i="15"/>
  <c r="H239" i="15"/>
  <c r="H240" i="15"/>
  <c r="H168" i="15"/>
  <c r="H138" i="15"/>
  <c r="H139" i="15"/>
  <c r="H303" i="15"/>
  <c r="H304" i="15"/>
  <c r="H284" i="14"/>
  <c r="H236" i="14"/>
  <c r="H197" i="14"/>
  <c r="H261" i="14"/>
  <c r="H159" i="15"/>
  <c r="I254" i="17"/>
  <c r="I40" i="15"/>
  <c r="I51" i="16"/>
  <c r="I24" i="15"/>
  <c r="I81" i="17"/>
  <c r="I51" i="14"/>
  <c r="H169" i="15"/>
  <c r="H125" i="15"/>
  <c r="H124" i="15"/>
  <c r="H13" i="15"/>
  <c r="H14" i="15"/>
  <c r="H225" i="15"/>
  <c r="H224" i="15"/>
  <c r="H197" i="15"/>
  <c r="H196" i="15"/>
  <c r="H179" i="15"/>
  <c r="H180" i="15"/>
  <c r="H151" i="15"/>
  <c r="H152" i="15"/>
  <c r="H200" i="15"/>
  <c r="H91" i="15"/>
  <c r="H90" i="15"/>
  <c r="H172" i="15"/>
  <c r="H131" i="15"/>
  <c r="H207" i="15"/>
  <c r="H208" i="15"/>
  <c r="H116" i="14"/>
  <c r="H112" i="15"/>
  <c r="H88" i="14"/>
  <c r="H104" i="14"/>
  <c r="H18" i="14"/>
  <c r="H213" i="14"/>
  <c r="H168" i="14"/>
  <c r="H252" i="14"/>
  <c r="H59" i="14"/>
  <c r="H247" i="14"/>
  <c r="H151" i="14"/>
  <c r="H297" i="14"/>
  <c r="H162" i="14"/>
  <c r="H94" i="14"/>
  <c r="H173" i="14"/>
  <c r="H240" i="14"/>
  <c r="H47" i="14"/>
  <c r="H289" i="14"/>
  <c r="H204" i="14"/>
  <c r="H78" i="14"/>
  <c r="H165" i="14"/>
  <c r="H68" i="14"/>
  <c r="H80" i="14"/>
  <c r="I40" i="14"/>
  <c r="I189" i="14"/>
  <c r="I226" i="15"/>
  <c r="I189" i="16"/>
  <c r="I252" i="15"/>
  <c r="H45" i="15"/>
  <c r="H301" i="15"/>
  <c r="H256" i="15"/>
  <c r="H257" i="15"/>
  <c r="H299" i="15"/>
  <c r="H18" i="15"/>
  <c r="H17" i="15"/>
  <c r="H274" i="15"/>
  <c r="H273" i="15"/>
  <c r="H229" i="15"/>
  <c r="H228" i="15"/>
  <c r="H244" i="15"/>
  <c r="H243" i="15"/>
  <c r="H278" i="15"/>
  <c r="H277" i="15"/>
  <c r="H251" i="15"/>
  <c r="H119" i="15"/>
  <c r="H120" i="15"/>
  <c r="H80" i="15"/>
  <c r="H79" i="15"/>
  <c r="H133" i="15"/>
  <c r="H184" i="15"/>
  <c r="H160" i="14"/>
  <c r="H279" i="14"/>
  <c r="H157" i="14"/>
  <c r="H220" i="14"/>
  <c r="H27" i="14"/>
  <c r="H188" i="14"/>
  <c r="H311" i="14"/>
  <c r="H270" i="14"/>
  <c r="H119" i="14"/>
  <c r="H49" i="14"/>
  <c r="H217" i="14"/>
  <c r="H98" i="14"/>
  <c r="H38" i="14"/>
  <c r="H141" i="14"/>
  <c r="H293" i="14"/>
  <c r="H208" i="14"/>
  <c r="H142" i="14"/>
  <c r="H15" i="14"/>
  <c r="H180" i="14"/>
  <c r="H146" i="14"/>
  <c r="H22" i="14"/>
  <c r="H133" i="14"/>
  <c r="H153" i="14"/>
  <c r="H189" i="15"/>
  <c r="H188" i="15"/>
  <c r="H143" i="15"/>
  <c r="H144" i="15"/>
  <c r="H77" i="15"/>
  <c r="H78" i="15"/>
  <c r="H33" i="15"/>
  <c r="H32" i="15"/>
  <c r="H289" i="15"/>
  <c r="H288" i="15"/>
  <c r="H49" i="15"/>
  <c r="H50" i="15"/>
  <c r="H261" i="15"/>
  <c r="H260" i="15"/>
  <c r="H307" i="15"/>
  <c r="H308" i="15"/>
  <c r="H310" i="15"/>
  <c r="H309" i="15"/>
  <c r="H54" i="15"/>
  <c r="H55" i="15"/>
  <c r="H281" i="15"/>
  <c r="H282" i="15"/>
  <c r="H155" i="15"/>
  <c r="H292" i="14"/>
  <c r="H243" i="14"/>
  <c r="H118" i="14"/>
  <c r="H176" i="14"/>
  <c r="H36" i="14"/>
  <c r="H65" i="14"/>
  <c r="H181" i="14"/>
  <c r="H182" i="14"/>
  <c r="H238" i="14"/>
  <c r="H17" i="14"/>
  <c r="H179" i="14"/>
  <c r="H132" i="14"/>
  <c r="H26" i="14"/>
  <c r="I51" i="15"/>
  <c r="I114" i="17"/>
  <c r="H265" i="15"/>
  <c r="H221" i="15"/>
  <c r="H220" i="15"/>
  <c r="H109" i="15"/>
  <c r="H110" i="15"/>
  <c r="H64" i="15"/>
  <c r="H65" i="15"/>
  <c r="H31" i="15"/>
  <c r="H30" i="15"/>
  <c r="H36" i="15"/>
  <c r="H37" i="15"/>
  <c r="H292" i="15"/>
  <c r="H293" i="15"/>
  <c r="H142" i="15"/>
  <c r="H85" i="15"/>
  <c r="H86" i="15"/>
  <c r="H296" i="15"/>
  <c r="H26" i="15"/>
  <c r="H224" i="14"/>
  <c r="H200" i="14"/>
  <c r="H97" i="14"/>
  <c r="H92" i="14"/>
  <c r="H114" i="14"/>
  <c r="H20" i="14"/>
  <c r="H55" i="14"/>
  <c r="H255" i="14"/>
  <c r="H298" i="14"/>
  <c r="H77" i="14"/>
  <c r="H108" i="14"/>
  <c r="H90" i="14"/>
  <c r="H30" i="14"/>
  <c r="H137" i="14"/>
  <c r="H100" i="14"/>
  <c r="H290" i="14"/>
  <c r="H139" i="14"/>
  <c r="H41" i="15"/>
  <c r="H42" i="15"/>
  <c r="H252" i="15"/>
  <c r="H253" i="15"/>
  <c r="H247" i="15"/>
  <c r="H248" i="15"/>
  <c r="H141" i="15"/>
  <c r="H96" i="15"/>
  <c r="H97" i="15"/>
  <c r="H298" i="15"/>
  <c r="H69" i="15"/>
  <c r="H68" i="15"/>
  <c r="H38" i="15"/>
  <c r="H39" i="15"/>
  <c r="H230" i="15"/>
  <c r="H231" i="15"/>
  <c r="H72" i="15"/>
  <c r="H47" i="15"/>
  <c r="H46" i="15"/>
  <c r="H306" i="15"/>
  <c r="H136" i="14"/>
  <c r="H286" i="14"/>
  <c r="H187" i="14"/>
  <c r="H196" i="14"/>
  <c r="H45" i="14"/>
  <c r="H258" i="14"/>
  <c r="H287" i="14"/>
  <c r="I40" i="17"/>
  <c r="I81" i="14"/>
  <c r="I114" i="15"/>
  <c r="I184" i="14"/>
  <c r="H73" i="15"/>
  <c r="H74" i="15"/>
  <c r="H28" i="15"/>
  <c r="H29" i="15"/>
  <c r="H284" i="15"/>
  <c r="H285" i="15"/>
  <c r="H118" i="15"/>
  <c r="H234" i="15"/>
  <c r="H129" i="15"/>
  <c r="H128" i="15"/>
  <c r="H114" i="15"/>
  <c r="H186" i="15"/>
  <c r="H146" i="15"/>
  <c r="H145" i="15"/>
  <c r="H101" i="15"/>
  <c r="H100" i="15"/>
  <c r="H175" i="15"/>
  <c r="H174" i="15"/>
  <c r="H104" i="15"/>
  <c r="H191" i="15"/>
  <c r="H190" i="15"/>
  <c r="H211" i="15"/>
  <c r="H210" i="15"/>
  <c r="H178" i="15"/>
  <c r="H184" i="14"/>
  <c r="H267" i="14"/>
  <c r="H61" i="14"/>
  <c r="H254" i="14"/>
  <c r="H128" i="14"/>
  <c r="H231" i="14"/>
  <c r="H185" i="14"/>
  <c r="H67" i="14"/>
  <c r="H192" i="14"/>
  <c r="H214" i="14"/>
  <c r="H233" i="14"/>
  <c r="H155" i="14"/>
  <c r="H201" i="14"/>
  <c r="H170" i="14"/>
  <c r="H102" i="14"/>
  <c r="H177" i="14"/>
  <c r="H221" i="14"/>
  <c r="H276" i="14"/>
  <c r="H234" i="14"/>
  <c r="H83" i="14"/>
  <c r="H13" i="14"/>
  <c r="H263" i="14"/>
  <c r="H294" i="14"/>
  <c r="H143" i="14"/>
  <c r="H73" i="14"/>
  <c r="H300" i="14"/>
  <c r="H226" i="14"/>
  <c r="H75" i="14"/>
  <c r="H301" i="14"/>
  <c r="H129" i="14"/>
  <c r="I168" i="14"/>
  <c r="I168" i="15"/>
  <c r="I201" i="16"/>
  <c r="I201" i="15"/>
  <c r="I168" i="16"/>
  <c r="I155" i="16"/>
  <c r="I155" i="14"/>
  <c r="I201" i="14"/>
  <c r="I263" i="15"/>
  <c r="I263" i="17"/>
  <c r="I263" i="16"/>
  <c r="Q131" i="12"/>
  <c r="Q139" i="10" s="1"/>
  <c r="I185" i="17"/>
  <c r="I175" i="17"/>
  <c r="I24" i="16"/>
  <c r="I24" i="17"/>
  <c r="I175" i="15"/>
  <c r="I274" i="14"/>
  <c r="I185" i="15"/>
  <c r="I274" i="16"/>
  <c r="I274" i="15"/>
  <c r="I185" i="16"/>
  <c r="I175" i="16"/>
  <c r="I45" i="15"/>
  <c r="J187" i="12"/>
  <c r="N65" i="10" s="1"/>
  <c r="I251" i="14"/>
  <c r="I118" i="16"/>
  <c r="I118" i="14"/>
  <c r="I48" i="16"/>
  <c r="I118" i="15"/>
  <c r="I48" i="15"/>
  <c r="G229" i="20"/>
  <c r="H229" i="20" s="1"/>
  <c r="K229" i="20"/>
  <c r="G61" i="20"/>
  <c r="H61" i="20" s="1"/>
  <c r="K61" i="20"/>
  <c r="G189" i="20"/>
  <c r="H189" i="20" s="1"/>
  <c r="K189" i="20"/>
  <c r="G301" i="20"/>
  <c r="H301" i="20" s="1"/>
  <c r="K301" i="20"/>
  <c r="G56" i="20"/>
  <c r="H56" i="20" s="1"/>
  <c r="K56" i="20"/>
  <c r="G160" i="20"/>
  <c r="H160" i="20" s="1"/>
  <c r="K160" i="20"/>
  <c r="G264" i="20"/>
  <c r="H264" i="20" s="1"/>
  <c r="K264" i="20"/>
  <c r="G368" i="20"/>
  <c r="H368" i="20" s="1"/>
  <c r="K368" i="20"/>
  <c r="G237" i="20"/>
  <c r="H237" i="20" s="1"/>
  <c r="K237" i="20"/>
  <c r="K185" i="20"/>
  <c r="G185" i="20"/>
  <c r="H185" i="20" s="1"/>
  <c r="G374" i="20"/>
  <c r="H374" i="20" s="1"/>
  <c r="K374" i="20"/>
  <c r="G135" i="20"/>
  <c r="H135" i="20" s="1"/>
  <c r="K135" i="20"/>
  <c r="K223" i="20"/>
  <c r="G223" i="20"/>
  <c r="H223" i="20" s="1"/>
  <c r="G47" i="20"/>
  <c r="H47" i="20" s="1"/>
  <c r="K47" i="20"/>
  <c r="G297" i="20"/>
  <c r="H297" i="20" s="1"/>
  <c r="K297" i="20"/>
  <c r="G90" i="20"/>
  <c r="H90" i="20" s="1"/>
  <c r="K90" i="20"/>
  <c r="G347" i="20"/>
  <c r="H347" i="20" s="1"/>
  <c r="K347" i="20"/>
  <c r="G216" i="20"/>
  <c r="H216" i="20" s="1"/>
  <c r="K216" i="20"/>
  <c r="G87" i="20"/>
  <c r="H87" i="20" s="1"/>
  <c r="K87" i="20"/>
  <c r="G342" i="20"/>
  <c r="H342" i="20" s="1"/>
  <c r="K342" i="20"/>
  <c r="G246" i="20"/>
  <c r="H246" i="20" s="1"/>
  <c r="K246" i="20"/>
  <c r="K354" i="20"/>
  <c r="G354" i="20"/>
  <c r="H354" i="20" s="1"/>
  <c r="G115" i="20"/>
  <c r="H115" i="20" s="1"/>
  <c r="K115" i="20"/>
  <c r="G18" i="20"/>
  <c r="H18" i="20" s="1"/>
  <c r="K18" i="20"/>
  <c r="J18" i="20"/>
  <c r="G17" i="20"/>
  <c r="H17" i="20" s="1"/>
  <c r="J17" i="20"/>
  <c r="K17" i="20"/>
  <c r="G116" i="20"/>
  <c r="H116" i="20" s="1"/>
  <c r="K116" i="20"/>
  <c r="G267" i="20"/>
  <c r="H267" i="20" s="1"/>
  <c r="K267" i="20"/>
  <c r="G170" i="20"/>
  <c r="H170" i="20" s="1"/>
  <c r="K170" i="20"/>
  <c r="K169" i="20"/>
  <c r="G169" i="20"/>
  <c r="H169" i="20" s="1"/>
  <c r="G214" i="20"/>
  <c r="H214" i="20" s="1"/>
  <c r="K214" i="20"/>
  <c r="G228" i="20"/>
  <c r="H228" i="20" s="1"/>
  <c r="K228" i="20"/>
  <c r="G140" i="20"/>
  <c r="H140" i="20" s="1"/>
  <c r="K140" i="20"/>
  <c r="G284" i="20"/>
  <c r="H284" i="20" s="1"/>
  <c r="K284" i="20"/>
  <c r="G227" i="20"/>
  <c r="H227" i="20" s="1"/>
  <c r="K227" i="20"/>
  <c r="G130" i="20"/>
  <c r="H130" i="20" s="1"/>
  <c r="K130" i="20"/>
  <c r="G129" i="20"/>
  <c r="H129" i="20" s="1"/>
  <c r="K129" i="20"/>
  <c r="G286" i="20"/>
  <c r="H286" i="20" s="1"/>
  <c r="K287" i="20"/>
  <c r="K286" i="20"/>
  <c r="G252" i="20"/>
  <c r="H252" i="20" s="1"/>
  <c r="K252" i="20"/>
  <c r="K371" i="20"/>
  <c r="G371" i="20"/>
  <c r="H371" i="20" s="1"/>
  <c r="G109" i="20"/>
  <c r="H109" i="20" s="1"/>
  <c r="K110" i="20"/>
  <c r="K109" i="20"/>
  <c r="K343" i="20"/>
  <c r="G69" i="20"/>
  <c r="H69" i="20" s="1"/>
  <c r="K69" i="20"/>
  <c r="G197" i="20"/>
  <c r="H197" i="20" s="1"/>
  <c r="K197" i="20"/>
  <c r="G317" i="20"/>
  <c r="H317" i="20" s="1"/>
  <c r="K317" i="20"/>
  <c r="G64" i="20"/>
  <c r="H64" i="20" s="1"/>
  <c r="K64" i="20"/>
  <c r="G168" i="20"/>
  <c r="H168" i="20" s="1"/>
  <c r="K168" i="20"/>
  <c r="G272" i="20"/>
  <c r="H272" i="20" s="1"/>
  <c r="K272" i="20"/>
  <c r="G48" i="20"/>
  <c r="H48" i="20" s="1"/>
  <c r="K48" i="20"/>
  <c r="G245" i="20"/>
  <c r="H245" i="20" s="1"/>
  <c r="K245" i="20"/>
  <c r="G142" i="20"/>
  <c r="H142" i="20" s="1"/>
  <c r="K143" i="20"/>
  <c r="K142" i="20"/>
  <c r="G31" i="20"/>
  <c r="H31" i="20" s="1"/>
  <c r="J31" i="20"/>
  <c r="K31" i="20"/>
  <c r="G159" i="20"/>
  <c r="H159" i="20" s="1"/>
  <c r="K159" i="20"/>
  <c r="K231" i="20"/>
  <c r="G231" i="20"/>
  <c r="H231" i="20" s="1"/>
  <c r="G118" i="20"/>
  <c r="H118" i="20" s="1"/>
  <c r="K118" i="20"/>
  <c r="K119" i="20"/>
  <c r="G80" i="20"/>
  <c r="H80" i="20" s="1"/>
  <c r="K80" i="20"/>
  <c r="G89" i="20"/>
  <c r="H89" i="20" s="1"/>
  <c r="K89" i="20"/>
  <c r="G91" i="20"/>
  <c r="H91" i="20" s="1"/>
  <c r="K91" i="20"/>
  <c r="K190" i="20"/>
  <c r="G190" i="20"/>
  <c r="H190" i="20" s="1"/>
  <c r="G154" i="20"/>
  <c r="H154" i="20" s="1"/>
  <c r="K154" i="20"/>
  <c r="G338" i="20"/>
  <c r="H338" i="20" s="1"/>
  <c r="K338" i="20"/>
  <c r="G356" i="20"/>
  <c r="H356" i="20" s="1"/>
  <c r="K356" i="20"/>
  <c r="G339" i="20"/>
  <c r="H339" i="20" s="1"/>
  <c r="K339" i="20"/>
  <c r="G83" i="20"/>
  <c r="H83" i="20" s="1"/>
  <c r="K83" i="20"/>
  <c r="G241" i="20"/>
  <c r="H241" i="20" s="1"/>
  <c r="K241" i="20"/>
  <c r="K242" i="20"/>
  <c r="G306" i="20"/>
  <c r="H306" i="20" s="1"/>
  <c r="K306" i="20"/>
  <c r="G210" i="20"/>
  <c r="H210" i="20" s="1"/>
  <c r="K210" i="20"/>
  <c r="G235" i="20"/>
  <c r="H235" i="20" s="1"/>
  <c r="K235" i="20"/>
  <c r="G138" i="20"/>
  <c r="H138" i="20" s="1"/>
  <c r="K138" i="20"/>
  <c r="G137" i="20"/>
  <c r="H137" i="20" s="1"/>
  <c r="K137" i="20"/>
  <c r="G276" i="20"/>
  <c r="H276" i="20" s="1"/>
  <c r="K276" i="20"/>
  <c r="G369" i="20"/>
  <c r="H369" i="20" s="1"/>
  <c r="K369" i="20"/>
  <c r="G222" i="20"/>
  <c r="H222" i="20" s="1"/>
  <c r="K222" i="20"/>
  <c r="G326" i="20"/>
  <c r="H326" i="20" s="1"/>
  <c r="K326" i="20"/>
  <c r="K327" i="20"/>
  <c r="G195" i="20"/>
  <c r="H195" i="20" s="1"/>
  <c r="K195" i="20"/>
  <c r="G98" i="20"/>
  <c r="H98" i="20" s="1"/>
  <c r="K98" i="20"/>
  <c r="G97" i="20"/>
  <c r="H97" i="20" s="1"/>
  <c r="K97" i="20"/>
  <c r="G329" i="20"/>
  <c r="H329" i="20" s="1"/>
  <c r="K329" i="20"/>
  <c r="G282" i="20"/>
  <c r="H282" i="20" s="1"/>
  <c r="K283" i="20"/>
  <c r="K282" i="20"/>
  <c r="G44" i="20"/>
  <c r="H44" i="20" s="1"/>
  <c r="K44" i="20"/>
  <c r="G54" i="20"/>
  <c r="H54" i="20" s="1"/>
  <c r="K55" i="20"/>
  <c r="K54" i="20"/>
  <c r="G208" i="20"/>
  <c r="H208" i="20" s="1"/>
  <c r="K208" i="20"/>
  <c r="G93" i="20"/>
  <c r="H93" i="20" s="1"/>
  <c r="K93" i="20"/>
  <c r="G221" i="20"/>
  <c r="H221" i="20" s="1"/>
  <c r="K221" i="20"/>
  <c r="G325" i="20"/>
  <c r="H325" i="20" s="1"/>
  <c r="K325" i="20"/>
  <c r="G72" i="20"/>
  <c r="H72" i="20" s="1"/>
  <c r="K72" i="20"/>
  <c r="G200" i="20"/>
  <c r="H200" i="20" s="1"/>
  <c r="K200" i="20"/>
  <c r="G288" i="20"/>
  <c r="H288" i="20" s="1"/>
  <c r="K288" i="20"/>
  <c r="G96" i="20"/>
  <c r="H96" i="20" s="1"/>
  <c r="K96" i="20"/>
  <c r="G269" i="20"/>
  <c r="H269" i="20" s="1"/>
  <c r="K269" i="20"/>
  <c r="G219" i="20"/>
  <c r="H219" i="20" s="1"/>
  <c r="K219" i="20"/>
  <c r="G39" i="20"/>
  <c r="H39" i="20" s="1"/>
  <c r="K39" i="20"/>
  <c r="K167" i="20"/>
  <c r="G167" i="20"/>
  <c r="H167" i="20" s="1"/>
  <c r="G247" i="20"/>
  <c r="H247" i="20" s="1"/>
  <c r="K247" i="20"/>
  <c r="J26" i="20"/>
  <c r="K26" i="20"/>
  <c r="G26" i="20"/>
  <c r="H26" i="20" s="1"/>
  <c r="G100" i="20"/>
  <c r="H100" i="20" s="1"/>
  <c r="K100" i="20"/>
  <c r="G40" i="20"/>
  <c r="H40" i="20" s="1"/>
  <c r="K40" i="20"/>
  <c r="G174" i="20"/>
  <c r="H174" i="20" s="1"/>
  <c r="K174" i="20"/>
  <c r="G340" i="20"/>
  <c r="H340" i="20" s="1"/>
  <c r="K340" i="20"/>
  <c r="G78" i="20"/>
  <c r="H78" i="20" s="1"/>
  <c r="K78" i="20"/>
  <c r="G155" i="20"/>
  <c r="H155" i="20" s="1"/>
  <c r="K155" i="20"/>
  <c r="G84" i="20"/>
  <c r="H84" i="20" s="1"/>
  <c r="K84" i="20"/>
  <c r="G307" i="20"/>
  <c r="H307" i="20" s="1"/>
  <c r="K307" i="20"/>
  <c r="G51" i="20"/>
  <c r="H51" i="20" s="1"/>
  <c r="K51" i="20"/>
  <c r="G209" i="20"/>
  <c r="H209" i="20" s="1"/>
  <c r="K209" i="20"/>
  <c r="K330" i="20"/>
  <c r="G330" i="20"/>
  <c r="H330" i="20" s="1"/>
  <c r="G273" i="20"/>
  <c r="H273" i="20" s="1"/>
  <c r="K273" i="20"/>
  <c r="K203" i="20"/>
  <c r="G203" i="20"/>
  <c r="H203" i="20" s="1"/>
  <c r="G106" i="20"/>
  <c r="H106" i="20" s="1"/>
  <c r="K106" i="20"/>
  <c r="G105" i="20"/>
  <c r="H105" i="20" s="1"/>
  <c r="K105" i="20"/>
  <c r="G318" i="20"/>
  <c r="H318" i="20" s="1"/>
  <c r="K318" i="20"/>
  <c r="K319" i="20"/>
  <c r="G166" i="20"/>
  <c r="H166" i="20" s="1"/>
  <c r="K166" i="20"/>
  <c r="G281" i="20"/>
  <c r="H281" i="20" s="1"/>
  <c r="K281" i="20"/>
  <c r="G366" i="20"/>
  <c r="H366" i="20" s="1"/>
  <c r="K366" i="20"/>
  <c r="G163" i="20"/>
  <c r="H163" i="20" s="1"/>
  <c r="K163" i="20"/>
  <c r="G66" i="20"/>
  <c r="H66" i="20" s="1"/>
  <c r="K66" i="20"/>
  <c r="G65" i="20"/>
  <c r="H65" i="20" s="1"/>
  <c r="K65" i="20"/>
  <c r="K36" i="20"/>
  <c r="G36" i="20"/>
  <c r="H36" i="20" s="1"/>
  <c r="G158" i="20"/>
  <c r="H158" i="20" s="1"/>
  <c r="K158" i="20"/>
  <c r="G172" i="20"/>
  <c r="H172" i="20" s="1"/>
  <c r="K172" i="20"/>
  <c r="K45" i="20"/>
  <c r="K367" i="20"/>
  <c r="G101" i="20"/>
  <c r="H101" i="20" s="1"/>
  <c r="K101" i="20"/>
  <c r="G141" i="20"/>
  <c r="H141" i="20" s="1"/>
  <c r="K141" i="20"/>
  <c r="G293" i="20"/>
  <c r="H293" i="20" s="1"/>
  <c r="K293" i="20"/>
  <c r="K294" i="20"/>
  <c r="G196" i="20"/>
  <c r="H196" i="20" s="1"/>
  <c r="K196" i="20"/>
  <c r="G63" i="20"/>
  <c r="H63" i="20" s="1"/>
  <c r="K63" i="20"/>
  <c r="G175" i="20"/>
  <c r="H175" i="20" s="1"/>
  <c r="K175" i="20"/>
  <c r="K176" i="20"/>
  <c r="G52" i="20"/>
  <c r="H52" i="20" s="1"/>
  <c r="K53" i="20"/>
  <c r="K52" i="20"/>
  <c r="G205" i="20"/>
  <c r="H205" i="20" s="1"/>
  <c r="K205" i="20"/>
  <c r="G300" i="20"/>
  <c r="H300" i="20" s="1"/>
  <c r="K300" i="20"/>
  <c r="G182" i="20"/>
  <c r="H182" i="20" s="1"/>
  <c r="K182" i="20"/>
  <c r="G86" i="20"/>
  <c r="H86" i="20" s="1"/>
  <c r="K86" i="20"/>
  <c r="G232" i="20"/>
  <c r="H232" i="20" s="1"/>
  <c r="K232" i="20"/>
  <c r="G153" i="20"/>
  <c r="H153" i="20" s="1"/>
  <c r="K153" i="20"/>
  <c r="G79" i="20"/>
  <c r="H79" i="20" s="1"/>
  <c r="K79" i="20"/>
  <c r="K194" i="20"/>
  <c r="G194" i="20"/>
  <c r="H194" i="20" s="1"/>
  <c r="K275" i="20"/>
  <c r="G275" i="20"/>
  <c r="H275" i="20" s="1"/>
  <c r="J19" i="20"/>
  <c r="G19" i="20"/>
  <c r="H19" i="20" s="1"/>
  <c r="K19" i="20"/>
  <c r="G177" i="20"/>
  <c r="H177" i="20" s="1"/>
  <c r="K177" i="20"/>
  <c r="G92" i="20"/>
  <c r="H92" i="20" s="1"/>
  <c r="K92" i="20"/>
  <c r="G316" i="20"/>
  <c r="H316" i="20" s="1"/>
  <c r="K316" i="20"/>
  <c r="G171" i="20"/>
  <c r="H171" i="20" s="1"/>
  <c r="K171" i="20"/>
  <c r="G74" i="20"/>
  <c r="H74" i="20" s="1"/>
  <c r="K74" i="20"/>
  <c r="G73" i="20"/>
  <c r="H73" i="20" s="1"/>
  <c r="K73" i="20"/>
  <c r="K132" i="20"/>
  <c r="G132" i="20"/>
  <c r="H132" i="20" s="1"/>
  <c r="G134" i="20"/>
  <c r="H134" i="20" s="1"/>
  <c r="K134" i="20"/>
  <c r="G324" i="20"/>
  <c r="H324" i="20" s="1"/>
  <c r="K324" i="20"/>
  <c r="G236" i="20"/>
  <c r="H236" i="20" s="1"/>
  <c r="K236" i="20"/>
  <c r="G131" i="20"/>
  <c r="H131" i="20" s="1"/>
  <c r="K131" i="20"/>
  <c r="G34" i="20"/>
  <c r="H34" i="20" s="1"/>
  <c r="K34" i="20"/>
  <c r="G33" i="20"/>
  <c r="H33" i="20" s="1"/>
  <c r="K33" i="20"/>
  <c r="G164" i="20"/>
  <c r="H164" i="20" s="1"/>
  <c r="K164" i="20"/>
  <c r="G126" i="20"/>
  <c r="H126" i="20" s="1"/>
  <c r="K126" i="20"/>
  <c r="G238" i="20"/>
  <c r="H238" i="20" s="1"/>
  <c r="K238" i="20"/>
  <c r="K239" i="20"/>
  <c r="K270" i="20"/>
  <c r="G104" i="20"/>
  <c r="H104" i="20" s="1"/>
  <c r="K104" i="20"/>
  <c r="G125" i="20"/>
  <c r="H125" i="20" s="1"/>
  <c r="K125" i="20"/>
  <c r="G253" i="20"/>
  <c r="H253" i="20" s="1"/>
  <c r="K254" i="20"/>
  <c r="K253" i="20"/>
  <c r="G349" i="20"/>
  <c r="H349" i="20" s="1"/>
  <c r="K349" i="20"/>
  <c r="G112" i="20"/>
  <c r="H112" i="20" s="1"/>
  <c r="K112" i="20"/>
  <c r="G224" i="20"/>
  <c r="H224" i="20" s="1"/>
  <c r="K224" i="20"/>
  <c r="G312" i="20"/>
  <c r="H312" i="20" s="1"/>
  <c r="K312" i="20"/>
  <c r="G122" i="20"/>
  <c r="H122" i="20" s="1"/>
  <c r="K122" i="20"/>
  <c r="G309" i="20"/>
  <c r="H309" i="20" s="1"/>
  <c r="K309" i="20"/>
  <c r="G302" i="20"/>
  <c r="H302" i="20" s="1"/>
  <c r="K303" i="20"/>
  <c r="K302" i="20"/>
  <c r="G71" i="20"/>
  <c r="H71" i="20" s="1"/>
  <c r="K71" i="20"/>
  <c r="G183" i="20"/>
  <c r="H183" i="20" s="1"/>
  <c r="K183" i="20"/>
  <c r="G266" i="20"/>
  <c r="H266" i="20" s="1"/>
  <c r="K266" i="20"/>
  <c r="G117" i="20"/>
  <c r="H117" i="20" s="1"/>
  <c r="K117" i="20"/>
  <c r="G268" i="20"/>
  <c r="H268" i="20" s="1"/>
  <c r="K268" i="20"/>
  <c r="G313" i="20"/>
  <c r="H313" i="20" s="1"/>
  <c r="K313" i="20"/>
  <c r="K314" i="20"/>
  <c r="G249" i="20"/>
  <c r="H249" i="20" s="1"/>
  <c r="K250" i="20"/>
  <c r="K249" i="20"/>
  <c r="G186" i="20"/>
  <c r="H186" i="20" s="1"/>
  <c r="K186" i="20"/>
  <c r="G77" i="20"/>
  <c r="H77" i="20" s="1"/>
  <c r="K77" i="20"/>
  <c r="G150" i="20"/>
  <c r="H150" i="20" s="1"/>
  <c r="K150" i="20"/>
  <c r="G258" i="20"/>
  <c r="H258" i="20" s="1"/>
  <c r="K258" i="20"/>
  <c r="K243" i="20"/>
  <c r="G243" i="20"/>
  <c r="H243" i="20" s="1"/>
  <c r="G146" i="20"/>
  <c r="H146" i="20" s="1"/>
  <c r="K146" i="20"/>
  <c r="G145" i="20"/>
  <c r="H145" i="20" s="1"/>
  <c r="K145" i="20"/>
  <c r="K198" i="20"/>
  <c r="G198" i="20"/>
  <c r="H198" i="20" s="1"/>
  <c r="G358" i="20"/>
  <c r="H358" i="20" s="1"/>
  <c r="K358" i="20"/>
  <c r="G139" i="20"/>
  <c r="H139" i="20" s="1"/>
  <c r="K139" i="20"/>
  <c r="G42" i="20"/>
  <c r="H42" i="20" s="1"/>
  <c r="K42" i="20"/>
  <c r="G41" i="20"/>
  <c r="H41" i="20" s="1"/>
  <c r="K41" i="20"/>
  <c r="G218" i="20"/>
  <c r="H218" i="20" s="1"/>
  <c r="K218" i="20"/>
  <c r="G102" i="20"/>
  <c r="H102" i="20" s="1"/>
  <c r="K102" i="20"/>
  <c r="G364" i="20"/>
  <c r="H364" i="20" s="1"/>
  <c r="K365" i="20"/>
  <c r="K364" i="20"/>
  <c r="K355" i="20"/>
  <c r="G355" i="20"/>
  <c r="H355" i="20" s="1"/>
  <c r="G99" i="20"/>
  <c r="H99" i="20" s="1"/>
  <c r="K99" i="20"/>
  <c r="G257" i="20"/>
  <c r="H257" i="20" s="1"/>
  <c r="K257" i="20"/>
  <c r="G244" i="20"/>
  <c r="H244" i="20" s="1"/>
  <c r="K244" i="20"/>
  <c r="G234" i="20"/>
  <c r="H234" i="20" s="1"/>
  <c r="K234" i="20"/>
  <c r="G94" i="20"/>
  <c r="H94" i="20" s="1"/>
  <c r="K94" i="20"/>
  <c r="G292" i="20"/>
  <c r="H292" i="20" s="1"/>
  <c r="K292" i="20"/>
  <c r="T16" i="20"/>
  <c r="U16" i="20" s="1"/>
  <c r="M17" i="20" s="1"/>
  <c r="O17" i="20" s="1"/>
  <c r="S17" i="20" s="1"/>
  <c r="G133" i="20"/>
  <c r="H133" i="20" s="1"/>
  <c r="K133" i="20"/>
  <c r="G261" i="20"/>
  <c r="H261" i="20" s="1"/>
  <c r="K261" i="20"/>
  <c r="G357" i="20"/>
  <c r="H357" i="20" s="1"/>
  <c r="K357" i="20"/>
  <c r="G120" i="20"/>
  <c r="H120" i="20" s="1"/>
  <c r="K121" i="20"/>
  <c r="K120" i="20"/>
  <c r="G240" i="20"/>
  <c r="H240" i="20" s="1"/>
  <c r="K240" i="20"/>
  <c r="G328" i="20"/>
  <c r="H328" i="20" s="1"/>
  <c r="K328" i="20"/>
  <c r="G344" i="20"/>
  <c r="H344" i="20" s="1"/>
  <c r="K344" i="20"/>
  <c r="G341" i="20"/>
  <c r="H341" i="20" s="1"/>
  <c r="K341" i="20"/>
  <c r="G280" i="20"/>
  <c r="H280" i="20" s="1"/>
  <c r="K280" i="20"/>
  <c r="G95" i="20"/>
  <c r="H95" i="20" s="1"/>
  <c r="K95" i="20"/>
  <c r="G191" i="20"/>
  <c r="H191" i="20" s="1"/>
  <c r="K191" i="20"/>
  <c r="G88" i="20"/>
  <c r="H88" i="20" s="1"/>
  <c r="K88" i="20"/>
  <c r="J25" i="20"/>
  <c r="K25" i="20"/>
  <c r="G25" i="20"/>
  <c r="H25" i="20" s="1"/>
  <c r="G187" i="20"/>
  <c r="H187" i="20" s="1"/>
  <c r="K187" i="20"/>
  <c r="G178" i="20"/>
  <c r="H178" i="20" s="1"/>
  <c r="K178" i="20"/>
  <c r="G173" i="20"/>
  <c r="H173" i="20" s="1"/>
  <c r="K173" i="20"/>
  <c r="G337" i="20"/>
  <c r="H337" i="20" s="1"/>
  <c r="K337" i="20"/>
  <c r="G206" i="20"/>
  <c r="H206" i="20" s="1"/>
  <c r="K207" i="20"/>
  <c r="K206" i="20"/>
  <c r="G58" i="20"/>
  <c r="H58" i="20" s="1"/>
  <c r="K58" i="20"/>
  <c r="G305" i="20"/>
  <c r="H305" i="20" s="1"/>
  <c r="K305" i="20"/>
  <c r="G211" i="20"/>
  <c r="H211" i="20" s="1"/>
  <c r="K211" i="20"/>
  <c r="G114" i="20"/>
  <c r="H114" i="20" s="1"/>
  <c r="K114" i="20"/>
  <c r="G113" i="20"/>
  <c r="H113" i="20" s="1"/>
  <c r="K113" i="20"/>
  <c r="K263" i="20"/>
  <c r="K262" i="20"/>
  <c r="G262" i="20"/>
  <c r="H262" i="20" s="1"/>
  <c r="G212" i="20"/>
  <c r="H212" i="20" s="1"/>
  <c r="K212" i="20"/>
  <c r="G107" i="20"/>
  <c r="H107" i="20" s="1"/>
  <c r="K107" i="20"/>
  <c r="K108" i="20"/>
  <c r="G265" i="20"/>
  <c r="H265" i="20" s="1"/>
  <c r="K265" i="20"/>
  <c r="G204" i="20"/>
  <c r="H204" i="20" s="1"/>
  <c r="K204" i="20"/>
  <c r="K279" i="20"/>
  <c r="G278" i="20"/>
  <c r="H278" i="20" s="1"/>
  <c r="K278" i="20"/>
  <c r="G70" i="20"/>
  <c r="H70" i="20" s="1"/>
  <c r="K70" i="20"/>
  <c r="J20" i="20"/>
  <c r="K21" i="20"/>
  <c r="K20" i="20"/>
  <c r="G20" i="20"/>
  <c r="H20" i="20" s="1"/>
  <c r="G323" i="20"/>
  <c r="H323" i="20" s="1"/>
  <c r="K323" i="20"/>
  <c r="G67" i="20"/>
  <c r="H67" i="20" s="1"/>
  <c r="K67" i="20"/>
  <c r="K68" i="20"/>
  <c r="G225" i="20"/>
  <c r="H225" i="20" s="1"/>
  <c r="K225" i="20"/>
  <c r="G28" i="20"/>
  <c r="H28" i="20" s="1"/>
  <c r="J28" i="20"/>
  <c r="K28" i="20"/>
  <c r="G289" i="20"/>
  <c r="H289" i="20" s="1"/>
  <c r="K289" i="20"/>
  <c r="G62" i="20"/>
  <c r="H62" i="20" s="1"/>
  <c r="K62" i="20"/>
  <c r="G334" i="20"/>
  <c r="H334" i="20" s="1"/>
  <c r="K334" i="20"/>
  <c r="K335" i="20"/>
  <c r="K192" i="20"/>
  <c r="K151" i="20"/>
  <c r="G333" i="20"/>
  <c r="H333" i="20" s="1"/>
  <c r="K333" i="20"/>
  <c r="V15" i="20"/>
  <c r="V16" i="20" s="1"/>
  <c r="R16" i="20" s="1"/>
  <c r="G29" i="20"/>
  <c r="H29" i="20" s="1"/>
  <c r="K29" i="20"/>
  <c r="J29" i="20"/>
  <c r="G157" i="20"/>
  <c r="H157" i="20" s="1"/>
  <c r="K157" i="20"/>
  <c r="G277" i="20"/>
  <c r="H277" i="20" s="1"/>
  <c r="K277" i="20"/>
  <c r="G373" i="20"/>
  <c r="H373" i="20" s="1"/>
  <c r="K373" i="20"/>
  <c r="G128" i="20"/>
  <c r="H128" i="20" s="1"/>
  <c r="K128" i="20"/>
  <c r="G248" i="20"/>
  <c r="H248" i="20" s="1"/>
  <c r="K248" i="20"/>
  <c r="G352" i="20"/>
  <c r="H352" i="20" s="1"/>
  <c r="K352" i="20"/>
  <c r="G149" i="20"/>
  <c r="H149" i="20" s="1"/>
  <c r="K149" i="20"/>
  <c r="K32" i="20"/>
  <c r="J32" i="20"/>
  <c r="G32" i="20"/>
  <c r="H32" i="20" s="1"/>
  <c r="G213" i="20"/>
  <c r="H213" i="20" s="1"/>
  <c r="K213" i="20"/>
  <c r="G103" i="20"/>
  <c r="H103" i="20" s="1"/>
  <c r="K103" i="20"/>
  <c r="G199" i="20"/>
  <c r="H199" i="20" s="1"/>
  <c r="K199" i="20"/>
  <c r="G298" i="20"/>
  <c r="H298" i="20" s="1"/>
  <c r="K298" i="20"/>
  <c r="K322" i="20"/>
  <c r="G322" i="20"/>
  <c r="H322" i="20" s="1"/>
  <c r="G111" i="20"/>
  <c r="H111" i="20" s="1"/>
  <c r="K111" i="20"/>
  <c r="G310" i="20"/>
  <c r="H310" i="20" s="1"/>
  <c r="K310" i="20"/>
  <c r="K311" i="20"/>
  <c r="G85" i="20"/>
  <c r="H85" i="20" s="1"/>
  <c r="K85" i="20"/>
  <c r="G290" i="20"/>
  <c r="H290" i="20" s="1"/>
  <c r="K290" i="20"/>
  <c r="G345" i="20"/>
  <c r="H345" i="20" s="1"/>
  <c r="K346" i="20"/>
  <c r="K345" i="20"/>
  <c r="G57" i="20"/>
  <c r="H57" i="20" s="1"/>
  <c r="K57" i="20"/>
  <c r="G348" i="20"/>
  <c r="H348" i="20" s="1"/>
  <c r="K348" i="20"/>
  <c r="G179" i="20"/>
  <c r="H179" i="20" s="1"/>
  <c r="K179" i="20"/>
  <c r="G82" i="20"/>
  <c r="H82" i="20" s="1"/>
  <c r="K82" i="20"/>
  <c r="G81" i="20"/>
  <c r="H81" i="20" s="1"/>
  <c r="K81" i="20"/>
  <c r="G308" i="20"/>
  <c r="H308" i="20" s="1"/>
  <c r="K308" i="20"/>
  <c r="G331" i="20"/>
  <c r="H331" i="20" s="1"/>
  <c r="K331" i="20"/>
  <c r="G75" i="20"/>
  <c r="H75" i="20" s="1"/>
  <c r="K75" i="20"/>
  <c r="G233" i="20"/>
  <c r="H233" i="20" s="1"/>
  <c r="K233" i="20"/>
  <c r="G361" i="20"/>
  <c r="H361" i="20" s="1"/>
  <c r="K361" i="20"/>
  <c r="G321" i="20"/>
  <c r="H321" i="20" s="1"/>
  <c r="K321" i="20"/>
  <c r="G38" i="20"/>
  <c r="H38" i="20" s="1"/>
  <c r="K38" i="20"/>
  <c r="G148" i="20"/>
  <c r="H148" i="20" s="1"/>
  <c r="K148" i="20"/>
  <c r="G291" i="20"/>
  <c r="H291" i="20" s="1"/>
  <c r="K291" i="20"/>
  <c r="G35" i="20"/>
  <c r="H35" i="20" s="1"/>
  <c r="K35" i="20"/>
  <c r="G193" i="20"/>
  <c r="H193" i="20" s="1"/>
  <c r="K193" i="20"/>
  <c r="G156" i="20"/>
  <c r="H156" i="20" s="1"/>
  <c r="K156" i="20"/>
  <c r="G332" i="20"/>
  <c r="H332" i="20" s="1"/>
  <c r="K332" i="20"/>
  <c r="K30" i="20"/>
  <c r="G30" i="20"/>
  <c r="H30" i="20" s="1"/>
  <c r="J30" i="20"/>
  <c r="G372" i="20"/>
  <c r="H372" i="20" s="1"/>
  <c r="K372" i="20"/>
  <c r="G304" i="20"/>
  <c r="H304" i="20" s="1"/>
  <c r="K304" i="20"/>
  <c r="G37" i="20"/>
  <c r="H37" i="20" s="1"/>
  <c r="K37" i="20"/>
  <c r="G165" i="20"/>
  <c r="H165" i="20" s="1"/>
  <c r="K165" i="20"/>
  <c r="G285" i="20"/>
  <c r="H285" i="20" s="1"/>
  <c r="K285" i="20"/>
  <c r="G24" i="20"/>
  <c r="H24" i="20" s="1"/>
  <c r="K24" i="20"/>
  <c r="J24" i="20"/>
  <c r="G144" i="20"/>
  <c r="H144" i="20" s="1"/>
  <c r="K144" i="20"/>
  <c r="G256" i="20"/>
  <c r="H256" i="20" s="1"/>
  <c r="K256" i="20"/>
  <c r="G360" i="20"/>
  <c r="H360" i="20" s="1"/>
  <c r="K360" i="20"/>
  <c r="G181" i="20"/>
  <c r="H181" i="20" s="1"/>
  <c r="K181" i="20"/>
  <c r="G296" i="20"/>
  <c r="H296" i="20" s="1"/>
  <c r="K296" i="20"/>
  <c r="K27" i="20"/>
  <c r="G27" i="20"/>
  <c r="H27" i="20" s="1"/>
  <c r="J27" i="20"/>
  <c r="G127" i="20"/>
  <c r="H127" i="20" s="1"/>
  <c r="K127" i="20"/>
  <c r="G215" i="20"/>
  <c r="H215" i="20" s="1"/>
  <c r="K215" i="20"/>
  <c r="G123" i="20"/>
  <c r="H123" i="20" s="1"/>
  <c r="K123" i="20"/>
  <c r="G76" i="20"/>
  <c r="H76" i="20" s="1"/>
  <c r="K76" i="20"/>
  <c r="J23" i="20"/>
  <c r="K23" i="20"/>
  <c r="G23" i="20"/>
  <c r="H23" i="20" s="1"/>
  <c r="G274" i="20"/>
  <c r="H274" i="20" s="1"/>
  <c r="K274" i="20"/>
  <c r="G136" i="20"/>
  <c r="H136" i="20" s="1"/>
  <c r="K136" i="20"/>
  <c r="K251" i="20"/>
  <c r="G251" i="20"/>
  <c r="H251" i="20" s="1"/>
  <c r="G202" i="20"/>
  <c r="H202" i="20" s="1"/>
  <c r="K202" i="20"/>
  <c r="G188" i="20"/>
  <c r="H188" i="20" s="1"/>
  <c r="K188" i="20"/>
  <c r="G180" i="20"/>
  <c r="H180" i="20" s="1"/>
  <c r="K180" i="20"/>
  <c r="G147" i="20"/>
  <c r="H147" i="20" s="1"/>
  <c r="K147" i="20"/>
  <c r="G50" i="20"/>
  <c r="H50" i="20" s="1"/>
  <c r="K50" i="20"/>
  <c r="G49" i="20"/>
  <c r="H49" i="20" s="1"/>
  <c r="K49" i="20"/>
  <c r="G350" i="20"/>
  <c r="H350" i="20" s="1"/>
  <c r="K351" i="20"/>
  <c r="K350" i="20"/>
  <c r="G299" i="20"/>
  <c r="H299" i="20" s="1"/>
  <c r="K299" i="20"/>
  <c r="G43" i="20"/>
  <c r="H43" i="20" s="1"/>
  <c r="K43" i="20"/>
  <c r="G201" i="20"/>
  <c r="H201" i="20" s="1"/>
  <c r="K201" i="20"/>
  <c r="G124" i="20"/>
  <c r="H124" i="20" s="1"/>
  <c r="K124" i="20"/>
  <c r="K362" i="20"/>
  <c r="G362" i="20"/>
  <c r="H362" i="20" s="1"/>
  <c r="G220" i="20"/>
  <c r="H220" i="20" s="1"/>
  <c r="K220" i="20"/>
  <c r="G226" i="20"/>
  <c r="H226" i="20" s="1"/>
  <c r="K226" i="20"/>
  <c r="G259" i="20"/>
  <c r="H259" i="20" s="1"/>
  <c r="K259" i="20"/>
  <c r="G162" i="20"/>
  <c r="H162" i="20" s="1"/>
  <c r="K162" i="20"/>
  <c r="G161" i="20"/>
  <c r="H161" i="20" s="1"/>
  <c r="K161" i="20"/>
  <c r="G230" i="20"/>
  <c r="H230" i="20" s="1"/>
  <c r="K230" i="20"/>
  <c r="K370" i="20"/>
  <c r="G370" i="20"/>
  <c r="H370" i="20" s="1"/>
  <c r="G260" i="20"/>
  <c r="H260" i="20" s="1"/>
  <c r="K260" i="20"/>
  <c r="G60" i="20"/>
  <c r="H60" i="20" s="1"/>
  <c r="K60" i="20"/>
  <c r="K217" i="20"/>
  <c r="I222" i="16"/>
  <c r="I210" i="17"/>
  <c r="I47" i="14"/>
  <c r="I45" i="17"/>
  <c r="I222" i="17"/>
  <c r="I45" i="14"/>
  <c r="I27" i="16"/>
  <c r="I47" i="17"/>
  <c r="E39" i="20"/>
  <c r="W39" i="20" s="1"/>
  <c r="Q17" i="20"/>
  <c r="R17" i="20" s="1"/>
  <c r="P15" i="20"/>
  <c r="S15" i="20"/>
  <c r="Y20" i="20"/>
  <c r="N19" i="20"/>
  <c r="I143" i="16"/>
  <c r="I143" i="14"/>
  <c r="I143" i="17"/>
  <c r="I143" i="15"/>
  <c r="I271" i="14"/>
  <c r="I271" i="17"/>
  <c r="I271" i="15"/>
  <c r="I271" i="16"/>
  <c r="I46" i="16"/>
  <c r="I46" i="17"/>
  <c r="I46" i="15"/>
  <c r="I46" i="14"/>
  <c r="I225" i="14"/>
  <c r="I225" i="17"/>
  <c r="I225" i="16"/>
  <c r="I225" i="15"/>
  <c r="I230" i="14"/>
  <c r="I230" i="15"/>
  <c r="I230" i="17"/>
  <c r="I230" i="16"/>
  <c r="I235" i="17"/>
  <c r="I235" i="16"/>
  <c r="I235" i="15"/>
  <c r="I27" i="17"/>
  <c r="I112" i="17"/>
  <c r="I112" i="16"/>
  <c r="I112" i="14"/>
  <c r="I112" i="15"/>
  <c r="I139" i="15"/>
  <c r="I139" i="17"/>
  <c r="I139" i="16"/>
  <c r="I139" i="14"/>
  <c r="I266" i="15"/>
  <c r="I266" i="16"/>
  <c r="I266" i="14"/>
  <c r="I266" i="17"/>
  <c r="I227" i="14"/>
  <c r="I227" i="15"/>
  <c r="I227" i="16"/>
  <c r="I227" i="17"/>
  <c r="I239" i="14"/>
  <c r="I239" i="15"/>
  <c r="I239" i="16"/>
  <c r="I239" i="17"/>
  <c r="I107" i="15"/>
  <c r="I107" i="17"/>
  <c r="I107" i="16"/>
  <c r="I107" i="14"/>
  <c r="I235" i="14"/>
  <c r="I39" i="17"/>
  <c r="I39" i="15"/>
  <c r="I39" i="16"/>
  <c r="I39" i="14"/>
  <c r="I101" i="14"/>
  <c r="I101" i="15"/>
  <c r="I101" i="16"/>
  <c r="I101" i="17"/>
  <c r="I233" i="16"/>
  <c r="I233" i="17"/>
  <c r="I233" i="15"/>
  <c r="I233" i="14"/>
  <c r="I238" i="14"/>
  <c r="I238" i="16"/>
  <c r="I238" i="15"/>
  <c r="I238" i="17"/>
  <c r="I92" i="16"/>
  <c r="I92" i="17"/>
  <c r="I92" i="15"/>
  <c r="I92" i="14"/>
  <c r="I161" i="16"/>
  <c r="I161" i="14"/>
  <c r="I161" i="17"/>
  <c r="I161" i="15"/>
  <c r="I251" i="17"/>
  <c r="I251" i="15"/>
  <c r="I63" i="16"/>
  <c r="I63" i="17"/>
  <c r="I63" i="14"/>
  <c r="I63" i="15"/>
  <c r="I82" i="15"/>
  <c r="I82" i="14"/>
  <c r="I82" i="17"/>
  <c r="I82" i="16"/>
  <c r="I258" i="16"/>
  <c r="I258" i="17"/>
  <c r="I258" i="15"/>
  <c r="I258" i="14"/>
  <c r="I269" i="17"/>
  <c r="I269" i="15"/>
  <c r="I269" i="16"/>
  <c r="I269" i="14"/>
  <c r="I129" i="17"/>
  <c r="I129" i="14"/>
  <c r="I129" i="15"/>
  <c r="I129" i="16"/>
  <c r="I275" i="16"/>
  <c r="I275" i="14"/>
  <c r="I275" i="17"/>
  <c r="I275" i="15"/>
  <c r="I198" i="17"/>
  <c r="I198" i="16"/>
  <c r="I198" i="15"/>
  <c r="I198" i="14"/>
  <c r="I38" i="16"/>
  <c r="I38" i="15"/>
  <c r="I38" i="14"/>
  <c r="I195" i="16"/>
  <c r="I195" i="15"/>
  <c r="I195" i="14"/>
  <c r="I195" i="17"/>
  <c r="I208" i="14"/>
  <c r="I208" i="15"/>
  <c r="I208" i="16"/>
  <c r="I208" i="17"/>
  <c r="I191" i="15"/>
  <c r="I191" i="16"/>
  <c r="I191" i="17"/>
  <c r="I191" i="14"/>
  <c r="I197" i="15"/>
  <c r="I197" i="14"/>
  <c r="I197" i="16"/>
  <c r="I197" i="17"/>
  <c r="I76" i="17"/>
  <c r="I76" i="15"/>
  <c r="I76" i="16"/>
  <c r="I76" i="14"/>
  <c r="I187" i="16"/>
  <c r="I187" i="14"/>
  <c r="I187" i="15"/>
  <c r="I187" i="17"/>
  <c r="I150" i="16"/>
  <c r="I150" i="17"/>
  <c r="I150" i="15"/>
  <c r="I150" i="14"/>
  <c r="I119" i="15"/>
  <c r="I119" i="17"/>
  <c r="I276" i="14"/>
  <c r="I276" i="16"/>
  <c r="I276" i="15"/>
  <c r="I276" i="17"/>
  <c r="I14" i="15"/>
  <c r="I14" i="14"/>
  <c r="I14" i="16"/>
  <c r="I14" i="17"/>
  <c r="I223" i="16"/>
  <c r="I223" i="17"/>
  <c r="I223" i="15"/>
  <c r="I223" i="14"/>
  <c r="I176" i="17"/>
  <c r="I176" i="15"/>
  <c r="I176" i="16"/>
  <c r="I176" i="14"/>
  <c r="I200" i="17"/>
  <c r="I200" i="16"/>
  <c r="I200" i="15"/>
  <c r="I200" i="14"/>
  <c r="I87" i="16"/>
  <c r="I87" i="15"/>
  <c r="I87" i="14"/>
  <c r="I87" i="17"/>
  <c r="I113" i="14"/>
  <c r="I113" i="17"/>
  <c r="I113" i="15"/>
  <c r="I113" i="16"/>
  <c r="I27" i="14"/>
  <c r="I95" i="15"/>
  <c r="I95" i="17"/>
  <c r="I95" i="14"/>
  <c r="I95" i="16"/>
  <c r="I43" i="16"/>
  <c r="I43" i="15"/>
  <c r="I43" i="17"/>
  <c r="I43" i="14"/>
  <c r="I42" i="16"/>
  <c r="I42" i="17"/>
  <c r="I42" i="15"/>
  <c r="I42" i="14"/>
  <c r="I34" i="14"/>
  <c r="I34" i="16"/>
  <c r="I34" i="15"/>
  <c r="I34" i="17"/>
  <c r="I128" i="15"/>
  <c r="I128" i="16"/>
  <c r="I128" i="17"/>
  <c r="I128" i="14"/>
  <c r="I119" i="14"/>
  <c r="I119" i="16"/>
  <c r="I37" i="14"/>
  <c r="I37" i="17"/>
  <c r="I37" i="15"/>
  <c r="I37" i="16"/>
  <c r="I261" i="16"/>
  <c r="I261" i="15"/>
  <c r="I261" i="14"/>
  <c r="I261" i="17"/>
  <c r="I20" i="16"/>
  <c r="I20" i="15"/>
  <c r="I20" i="14"/>
  <c r="I20" i="17"/>
  <c r="I192" i="17"/>
  <c r="I192" i="15"/>
  <c r="I192" i="14"/>
  <c r="I192" i="16"/>
  <c r="I13" i="15"/>
  <c r="I13" i="16"/>
  <c r="I13" i="17"/>
  <c r="I13" i="14"/>
  <c r="I190" i="15"/>
  <c r="I190" i="14"/>
  <c r="I190" i="17"/>
  <c r="I190" i="16"/>
  <c r="I210" i="15"/>
  <c r="I210" i="16"/>
  <c r="N128" i="10"/>
  <c r="T128" i="10"/>
  <c r="V128" i="10"/>
  <c r="P128" i="10"/>
  <c r="R128" i="10"/>
  <c r="I169" i="15"/>
  <c r="I169" i="14"/>
  <c r="I169" i="16"/>
  <c r="I169" i="17"/>
  <c r="I67" i="17"/>
  <c r="I67" i="14"/>
  <c r="I67" i="15"/>
  <c r="I67" i="16"/>
  <c r="I96" i="17"/>
  <c r="I96" i="16"/>
  <c r="I96" i="14"/>
  <c r="I96" i="15"/>
  <c r="I52" i="16"/>
  <c r="I52" i="14"/>
  <c r="I52" i="15"/>
  <c r="I52" i="17"/>
  <c r="I109" i="16"/>
  <c r="I109" i="17"/>
  <c r="I109" i="15"/>
  <c r="I109" i="14"/>
  <c r="I78" i="15"/>
  <c r="I78" i="14"/>
  <c r="I78" i="17"/>
  <c r="I78" i="16"/>
  <c r="I91" i="15"/>
  <c r="I91" i="17"/>
  <c r="I91" i="14"/>
  <c r="I91" i="16"/>
  <c r="I214" i="16"/>
  <c r="I214" i="17"/>
  <c r="I214" i="15"/>
  <c r="I214" i="14"/>
  <c r="I123" i="15"/>
  <c r="I123" i="14"/>
  <c r="I123" i="16"/>
  <c r="I123" i="17"/>
  <c r="I180" i="17"/>
  <c r="I180" i="15"/>
  <c r="I180" i="14"/>
  <c r="I180" i="16"/>
  <c r="I160" i="16"/>
  <c r="I160" i="14"/>
  <c r="I160" i="15"/>
  <c r="I160" i="17"/>
  <c r="I218" i="17"/>
  <c r="I218" i="16"/>
  <c r="I218" i="14"/>
  <c r="I218" i="15"/>
  <c r="I72" i="17"/>
  <c r="I72" i="15"/>
  <c r="I72" i="14"/>
  <c r="I72" i="16"/>
  <c r="I246" i="14"/>
  <c r="I246" i="16"/>
  <c r="I246" i="15"/>
  <c r="I246" i="17"/>
  <c r="I125" i="16"/>
  <c r="I125" i="14"/>
  <c r="I125" i="15"/>
  <c r="I125" i="17"/>
  <c r="I86" i="17"/>
  <c r="I86" i="16"/>
  <c r="I86" i="14"/>
  <c r="I86" i="15"/>
  <c r="I68" i="16"/>
  <c r="I68" i="15"/>
  <c r="I68" i="17"/>
  <c r="I68" i="14"/>
  <c r="I126" i="14"/>
  <c r="I126" i="16"/>
  <c r="I126" i="17"/>
  <c r="I126" i="15"/>
  <c r="I211" i="16"/>
  <c r="I211" i="14"/>
  <c r="I211" i="15"/>
  <c r="I211" i="17"/>
  <c r="I122" i="14"/>
  <c r="I122" i="17"/>
  <c r="I122" i="15"/>
  <c r="I122" i="16"/>
  <c r="I85" i="14"/>
  <c r="I85" i="17"/>
  <c r="I85" i="16"/>
  <c r="I85" i="15"/>
  <c r="I120" i="15"/>
  <c r="I120" i="17"/>
  <c r="I120" i="16"/>
  <c r="I120" i="14"/>
  <c r="I209" i="17"/>
  <c r="I209" i="15"/>
  <c r="I209" i="16"/>
  <c r="I209" i="14"/>
  <c r="I25" i="16"/>
  <c r="I25" i="15"/>
  <c r="I25" i="14"/>
  <c r="I25" i="17"/>
  <c r="I178" i="15"/>
  <c r="I178" i="16"/>
  <c r="I178" i="14"/>
  <c r="I178" i="17"/>
  <c r="I30" i="17"/>
  <c r="I30" i="16"/>
  <c r="I30" i="15"/>
  <c r="I30" i="14"/>
  <c r="I115" i="14"/>
  <c r="I115" i="16"/>
  <c r="I115" i="15"/>
  <c r="I115" i="17"/>
  <c r="I204" i="17"/>
  <c r="I204" i="15"/>
  <c r="I204" i="16"/>
  <c r="I204" i="14"/>
  <c r="I216" i="14"/>
  <c r="I216" i="15"/>
  <c r="I216" i="16"/>
  <c r="I216" i="17"/>
  <c r="I154" i="15"/>
  <c r="I154" i="17"/>
  <c r="I154" i="14"/>
  <c r="I154" i="16"/>
  <c r="I54" i="16"/>
  <c r="I54" i="15"/>
  <c r="I54" i="14"/>
  <c r="I54" i="17"/>
  <c r="I71" i="17"/>
  <c r="I71" i="15"/>
  <c r="I71" i="16"/>
  <c r="I71" i="14"/>
  <c r="I104" i="15"/>
  <c r="I104" i="14"/>
  <c r="I104" i="16"/>
  <c r="I104" i="17"/>
  <c r="I199" i="14"/>
  <c r="I199" i="15"/>
  <c r="I199" i="17"/>
  <c r="I199" i="16"/>
  <c r="I179" i="14"/>
  <c r="I179" i="17"/>
  <c r="I179" i="16"/>
  <c r="I179" i="15"/>
  <c r="I171" i="15"/>
  <c r="I171" i="16"/>
  <c r="I171" i="17"/>
  <c r="I171" i="14"/>
  <c r="I146" i="17"/>
  <c r="I146" i="14"/>
  <c r="I146" i="16"/>
  <c r="I146" i="15"/>
  <c r="I221" i="15"/>
  <c r="I221" i="14"/>
  <c r="I221" i="16"/>
  <c r="I221" i="17"/>
  <c r="I121" i="15"/>
  <c r="I121" i="17"/>
  <c r="I121" i="16"/>
  <c r="I121" i="14"/>
  <c r="I205" i="15"/>
  <c r="I205" i="17"/>
  <c r="I205" i="16"/>
  <c r="I205" i="14"/>
  <c r="I260" i="17"/>
  <c r="I260" i="15"/>
  <c r="I260" i="14"/>
  <c r="I260" i="16"/>
  <c r="I215" i="16"/>
  <c r="I215" i="14"/>
  <c r="I215" i="17"/>
  <c r="I215" i="15"/>
  <c r="I97" i="14"/>
  <c r="I97" i="15"/>
  <c r="I97" i="17"/>
  <c r="I97" i="16"/>
  <c r="I26" i="17"/>
  <c r="I26" i="16"/>
  <c r="I26" i="15"/>
  <c r="I26" i="14"/>
  <c r="I231" i="14"/>
  <c r="I231" i="17"/>
  <c r="I231" i="16"/>
  <c r="I231" i="15"/>
  <c r="I130" i="16"/>
  <c r="I130" i="17"/>
  <c r="I130" i="14"/>
  <c r="I130" i="15"/>
  <c r="I99" i="16"/>
  <c r="I99" i="17"/>
  <c r="I99" i="15"/>
  <c r="I99" i="14"/>
  <c r="I172" i="16"/>
  <c r="I172" i="17"/>
  <c r="I172" i="14"/>
  <c r="I172" i="15"/>
  <c r="I247" i="17"/>
  <c r="I247" i="15"/>
  <c r="I247" i="14"/>
  <c r="I247" i="16"/>
  <c r="I203" i="16"/>
  <c r="I203" i="17"/>
  <c r="I203" i="14"/>
  <c r="I203" i="15"/>
  <c r="I255" i="15"/>
  <c r="I255" i="16"/>
  <c r="I255" i="17"/>
  <c r="I255" i="14"/>
  <c r="I106" i="14"/>
  <c r="I106" i="16"/>
  <c r="I106" i="15"/>
  <c r="I106" i="17"/>
  <c r="I142" i="14"/>
  <c r="I142" i="17"/>
  <c r="I142" i="15"/>
  <c r="I142" i="16"/>
  <c r="I29" i="16"/>
  <c r="I29" i="14"/>
  <c r="I29" i="15"/>
  <c r="I29" i="17"/>
  <c r="I242" i="16"/>
  <c r="I242" i="15"/>
  <c r="I242" i="14"/>
  <c r="I242" i="17"/>
  <c r="I73" i="15"/>
  <c r="I73" i="17"/>
  <c r="I73" i="14"/>
  <c r="I73" i="16"/>
  <c r="I196" i="15"/>
  <c r="I196" i="16"/>
  <c r="I196" i="14"/>
  <c r="I196" i="17"/>
  <c r="I53" i="17"/>
  <c r="I53" i="14"/>
  <c r="I53" i="15"/>
  <c r="I53" i="16"/>
  <c r="I12" i="16"/>
  <c r="I12" i="14"/>
  <c r="I12" i="15"/>
  <c r="I12" i="17"/>
  <c r="I77" i="16"/>
  <c r="I77" i="14"/>
  <c r="I77" i="15"/>
  <c r="I77" i="17"/>
  <c r="I116" i="15"/>
  <c r="I116" i="17"/>
  <c r="I116" i="14"/>
  <c r="I116" i="16"/>
  <c r="I124" i="16"/>
  <c r="I124" i="14"/>
  <c r="I124" i="15"/>
  <c r="I124" i="17"/>
  <c r="I163" i="16"/>
  <c r="I163" i="17"/>
  <c r="I163" i="14"/>
  <c r="I163" i="15"/>
  <c r="I138" i="16"/>
  <c r="I138" i="14"/>
  <c r="I138" i="17"/>
  <c r="I138" i="15"/>
  <c r="I103" i="14"/>
  <c r="I103" i="16"/>
  <c r="I103" i="17"/>
  <c r="I103" i="15"/>
  <c r="I31" i="17"/>
  <c r="I31" i="16"/>
  <c r="I31" i="15"/>
  <c r="I31" i="14"/>
  <c r="I117" i="16"/>
  <c r="I117" i="17"/>
  <c r="I117" i="14"/>
  <c r="I117" i="15"/>
  <c r="I207" i="17"/>
  <c r="I207" i="14"/>
  <c r="I207" i="16"/>
  <c r="I207" i="15"/>
  <c r="I264" i="14"/>
  <c r="I264" i="16"/>
  <c r="I264" i="15"/>
  <c r="I264" i="17"/>
  <c r="I212" i="16"/>
  <c r="I212" i="15"/>
  <c r="I212" i="17"/>
  <c r="I212" i="14"/>
  <c r="I149" i="16"/>
  <c r="I149" i="17"/>
  <c r="I149" i="15"/>
  <c r="I149" i="14"/>
  <c r="I217" i="17"/>
  <c r="I217" i="15"/>
  <c r="I217" i="14"/>
  <c r="I217" i="16"/>
  <c r="I28" i="14"/>
  <c r="I28" i="17"/>
  <c r="I28" i="16"/>
  <c r="I28" i="15"/>
  <c r="I57" i="17"/>
  <c r="I57" i="15"/>
  <c r="I57" i="14"/>
  <c r="I57" i="16"/>
  <c r="I182" i="17"/>
  <c r="I182" i="14"/>
  <c r="I182" i="16"/>
  <c r="I182" i="15"/>
  <c r="I135" i="16"/>
  <c r="I135" i="15"/>
  <c r="I135" i="17"/>
  <c r="I135" i="14"/>
  <c r="I153" i="14"/>
  <c r="I153" i="15"/>
  <c r="I153" i="17"/>
  <c r="I153" i="16"/>
  <c r="I88" i="15"/>
  <c r="I88" i="17"/>
  <c r="I88" i="14"/>
  <c r="I88" i="16"/>
  <c r="I162" i="16"/>
  <c r="I162" i="14"/>
  <c r="I162" i="15"/>
  <c r="I162" i="17"/>
  <c r="I56" i="14"/>
  <c r="I56" i="16"/>
  <c r="I56" i="15"/>
  <c r="I56" i="17"/>
  <c r="I83" i="14"/>
  <c r="I83" i="15"/>
  <c r="I83" i="17"/>
  <c r="I83" i="16"/>
  <c r="I132" i="15"/>
  <c r="I132" i="14"/>
  <c r="I132" i="17"/>
  <c r="I132" i="16"/>
  <c r="I64" i="15"/>
  <c r="I64" i="14"/>
  <c r="I64" i="17"/>
  <c r="I64" i="16"/>
  <c r="K70" i="12"/>
  <c r="I78" i="12" s="1"/>
  <c r="O74" i="12"/>
  <c r="L74" i="12" s="1"/>
  <c r="I21" i="17"/>
  <c r="I21" i="16"/>
  <c r="I21" i="15"/>
  <c r="I21" i="14"/>
  <c r="I134" i="15"/>
  <c r="I134" i="17"/>
  <c r="I134" i="14"/>
  <c r="I134" i="16"/>
  <c r="I158" i="16"/>
  <c r="I158" i="17"/>
  <c r="I158" i="14"/>
  <c r="I158" i="15"/>
  <c r="I243" i="14"/>
  <c r="I243" i="16"/>
  <c r="I243" i="17"/>
  <c r="I243" i="15"/>
  <c r="I256" i="17"/>
  <c r="I256" i="15"/>
  <c r="I256" i="16"/>
  <c r="I256" i="14"/>
  <c r="I131" i="16"/>
  <c r="I131" i="17"/>
  <c r="I131" i="14"/>
  <c r="I131" i="15"/>
  <c r="I236" i="16"/>
  <c r="I236" i="15"/>
  <c r="I236" i="17"/>
  <c r="I236" i="14"/>
  <c r="I80" i="14"/>
  <c r="I80" i="17"/>
  <c r="I80" i="15"/>
  <c r="I80" i="16"/>
  <c r="I267" i="16"/>
  <c r="I267" i="14"/>
  <c r="I267" i="17"/>
  <c r="I267" i="15"/>
  <c r="I174" i="16"/>
  <c r="I174" i="14"/>
  <c r="I174" i="17"/>
  <c r="I174" i="15"/>
  <c r="I61" i="15"/>
  <c r="I61" i="17"/>
  <c r="I61" i="16"/>
  <c r="I61" i="14"/>
  <c r="I159" i="16"/>
  <c r="I159" i="17"/>
  <c r="I159" i="14"/>
  <c r="I159" i="15"/>
  <c r="I15" i="14"/>
  <c r="I15" i="16"/>
  <c r="I15" i="15"/>
  <c r="I15" i="17"/>
  <c r="I245" i="14"/>
  <c r="I245" i="15"/>
  <c r="I245" i="17"/>
  <c r="I245" i="16"/>
  <c r="I272" i="14"/>
  <c r="I272" i="15"/>
  <c r="I272" i="16"/>
  <c r="I272" i="17"/>
  <c r="I181" i="14"/>
  <c r="I181" i="17"/>
  <c r="I181" i="16"/>
  <c r="I181" i="15"/>
  <c r="I100" i="14"/>
  <c r="I100" i="17"/>
  <c r="I100" i="16"/>
  <c r="I100" i="15"/>
  <c r="I141" i="15"/>
  <c r="I141" i="14"/>
  <c r="I141" i="17"/>
  <c r="I141" i="16"/>
  <c r="I186" i="17"/>
  <c r="I186" i="14"/>
  <c r="I186" i="15"/>
  <c r="I186" i="16"/>
  <c r="I183" i="16"/>
  <c r="I183" i="15"/>
  <c r="I183" i="17"/>
  <c r="I183" i="14"/>
  <c r="I108" i="16"/>
  <c r="I108" i="15"/>
  <c r="I108" i="17"/>
  <c r="I108" i="14"/>
  <c r="I41" i="17"/>
  <c r="I41" i="14"/>
  <c r="I41" i="15"/>
  <c r="I41" i="16"/>
  <c r="I164" i="16"/>
  <c r="I164" i="14"/>
  <c r="I164" i="15"/>
  <c r="I164" i="17"/>
  <c r="I156" i="15"/>
  <c r="I156" i="14"/>
  <c r="I156" i="17"/>
  <c r="I156" i="16"/>
  <c r="I248" i="16"/>
  <c r="I248" i="15"/>
  <c r="I248" i="17"/>
  <c r="I248" i="14"/>
  <c r="I224" i="14"/>
  <c r="I224" i="17"/>
  <c r="I224" i="16"/>
  <c r="I224" i="15"/>
  <c r="I152" i="15"/>
  <c r="I152" i="14"/>
  <c r="I152" i="16"/>
  <c r="I152" i="17"/>
  <c r="I229" i="14"/>
  <c r="I229" i="17"/>
  <c r="I229" i="16"/>
  <c r="I229" i="15"/>
  <c r="I94" i="15"/>
  <c r="I94" i="14"/>
  <c r="I94" i="17"/>
  <c r="I94" i="16"/>
  <c r="I219" i="16"/>
  <c r="I219" i="14"/>
  <c r="I219" i="15"/>
  <c r="I219" i="17"/>
  <c r="I32" i="17"/>
  <c r="I32" i="14"/>
  <c r="I32" i="15"/>
  <c r="I32" i="16"/>
  <c r="I232" i="14"/>
  <c r="I232" i="15"/>
  <c r="I232" i="16"/>
  <c r="I232" i="17"/>
  <c r="I17" i="14"/>
  <c r="I17" i="16"/>
  <c r="I17" i="15"/>
  <c r="I17" i="17"/>
  <c r="I145" i="15"/>
  <c r="I145" i="16"/>
  <c r="I145" i="17"/>
  <c r="I145" i="14"/>
  <c r="I148" i="17"/>
  <c r="I148" i="15"/>
  <c r="I148" i="16"/>
  <c r="I148" i="14"/>
  <c r="I188" i="15"/>
  <c r="I188" i="14"/>
  <c r="I188" i="16"/>
  <c r="I188" i="17"/>
  <c r="I277" i="16"/>
  <c r="I279" i="16"/>
  <c r="I312" i="16"/>
  <c r="I288" i="14"/>
  <c r="I305" i="17"/>
  <c r="I292" i="17"/>
  <c r="I316" i="17"/>
  <c r="I370" i="17"/>
  <c r="I300" i="14"/>
  <c r="I301" i="17"/>
  <c r="I308" i="15"/>
  <c r="I282" i="14"/>
  <c r="I325" i="17"/>
  <c r="I337" i="17"/>
  <c r="I297" i="17"/>
  <c r="I299" i="15"/>
  <c r="I302" i="15"/>
  <c r="I280" i="17"/>
  <c r="I294" i="14"/>
  <c r="I285" i="16"/>
  <c r="I367" i="17"/>
  <c r="I338" i="17"/>
  <c r="I284" i="14"/>
  <c r="I297" i="14"/>
  <c r="I298" i="14"/>
  <c r="I303" i="16"/>
  <c r="I353" i="17"/>
  <c r="I301" i="15"/>
  <c r="I308" i="17"/>
  <c r="I286" i="16"/>
  <c r="I300" i="15"/>
  <c r="I300" i="16"/>
  <c r="I281" i="16"/>
  <c r="I349" i="17"/>
  <c r="I287" i="16"/>
  <c r="I283" i="16"/>
  <c r="I283" i="17"/>
  <c r="I284" i="17"/>
  <c r="I306" i="17"/>
  <c r="I354" i="17"/>
  <c r="I332" i="17"/>
  <c r="I307" i="17"/>
  <c r="I296" i="17"/>
  <c r="I372" i="17"/>
  <c r="I304" i="14"/>
  <c r="I285" i="14"/>
  <c r="I320" i="17"/>
  <c r="I280" i="15"/>
  <c r="I285" i="15"/>
  <c r="I291" i="17"/>
  <c r="I293" i="16"/>
  <c r="I291" i="15"/>
  <c r="I298" i="17"/>
  <c r="I298" i="16"/>
  <c r="I304" i="16"/>
  <c r="I290" i="17"/>
  <c r="I334" i="17"/>
  <c r="I335" i="17"/>
  <c r="I280" i="16"/>
  <c r="I305" i="14"/>
  <c r="I278" i="15"/>
  <c r="I295" i="16"/>
  <c r="I287" i="14"/>
  <c r="I319" i="17"/>
  <c r="I292" i="16"/>
  <c r="I296" i="15"/>
  <c r="I308" i="14"/>
  <c r="I306" i="14"/>
  <c r="I286" i="15"/>
  <c r="I369" i="17"/>
  <c r="I330" i="17"/>
  <c r="I293" i="15"/>
  <c r="I368" i="17"/>
  <c r="I277" i="15"/>
  <c r="I301" i="16"/>
  <c r="I355" i="17"/>
  <c r="I299" i="17"/>
  <c r="I348" i="17"/>
  <c r="I279" i="17"/>
  <c r="I292" i="15"/>
  <c r="I293" i="17"/>
  <c r="I299" i="16"/>
  <c r="I318" i="17"/>
  <c r="I327" i="17"/>
  <c r="I300" i="17"/>
  <c r="I346" i="17"/>
  <c r="I366" i="17"/>
  <c r="I364" i="17"/>
  <c r="I279" i="14"/>
  <c r="I361" i="17"/>
  <c r="I304" i="17"/>
  <c r="I302" i="16"/>
  <c r="I336" i="17"/>
  <c r="I296" i="16"/>
  <c r="I326" i="17"/>
  <c r="I295" i="17"/>
  <c r="I279" i="15"/>
  <c r="I306" i="15"/>
  <c r="I308" i="16"/>
  <c r="I347" i="17"/>
  <c r="I339" i="17"/>
  <c r="I293" i="14"/>
  <c r="I363" i="17"/>
  <c r="I344" i="17"/>
  <c r="I310" i="16"/>
  <c r="I307" i="14"/>
  <c r="I294" i="15"/>
  <c r="I289" i="16"/>
  <c r="I286" i="14"/>
  <c r="I350" i="17"/>
  <c r="I371" i="17"/>
  <c r="I321" i="17"/>
  <c r="I314" i="17"/>
  <c r="I305" i="15"/>
  <c r="I287" i="17"/>
  <c r="I295" i="15"/>
  <c r="I290" i="15"/>
  <c r="I358" i="17"/>
  <c r="I315" i="17"/>
  <c r="I296" i="14"/>
  <c r="I311" i="14"/>
  <c r="I290" i="14"/>
  <c r="I292" i="14"/>
  <c r="I351" i="17"/>
  <c r="I284" i="16"/>
  <c r="I365" i="17"/>
  <c r="I288" i="15"/>
  <c r="I299" i="14"/>
  <c r="I289" i="15"/>
  <c r="I283" i="14"/>
  <c r="I362" i="17"/>
  <c r="I311" i="15"/>
  <c r="I277" i="17"/>
  <c r="I345" i="17"/>
  <c r="I352" i="17"/>
  <c r="I309" i="16"/>
  <c r="I343" i="17"/>
  <c r="I304" i="15"/>
  <c r="I331" i="17"/>
  <c r="I324" i="17"/>
  <c r="I302" i="14"/>
  <c r="I303" i="15"/>
  <c r="I357" i="17"/>
  <c r="I306" i="16"/>
  <c r="I356" i="17"/>
  <c r="I289" i="17"/>
  <c r="I341" i="17"/>
  <c r="I333" i="17"/>
  <c r="I284" i="15"/>
  <c r="I317" i="17"/>
  <c r="I288" i="16"/>
  <c r="I328" i="17"/>
  <c r="I289" i="14"/>
  <c r="I278" i="17"/>
  <c r="I294" i="16"/>
  <c r="I281" i="15"/>
  <c r="I311" i="16"/>
  <c r="I302" i="17"/>
  <c r="I310" i="14"/>
  <c r="I305" i="16"/>
  <c r="I307" i="15"/>
  <c r="I277" i="14"/>
  <c r="I285" i="17"/>
  <c r="I329" i="17"/>
  <c r="I309" i="17"/>
  <c r="I282" i="15"/>
  <c r="I303" i="14"/>
  <c r="I322" i="17"/>
  <c r="I297" i="15"/>
  <c r="I288" i="17"/>
  <c r="I287" i="15"/>
  <c r="I278" i="14"/>
  <c r="I309" i="15"/>
  <c r="I283" i="15"/>
  <c r="I309" i="14"/>
  <c r="I295" i="14"/>
  <c r="I280" i="14"/>
  <c r="I291" i="16"/>
  <c r="I281" i="14"/>
  <c r="I313" i="17"/>
  <c r="I290" i="16"/>
  <c r="I298" i="15"/>
  <c r="I282" i="16"/>
  <c r="I359" i="17"/>
  <c r="I310" i="17"/>
  <c r="I303" i="17"/>
  <c r="I311" i="17"/>
  <c r="I342" i="17"/>
  <c r="I307" i="16"/>
  <c r="I281" i="17"/>
  <c r="I310" i="15"/>
  <c r="I301" i="14"/>
  <c r="I286" i="17"/>
  <c r="I297" i="16"/>
  <c r="I278" i="16"/>
  <c r="I312" i="17"/>
  <c r="I294" i="17"/>
  <c r="I340" i="17"/>
  <c r="I291" i="14"/>
  <c r="I360" i="17"/>
  <c r="I282" i="17"/>
  <c r="I323" i="17"/>
  <c r="I144" i="15"/>
  <c r="I144" i="16"/>
  <c r="I144" i="17"/>
  <c r="I144" i="14"/>
  <c r="I265" i="14"/>
  <c r="I265" i="15"/>
  <c r="I265" i="17"/>
  <c r="I265" i="16"/>
  <c r="I220" i="15"/>
  <c r="I220" i="17"/>
  <c r="I220" i="14"/>
  <c r="I220" i="16"/>
  <c r="E21" i="11"/>
  <c r="E22" i="11"/>
  <c r="I165" i="17"/>
  <c r="I165" i="15"/>
  <c r="I165" i="14"/>
  <c r="I165" i="16"/>
  <c r="I241" i="15"/>
  <c r="I241" i="14"/>
  <c r="I241" i="16"/>
  <c r="I241" i="17"/>
  <c r="I59" i="15"/>
  <c r="I59" i="17"/>
  <c r="I59" i="16"/>
  <c r="I59" i="14"/>
  <c r="I89" i="15"/>
  <c r="I89" i="17"/>
  <c r="I89" i="14"/>
  <c r="I89" i="16"/>
  <c r="I23" i="16"/>
  <c r="I23" i="15"/>
  <c r="I23" i="17"/>
  <c r="I23" i="14"/>
  <c r="I202" i="16"/>
  <c r="I202" i="17"/>
  <c r="I202" i="15"/>
  <c r="I202" i="14"/>
  <c r="I262" i="16"/>
  <c r="I262" i="17"/>
  <c r="I262" i="15"/>
  <c r="I262" i="14"/>
  <c r="I167" i="14"/>
  <c r="I167" i="16"/>
  <c r="I167" i="17"/>
  <c r="I167" i="15"/>
  <c r="I166" i="14"/>
  <c r="I166" i="17"/>
  <c r="I166" i="16"/>
  <c r="I166" i="15"/>
  <c r="I98" i="15"/>
  <c r="I98" i="17"/>
  <c r="I98" i="14"/>
  <c r="I98" i="16"/>
  <c r="I62" i="17"/>
  <c r="I62" i="15"/>
  <c r="I62" i="14"/>
  <c r="I62" i="16"/>
  <c r="I147" i="17"/>
  <c r="I147" i="14"/>
  <c r="I147" i="16"/>
  <c r="I147" i="15"/>
  <c r="I268" i="17"/>
  <c r="I268" i="15"/>
  <c r="I268" i="16"/>
  <c r="I268" i="14"/>
  <c r="I137" i="15"/>
  <c r="I137" i="17"/>
  <c r="I137" i="14"/>
  <c r="I137" i="16"/>
  <c r="I253" i="17"/>
  <c r="I253" i="16"/>
  <c r="I253" i="15"/>
  <c r="I253" i="14"/>
  <c r="I259" i="14"/>
  <c r="I259" i="15"/>
  <c r="I259" i="16"/>
  <c r="I259" i="17"/>
  <c r="I177" i="14"/>
  <c r="I177" i="15"/>
  <c r="I177" i="17"/>
  <c r="I177" i="16"/>
  <c r="I194" i="15"/>
  <c r="I194" i="17"/>
  <c r="I194" i="14"/>
  <c r="I194" i="16"/>
  <c r="I69" i="14"/>
  <c r="I69" i="15"/>
  <c r="I69" i="17"/>
  <c r="I69" i="16"/>
  <c r="I55" i="15"/>
  <c r="I55" i="17"/>
  <c r="I55" i="16"/>
  <c r="I55" i="14"/>
  <c r="I74" i="16"/>
  <c r="I74" i="17"/>
  <c r="I74" i="14"/>
  <c r="I74" i="15"/>
  <c r="I84" i="17"/>
  <c r="I84" i="16"/>
  <c r="I84" i="14"/>
  <c r="I84" i="15"/>
  <c r="I127" i="14"/>
  <c r="I127" i="15"/>
  <c r="I127" i="17"/>
  <c r="I127" i="16"/>
  <c r="I213" i="14"/>
  <c r="I213" i="17"/>
  <c r="I213" i="16"/>
  <c r="I213" i="15"/>
  <c r="I50" i="17"/>
  <c r="I50" i="15"/>
  <c r="I50" i="14"/>
  <c r="I50" i="16"/>
  <c r="I36" i="15"/>
  <c r="I36" i="16"/>
  <c r="I36" i="17"/>
  <c r="I36" i="14"/>
  <c r="I60" i="15"/>
  <c r="I60" i="16"/>
  <c r="I60" i="17"/>
  <c r="I60" i="14"/>
  <c r="I66" i="15"/>
  <c r="I66" i="14"/>
  <c r="I66" i="17"/>
  <c r="I66" i="16"/>
  <c r="I16" i="16"/>
  <c r="I16" i="14"/>
  <c r="I16" i="17"/>
  <c r="I16" i="15"/>
  <c r="I206" i="14"/>
  <c r="I206" i="15"/>
  <c r="I206" i="17"/>
  <c r="I206" i="16"/>
  <c r="I93" i="16"/>
  <c r="I93" i="15"/>
  <c r="I93" i="14"/>
  <c r="I93" i="17"/>
  <c r="I193" i="17"/>
  <c r="I193" i="14"/>
  <c r="I193" i="16"/>
  <c r="I193" i="15"/>
  <c r="I79" i="14"/>
  <c r="I79" i="15"/>
  <c r="I79" i="16"/>
  <c r="I79" i="17"/>
  <c r="I249" i="14"/>
  <c r="I249" i="17"/>
  <c r="I249" i="15"/>
  <c r="I249" i="16"/>
  <c r="I237" i="15"/>
  <c r="I237" i="16"/>
  <c r="I237" i="14"/>
  <c r="I237" i="17"/>
  <c r="I140" i="15"/>
  <c r="I140" i="16"/>
  <c r="I140" i="17"/>
  <c r="I140" i="14"/>
  <c r="I173" i="14"/>
  <c r="I173" i="16"/>
  <c r="I173" i="17"/>
  <c r="I173" i="15"/>
  <c r="I105" i="14"/>
  <c r="I105" i="17"/>
  <c r="I105" i="15"/>
  <c r="I105" i="16"/>
  <c r="I228" i="17"/>
  <c r="I228" i="15"/>
  <c r="I228" i="16"/>
  <c r="I228" i="14"/>
  <c r="I257" i="14"/>
  <c r="I257" i="15"/>
  <c r="I257" i="17"/>
  <c r="I257" i="16"/>
  <c r="I110" i="16"/>
  <c r="I110" i="15"/>
  <c r="I110" i="17"/>
  <c r="I110" i="14"/>
  <c r="I49" i="17"/>
  <c r="I49" i="15"/>
  <c r="I49" i="14"/>
  <c r="I49" i="16"/>
  <c r="I151" i="16"/>
  <c r="I151" i="15"/>
  <c r="I151" i="14"/>
  <c r="I151" i="17"/>
  <c r="J136" i="12" l="1"/>
  <c r="E31" i="11" s="1"/>
  <c r="P121" i="10"/>
  <c r="P122" i="10" s="1"/>
  <c r="D4" i="15"/>
  <c r="D4" i="16"/>
  <c r="D7" i="16" s="1"/>
  <c r="H50" i="11"/>
  <c r="F62" i="11"/>
  <c r="F50" i="11"/>
  <c r="E50" i="11"/>
  <c r="N121" i="10"/>
  <c r="N122" i="10" s="1"/>
  <c r="D4" i="13"/>
  <c r="D7" i="13" s="1"/>
  <c r="G50" i="11"/>
  <c r="R121" i="10"/>
  <c r="R122" i="10" s="1"/>
  <c r="T121" i="10"/>
  <c r="T122" i="10" s="1"/>
  <c r="D7" i="14"/>
  <c r="D4" i="17"/>
  <c r="D7" i="17" s="1"/>
  <c r="I50" i="11"/>
  <c r="I62" i="11"/>
  <c r="V121" i="10"/>
  <c r="V122" i="10" s="1"/>
  <c r="D7" i="15"/>
  <c r="E28" i="11"/>
  <c r="S139" i="10"/>
  <c r="S141" i="10" s="1"/>
  <c r="U141" i="10" s="1"/>
  <c r="E51" i="20"/>
  <c r="W51" i="20" s="1"/>
  <c r="Y21" i="20"/>
  <c r="N20" i="20"/>
  <c r="T15" i="20"/>
  <c r="P17" i="20"/>
  <c r="T17" i="20" s="1"/>
  <c r="U17" i="20" s="1"/>
  <c r="M18" i="20" s="1"/>
  <c r="E23" i="11"/>
  <c r="E63" i="20" l="1"/>
  <c r="W63" i="20" s="1"/>
  <c r="O18" i="20"/>
  <c r="S18" i="20" s="1"/>
  <c r="Q18" i="20"/>
  <c r="R18" i="20" s="1"/>
  <c r="Y22" i="20"/>
  <c r="N21" i="20"/>
  <c r="E57" i="11"/>
  <c r="P143" i="10"/>
  <c r="G68" i="11"/>
  <c r="I73" i="11"/>
  <c r="H69" i="11"/>
  <c r="V143" i="10"/>
  <c r="F56" i="11"/>
  <c r="V126" i="10"/>
  <c r="T126" i="10"/>
  <c r="F69" i="11"/>
  <c r="I37" i="11"/>
  <c r="R126" i="10"/>
  <c r="G69" i="11"/>
  <c r="G56" i="11"/>
  <c r="E68" i="11"/>
  <c r="T142" i="10" s="1"/>
  <c r="E69" i="11"/>
  <c r="F73" i="11"/>
  <c r="F68" i="11"/>
  <c r="H73" i="11"/>
  <c r="F57" i="11"/>
  <c r="E37" i="11"/>
  <c r="H56" i="11"/>
  <c r="H57" i="11"/>
  <c r="G37" i="11"/>
  <c r="H68" i="11"/>
  <c r="E73" i="11"/>
  <c r="E30" i="11"/>
  <c r="E33" i="11" s="1"/>
  <c r="E34" i="11" s="1"/>
  <c r="N126" i="10"/>
  <c r="G57" i="11"/>
  <c r="G73" i="11"/>
  <c r="I57" i="11"/>
  <c r="P126" i="10"/>
  <c r="F37" i="11"/>
  <c r="E56" i="11"/>
  <c r="R142" i="10" s="1"/>
  <c r="H37" i="11"/>
  <c r="T143" i="10"/>
  <c r="R143" i="10"/>
  <c r="I68" i="11"/>
  <c r="I69" i="11"/>
  <c r="I56" i="11"/>
  <c r="T131" i="10"/>
  <c r="P131" i="10"/>
  <c r="V131" i="10"/>
  <c r="R131" i="10"/>
  <c r="N131" i="10"/>
  <c r="E22" i="21" l="1"/>
  <c r="E75" i="20"/>
  <c r="W75" i="20" s="1"/>
  <c r="Y23" i="20"/>
  <c r="N22" i="20"/>
  <c r="P18" i="20"/>
  <c r="T18" i="20" s="1"/>
  <c r="U18" i="20" s="1"/>
  <c r="M19" i="20" s="1"/>
  <c r="I70" i="11"/>
  <c r="I67" i="11"/>
  <c r="I55" i="11"/>
  <c r="I58" i="11"/>
  <c r="H55" i="11"/>
  <c r="H58" i="11"/>
  <c r="G72" i="11"/>
  <c r="G83" i="11" s="1"/>
  <c r="G78" i="11"/>
  <c r="G55" i="11"/>
  <c r="G58" i="11"/>
  <c r="E36" i="11"/>
  <c r="E35" i="11" s="1"/>
  <c r="E42" i="11"/>
  <c r="G67" i="11"/>
  <c r="G70" i="11"/>
  <c r="H67" i="11"/>
  <c r="H70" i="11"/>
  <c r="F55" i="11"/>
  <c r="F58" i="11"/>
  <c r="I72" i="11"/>
  <c r="I83" i="11" s="1"/>
  <c r="I78" i="11"/>
  <c r="G36" i="11"/>
  <c r="G35" i="11" s="1"/>
  <c r="G42" i="11"/>
  <c r="H36" i="11"/>
  <c r="H35" i="11" s="1"/>
  <c r="H42" i="11"/>
  <c r="H72" i="11"/>
  <c r="H83" i="11" s="1"/>
  <c r="H78" i="11"/>
  <c r="I42" i="11"/>
  <c r="I36" i="11"/>
  <c r="I35" i="11" s="1"/>
  <c r="D73" i="11"/>
  <c r="E78" i="11"/>
  <c r="E72" i="11"/>
  <c r="E83" i="11" s="1"/>
  <c r="F70" i="11"/>
  <c r="F67" i="11"/>
  <c r="E70" i="11"/>
  <c r="T138" i="10" s="1"/>
  <c r="E67" i="11"/>
  <c r="F36" i="11"/>
  <c r="F35" i="11" s="1"/>
  <c r="F42" i="11"/>
  <c r="F78" i="11"/>
  <c r="F72" i="11"/>
  <c r="F83" i="11" s="1"/>
  <c r="E58" i="11"/>
  <c r="R138" i="10" s="1"/>
  <c r="E55" i="11"/>
  <c r="E88" i="20" l="1"/>
  <c r="W88" i="20" s="1"/>
  <c r="O19" i="20"/>
  <c r="S19" i="20" s="1"/>
  <c r="Q19" i="20"/>
  <c r="R19" i="20" s="1"/>
  <c r="Y24" i="20"/>
  <c r="N23" i="20"/>
  <c r="F81" i="11"/>
  <c r="F85" i="11"/>
  <c r="G81" i="11"/>
  <c r="G85" i="11"/>
  <c r="F79" i="11"/>
  <c r="F80" i="11" s="1"/>
  <c r="F82" i="11"/>
  <c r="W142" i="10"/>
  <c r="W139" i="10"/>
  <c r="U142" i="10"/>
  <c r="E85" i="11"/>
  <c r="V138" i="10" s="1"/>
  <c r="E81" i="11"/>
  <c r="I81" i="11"/>
  <c r="I85" i="11"/>
  <c r="G79" i="11"/>
  <c r="G80" i="11" s="1"/>
  <c r="G82" i="11"/>
  <c r="R123" i="10"/>
  <c r="D3" i="15" s="1"/>
  <c r="L12" i="15" s="1"/>
  <c r="G43" i="11"/>
  <c r="R124" i="10" s="1"/>
  <c r="G47" i="11"/>
  <c r="G46" i="11"/>
  <c r="R129" i="10" s="1"/>
  <c r="D5" i="15" s="1"/>
  <c r="E43" i="11"/>
  <c r="E46" i="11"/>
  <c r="E47" i="11"/>
  <c r="N123" i="10"/>
  <c r="D3" i="13" s="1"/>
  <c r="L12" i="13" s="1"/>
  <c r="P139" i="10"/>
  <c r="H79" i="11"/>
  <c r="H80" i="11" s="1"/>
  <c r="H82" i="11"/>
  <c r="T123" i="10"/>
  <c r="D3" i="16" s="1"/>
  <c r="L12" i="16" s="1"/>
  <c r="H47" i="11"/>
  <c r="H46" i="11"/>
  <c r="T129" i="10" s="1"/>
  <c r="D5" i="16" s="1"/>
  <c r="H43" i="11"/>
  <c r="T124" i="10" s="1"/>
  <c r="V139" i="10"/>
  <c r="U139" i="10" s="1"/>
  <c r="E79" i="11"/>
  <c r="V140" i="10" s="1"/>
  <c r="E82" i="11"/>
  <c r="F46" i="11"/>
  <c r="P129" i="10" s="1"/>
  <c r="D5" i="14" s="1"/>
  <c r="F43" i="11"/>
  <c r="P124" i="10" s="1"/>
  <c r="P123" i="10"/>
  <c r="D3" i="14" s="1"/>
  <c r="L12" i="14" s="1"/>
  <c r="F47" i="11"/>
  <c r="I79" i="11"/>
  <c r="I80" i="11" s="1"/>
  <c r="I82" i="11"/>
  <c r="I43" i="11"/>
  <c r="V124" i="10" s="1"/>
  <c r="V123" i="10"/>
  <c r="D3" i="17" s="1"/>
  <c r="L12" i="17" s="1"/>
  <c r="I46" i="11"/>
  <c r="V129" i="10" s="1"/>
  <c r="D5" i="17" s="1"/>
  <c r="I47" i="11"/>
  <c r="H85" i="11"/>
  <c r="H81" i="11"/>
  <c r="E99" i="20" l="1"/>
  <c r="W99" i="20" s="1"/>
  <c r="Y25" i="20"/>
  <c r="N24" i="20"/>
  <c r="P19" i="20"/>
  <c r="T19" i="20" s="1"/>
  <c r="U19" i="20" s="1"/>
  <c r="M20" i="20" s="1"/>
  <c r="I44" i="11"/>
  <c r="V125" i="10" s="1"/>
  <c r="E80" i="11"/>
  <c r="V141" i="10" s="1"/>
  <c r="G44" i="11"/>
  <c r="R125" i="10" s="1"/>
  <c r="H44" i="11"/>
  <c r="T125" i="10" s="1"/>
  <c r="T130" i="10"/>
  <c r="H45" i="11"/>
  <c r="E44" i="11"/>
  <c r="P140" i="10"/>
  <c r="E19" i="21" s="1"/>
  <c r="N124" i="10"/>
  <c r="N12" i="14"/>
  <c r="K12" i="14"/>
  <c r="I45" i="11"/>
  <c r="V132" i="10" s="1"/>
  <c r="V130" i="10"/>
  <c r="E45" i="11"/>
  <c r="N132" i="10" s="1"/>
  <c r="N130" i="10"/>
  <c r="N12" i="16"/>
  <c r="K12" i="16"/>
  <c r="R130" i="10"/>
  <c r="G45" i="11"/>
  <c r="N129" i="10"/>
  <c r="D5" i="13" s="1"/>
  <c r="P142" i="10"/>
  <c r="E21" i="21" s="1"/>
  <c r="K12" i="17"/>
  <c r="N12" i="17"/>
  <c r="O139" i="10"/>
  <c r="E18" i="21"/>
  <c r="F45" i="11"/>
  <c r="P132" i="10" s="1"/>
  <c r="P130" i="10"/>
  <c r="N12" i="13"/>
  <c r="K12" i="13"/>
  <c r="N12" i="15"/>
  <c r="K12" i="15"/>
  <c r="F44" i="11"/>
  <c r="P125" i="10" s="1"/>
  <c r="E111" i="20" l="1"/>
  <c r="W111" i="20" s="1"/>
  <c r="O20" i="20"/>
  <c r="S20" i="20" s="1"/>
  <c r="Q20" i="20"/>
  <c r="R20" i="20" s="1"/>
  <c r="Y26" i="20"/>
  <c r="N25" i="20"/>
  <c r="J12" i="16"/>
  <c r="Q12" i="16" s="1"/>
  <c r="P12" i="16" s="1"/>
  <c r="R12" i="16" s="1"/>
  <c r="T12" i="16" s="1"/>
  <c r="M13" i="16" s="1"/>
  <c r="J12" i="14"/>
  <c r="Q12" i="14" s="1"/>
  <c r="P12" i="14" s="1"/>
  <c r="R12" i="14" s="1"/>
  <c r="T12" i="14" s="1"/>
  <c r="M13" i="14" s="1"/>
  <c r="J12" i="17"/>
  <c r="Q12" i="17" s="1"/>
  <c r="P12" i="17" s="1"/>
  <c r="R12" i="17" s="1"/>
  <c r="T12" i="17" s="1"/>
  <c r="M13" i="17" s="1"/>
  <c r="R132" i="10"/>
  <c r="T132" i="10"/>
  <c r="J12" i="15"/>
  <c r="N125" i="10"/>
  <c r="P141" i="10"/>
  <c r="E20" i="21" s="1"/>
  <c r="J12" i="13"/>
  <c r="Q12" i="13" s="1"/>
  <c r="P12" i="13" s="1"/>
  <c r="R12" i="13" s="1"/>
  <c r="T12" i="13" s="1"/>
  <c r="M13" i="13" s="1"/>
  <c r="E123" i="20" l="1"/>
  <c r="W123" i="20" s="1"/>
  <c r="O12" i="16"/>
  <c r="S12" i="16" s="1"/>
  <c r="L13" i="16" s="1"/>
  <c r="K13" i="16" s="1"/>
  <c r="Y27" i="20"/>
  <c r="N26" i="20"/>
  <c r="P20" i="20"/>
  <c r="T20" i="20" s="1"/>
  <c r="U20" i="20" s="1"/>
  <c r="M21" i="20" s="1"/>
  <c r="O12" i="14"/>
  <c r="S12" i="14" s="1"/>
  <c r="L13" i="14" s="1"/>
  <c r="K13" i="14" s="1"/>
  <c r="Q12" i="15"/>
  <c r="P12" i="15" s="1"/>
  <c r="R12" i="15" s="1"/>
  <c r="T12" i="15" s="1"/>
  <c r="M13" i="15" s="1"/>
  <c r="O12" i="13"/>
  <c r="S12" i="13" s="1"/>
  <c r="L13" i="13" s="1"/>
  <c r="O12" i="17"/>
  <c r="S12" i="17" s="1"/>
  <c r="L13" i="17" s="1"/>
  <c r="E135" i="20" l="1"/>
  <c r="W135" i="20" s="1"/>
  <c r="N13" i="16"/>
  <c r="J13" i="16" s="1"/>
  <c r="Q13" i="16" s="1"/>
  <c r="P13" i="16" s="1"/>
  <c r="R13" i="16" s="1"/>
  <c r="T13" i="16" s="1"/>
  <c r="M14" i="16" s="1"/>
  <c r="Q21" i="20"/>
  <c r="R21" i="20" s="1"/>
  <c r="O21" i="20"/>
  <c r="S21" i="20" s="1"/>
  <c r="N27" i="20"/>
  <c r="Y28" i="20"/>
  <c r="N13" i="14"/>
  <c r="J13" i="14" s="1"/>
  <c r="Q13" i="14" s="1"/>
  <c r="P13" i="14" s="1"/>
  <c r="R13" i="14" s="1"/>
  <c r="T13" i="14" s="1"/>
  <c r="M14" i="14" s="1"/>
  <c r="O12" i="15"/>
  <c r="S12" i="15" s="1"/>
  <c r="L13" i="15" s="1"/>
  <c r="K13" i="13"/>
  <c r="N13" i="13"/>
  <c r="K13" i="17"/>
  <c r="N13" i="17"/>
  <c r="E147" i="20" l="1"/>
  <c r="W147" i="20" s="1"/>
  <c r="P21" i="20"/>
  <c r="T21" i="20" s="1"/>
  <c r="U21" i="20" s="1"/>
  <c r="M22" i="20" s="1"/>
  <c r="Y29" i="20"/>
  <c r="N28" i="20"/>
  <c r="O13" i="16"/>
  <c r="S13" i="16" s="1"/>
  <c r="L14" i="16" s="1"/>
  <c r="N14" i="16" s="1"/>
  <c r="N13" i="15"/>
  <c r="K13" i="15"/>
  <c r="J13" i="13"/>
  <c r="O13" i="14"/>
  <c r="S13" i="14" s="1"/>
  <c r="L14" i="14" s="1"/>
  <c r="N14" i="14" s="1"/>
  <c r="J13" i="17"/>
  <c r="Q13" i="17" s="1"/>
  <c r="P13" i="17" s="1"/>
  <c r="R13" i="17" s="1"/>
  <c r="T13" i="17" s="1"/>
  <c r="M14" i="17" s="1"/>
  <c r="E159" i="20" l="1"/>
  <c r="W159" i="20" s="1"/>
  <c r="Y30" i="20"/>
  <c r="N29" i="20"/>
  <c r="Q22" i="20"/>
  <c r="R22" i="20" s="1"/>
  <c r="O22" i="20"/>
  <c r="S22" i="20" s="1"/>
  <c r="K14" i="16"/>
  <c r="J14" i="16" s="1"/>
  <c r="J13" i="15"/>
  <c r="K14" i="14"/>
  <c r="J14" i="14" s="1"/>
  <c r="Q13" i="13"/>
  <c r="O13" i="17"/>
  <c r="S13" i="17" s="1"/>
  <c r="L14" i="17" s="1"/>
  <c r="K14" i="17" s="1"/>
  <c r="P22" i="20" l="1"/>
  <c r="T22" i="20" s="1"/>
  <c r="U22" i="20" s="1"/>
  <c r="M23" i="20" s="1"/>
  <c r="Q23" i="20" s="1"/>
  <c r="R23" i="20" s="1"/>
  <c r="E171" i="20"/>
  <c r="W171" i="20" s="1"/>
  <c r="Y31" i="20"/>
  <c r="N30" i="20"/>
  <c r="N14" i="17"/>
  <c r="J14" i="17" s="1"/>
  <c r="Q13" i="15"/>
  <c r="P13" i="15" s="1"/>
  <c r="R13" i="15" s="1"/>
  <c r="T13" i="15" s="1"/>
  <c r="M14" i="15" s="1"/>
  <c r="P13" i="13"/>
  <c r="R13" i="13" s="1"/>
  <c r="T13" i="13" s="1"/>
  <c r="M14" i="13" s="1"/>
  <c r="Q14" i="16"/>
  <c r="P14" i="16" s="1"/>
  <c r="R14" i="16" s="1"/>
  <c r="T14" i="16" s="1"/>
  <c r="M15" i="16" s="1"/>
  <c r="Q14" i="14"/>
  <c r="P14" i="14" s="1"/>
  <c r="R14" i="14" s="1"/>
  <c r="T14" i="14" s="1"/>
  <c r="M15" i="14" s="1"/>
  <c r="O23" i="20" l="1"/>
  <c r="S23" i="20" s="1"/>
  <c r="P23" i="20"/>
  <c r="T23" i="20" s="1"/>
  <c r="U23" i="20" s="1"/>
  <c r="M24" i="20" s="1"/>
  <c r="Q24" i="20" s="1"/>
  <c r="R24" i="20" s="1"/>
  <c r="E183" i="20"/>
  <c r="W183" i="20" s="1"/>
  <c r="N31" i="20"/>
  <c r="Y32" i="20"/>
  <c r="O13" i="15"/>
  <c r="S13" i="15" s="1"/>
  <c r="L14" i="15" s="1"/>
  <c r="O13" i="13"/>
  <c r="S13" i="13" s="1"/>
  <c r="L14" i="13" s="1"/>
  <c r="O14" i="16"/>
  <c r="S14" i="16" s="1"/>
  <c r="L15" i="16" s="1"/>
  <c r="K15" i="16" s="1"/>
  <c r="O14" i="14"/>
  <c r="S14" i="14" s="1"/>
  <c r="L15" i="14" s="1"/>
  <c r="Q14" i="17"/>
  <c r="O24" i="20" l="1"/>
  <c r="S24" i="20" s="1"/>
  <c r="P24" i="20"/>
  <c r="T24" i="20" s="1"/>
  <c r="U24" i="20" s="1"/>
  <c r="M25" i="20" s="1"/>
  <c r="E195" i="20"/>
  <c r="W195" i="20" s="1"/>
  <c r="Y33" i="20"/>
  <c r="N32" i="20"/>
  <c r="N14" i="15"/>
  <c r="K14" i="15"/>
  <c r="N15" i="16"/>
  <c r="J15" i="16" s="1"/>
  <c r="K14" i="13"/>
  <c r="N14" i="13"/>
  <c r="P14" i="17"/>
  <c r="R14" i="17" s="1"/>
  <c r="T14" i="17" s="1"/>
  <c r="M15" i="17" s="1"/>
  <c r="N15" i="14"/>
  <c r="K15" i="14"/>
  <c r="E207" i="20" l="1"/>
  <c r="W207" i="20" s="1"/>
  <c r="Q25" i="20"/>
  <c r="R25" i="20" s="1"/>
  <c r="O25" i="20"/>
  <c r="S25" i="20" s="1"/>
  <c r="N33" i="20"/>
  <c r="Y34" i="20"/>
  <c r="J14" i="15"/>
  <c r="Q14" i="15" s="1"/>
  <c r="P14" i="15" s="1"/>
  <c r="R14" i="15" s="1"/>
  <c r="T14" i="15" s="1"/>
  <c r="M15" i="15" s="1"/>
  <c r="J14" i="13"/>
  <c r="O14" i="17"/>
  <c r="S14" i="17" s="1"/>
  <c r="L15" i="17" s="1"/>
  <c r="Q15" i="16"/>
  <c r="P15" i="16" s="1"/>
  <c r="R15" i="16" s="1"/>
  <c r="T15" i="16" s="1"/>
  <c r="M16" i="16" s="1"/>
  <c r="J15" i="14"/>
  <c r="P25" i="20" l="1"/>
  <c r="T25" i="20" s="1"/>
  <c r="U25" i="20" s="1"/>
  <c r="M26" i="20" s="1"/>
  <c r="Q26" i="20" s="1"/>
  <c r="R26" i="20" s="1"/>
  <c r="E219" i="20"/>
  <c r="W219" i="20" s="1"/>
  <c r="Y35" i="20"/>
  <c r="N34" i="20"/>
  <c r="O14" i="15"/>
  <c r="S14" i="15" s="1"/>
  <c r="L15" i="15" s="1"/>
  <c r="K15" i="15" s="1"/>
  <c r="Q14" i="13"/>
  <c r="P14" i="13" s="1"/>
  <c r="R14" i="13" s="1"/>
  <c r="T14" i="13" s="1"/>
  <c r="M15" i="13" s="1"/>
  <c r="N15" i="17"/>
  <c r="K15" i="17"/>
  <c r="Q15" i="14"/>
  <c r="P15" i="14" s="1"/>
  <c r="R15" i="14" s="1"/>
  <c r="T15" i="14" s="1"/>
  <c r="M16" i="14" s="1"/>
  <c r="O15" i="16"/>
  <c r="S15" i="16" s="1"/>
  <c r="L16" i="16" s="1"/>
  <c r="O26" i="20" l="1"/>
  <c r="S26" i="20" s="1"/>
  <c r="E231" i="20"/>
  <c r="W231" i="20" s="1"/>
  <c r="P26" i="20"/>
  <c r="N35" i="20"/>
  <c r="Y36" i="20"/>
  <c r="J15" i="17"/>
  <c r="Q15" i="17" s="1"/>
  <c r="N15" i="15"/>
  <c r="J15" i="15" s="1"/>
  <c r="Q15" i="15" s="1"/>
  <c r="P15" i="15" s="1"/>
  <c r="R15" i="15" s="1"/>
  <c r="T15" i="15" s="1"/>
  <c r="M16" i="15" s="1"/>
  <c r="O14" i="13"/>
  <c r="S14" i="13" s="1"/>
  <c r="L15" i="13" s="1"/>
  <c r="K15" i="13" s="1"/>
  <c r="O15" i="14"/>
  <c r="S15" i="14" s="1"/>
  <c r="L16" i="14" s="1"/>
  <c r="N16" i="16"/>
  <c r="K16" i="16"/>
  <c r="T26" i="20" l="1"/>
  <c r="U26" i="20" s="1"/>
  <c r="M27" i="20" s="1"/>
  <c r="E243" i="20"/>
  <c r="W243" i="20" s="1"/>
  <c r="Q27" i="20"/>
  <c r="P27" i="20" s="1"/>
  <c r="O27" i="20"/>
  <c r="S27" i="20" s="1"/>
  <c r="P15" i="17"/>
  <c r="R15" i="17" s="1"/>
  <c r="T15" i="17" s="1"/>
  <c r="M16" i="17" s="1"/>
  <c r="N36" i="20"/>
  <c r="Y37" i="20"/>
  <c r="N15" i="13"/>
  <c r="J15" i="13" s="1"/>
  <c r="O15" i="15"/>
  <c r="S15" i="15" s="1"/>
  <c r="L16" i="15" s="1"/>
  <c r="N16" i="15" s="1"/>
  <c r="J16" i="16"/>
  <c r="K16" i="14"/>
  <c r="N16" i="14"/>
  <c r="T27" i="20" l="1"/>
  <c r="U27" i="20" s="1"/>
  <c r="M28" i="20" s="1"/>
  <c r="E255" i="20"/>
  <c r="W255" i="20" s="1"/>
  <c r="O15" i="17"/>
  <c r="S15" i="17" s="1"/>
  <c r="L16" i="17" s="1"/>
  <c r="K16" i="17" s="1"/>
  <c r="K16" i="15"/>
  <c r="J16" i="15" s="1"/>
  <c r="N37" i="20"/>
  <c r="Y38" i="20"/>
  <c r="Q15" i="13"/>
  <c r="P15" i="13" s="1"/>
  <c r="R15" i="13" s="1"/>
  <c r="T15" i="13" s="1"/>
  <c r="M16" i="13" s="1"/>
  <c r="J16" i="14"/>
  <c r="Q16" i="16"/>
  <c r="P16" i="16" s="1"/>
  <c r="R16" i="16" s="1"/>
  <c r="T16" i="16" s="1"/>
  <c r="M17" i="16" s="1"/>
  <c r="V27" i="20" l="1"/>
  <c r="R27" i="20" s="1"/>
  <c r="N16" i="17"/>
  <c r="J16" i="17" s="1"/>
  <c r="E267" i="20"/>
  <c r="W267" i="20" s="1"/>
  <c r="N38" i="20"/>
  <c r="Y39" i="20"/>
  <c r="O28" i="20"/>
  <c r="S28" i="20" s="1"/>
  <c r="Q28" i="20"/>
  <c r="R28" i="20" s="1"/>
  <c r="O15" i="13"/>
  <c r="S15" i="13" s="1"/>
  <c r="L16" i="13" s="1"/>
  <c r="O16" i="16"/>
  <c r="S16" i="16" s="1"/>
  <c r="L17" i="16" s="1"/>
  <c r="Q16" i="15"/>
  <c r="P16" i="15" s="1"/>
  <c r="R16" i="15" s="1"/>
  <c r="T16" i="15" s="1"/>
  <c r="M17" i="15" s="1"/>
  <c r="Q16" i="14"/>
  <c r="P16" i="14" s="1"/>
  <c r="R16" i="14" s="1"/>
  <c r="T16" i="14" s="1"/>
  <c r="M17" i="14" s="1"/>
  <c r="E279" i="20" l="1"/>
  <c r="W279" i="20" s="1"/>
  <c r="Y40" i="20"/>
  <c r="N39" i="20"/>
  <c r="P28" i="20"/>
  <c r="T28" i="20" s="1"/>
  <c r="U28" i="20" s="1"/>
  <c r="M29" i="20" s="1"/>
  <c r="N16" i="13"/>
  <c r="K16" i="13"/>
  <c r="Q16" i="17"/>
  <c r="O16" i="15"/>
  <c r="S16" i="15" s="1"/>
  <c r="L17" i="15" s="1"/>
  <c r="O16" i="14"/>
  <c r="S16" i="14" s="1"/>
  <c r="L17" i="14" s="1"/>
  <c r="N17" i="16"/>
  <c r="K17" i="16"/>
  <c r="E291" i="20" l="1"/>
  <c r="W291" i="20" s="1"/>
  <c r="O29" i="20"/>
  <c r="S29" i="20" s="1"/>
  <c r="Q29" i="20"/>
  <c r="R29" i="20" s="1"/>
  <c r="Y41" i="20"/>
  <c r="N40" i="20"/>
  <c r="J17" i="16"/>
  <c r="Q17" i="16" s="1"/>
  <c r="P17" i="16" s="1"/>
  <c r="R17" i="16" s="1"/>
  <c r="T17" i="16" s="1"/>
  <c r="M18" i="16" s="1"/>
  <c r="J16" i="13"/>
  <c r="Q16" i="13" s="1"/>
  <c r="P16" i="13" s="1"/>
  <c r="R16" i="13" s="1"/>
  <c r="T16" i="13" s="1"/>
  <c r="M17" i="13" s="1"/>
  <c r="P16" i="17"/>
  <c r="R16" i="17" s="1"/>
  <c r="T16" i="17" s="1"/>
  <c r="M17" i="17" s="1"/>
  <c r="K17" i="14"/>
  <c r="N17" i="14"/>
  <c r="N17" i="15"/>
  <c r="K17" i="15"/>
  <c r="E303" i="20" l="1"/>
  <c r="W303" i="20" s="1"/>
  <c r="Y42" i="20"/>
  <c r="N41" i="20"/>
  <c r="P29" i="20"/>
  <c r="T29" i="20" s="1"/>
  <c r="U29" i="20" s="1"/>
  <c r="M30" i="20" s="1"/>
  <c r="O16" i="13"/>
  <c r="S16" i="13" s="1"/>
  <c r="L17" i="13" s="1"/>
  <c r="J17" i="14"/>
  <c r="Q17" i="14" s="1"/>
  <c r="P17" i="14" s="1"/>
  <c r="R17" i="14" s="1"/>
  <c r="T17" i="14" s="1"/>
  <c r="M18" i="14" s="1"/>
  <c r="O17" i="16"/>
  <c r="S17" i="16" s="1"/>
  <c r="L18" i="16" s="1"/>
  <c r="N18" i="16" s="1"/>
  <c r="J17" i="15"/>
  <c r="Q17" i="15" s="1"/>
  <c r="P17" i="15" s="1"/>
  <c r="O16" i="17"/>
  <c r="S16" i="17" s="1"/>
  <c r="L17" i="17" s="1"/>
  <c r="E315" i="20" l="1"/>
  <c r="W315" i="20" s="1"/>
  <c r="O30" i="20"/>
  <c r="S30" i="20" s="1"/>
  <c r="Q30" i="20"/>
  <c r="R30" i="20" s="1"/>
  <c r="Y43" i="20"/>
  <c r="N42" i="20"/>
  <c r="N17" i="13"/>
  <c r="K17" i="13"/>
  <c r="K18" i="16"/>
  <c r="J18" i="16" s="1"/>
  <c r="Q18" i="16" s="1"/>
  <c r="N17" i="17"/>
  <c r="K17" i="17"/>
  <c r="R17" i="15"/>
  <c r="T17" i="15" s="1"/>
  <c r="M18" i="15" s="1"/>
  <c r="O17" i="15"/>
  <c r="S17" i="15" s="1"/>
  <c r="L18" i="15" s="1"/>
  <c r="O17" i="14"/>
  <c r="S17" i="14" s="1"/>
  <c r="L18" i="14" s="1"/>
  <c r="E327" i="20" l="1"/>
  <c r="W327" i="20" s="1"/>
  <c r="P30" i="20"/>
  <c r="T30" i="20" s="1"/>
  <c r="U30" i="20" s="1"/>
  <c r="M31" i="20" s="1"/>
  <c r="N43" i="20"/>
  <c r="Y44" i="20"/>
  <c r="J17" i="13"/>
  <c r="Q17" i="13" s="1"/>
  <c r="P17" i="13" s="1"/>
  <c r="R17" i="13" s="1"/>
  <c r="T17" i="13" s="1"/>
  <c r="M18" i="13" s="1"/>
  <c r="J17" i="17"/>
  <c r="Q17" i="17" s="1"/>
  <c r="P17" i="17" s="1"/>
  <c r="O17" i="17" s="1"/>
  <c r="S17" i="17" s="1"/>
  <c r="L18" i="17" s="1"/>
  <c r="P18" i="16"/>
  <c r="R18" i="16" s="1"/>
  <c r="T18" i="16" s="1"/>
  <c r="M19" i="16" s="1"/>
  <c r="N18" i="14"/>
  <c r="K18" i="14"/>
  <c r="K18" i="15"/>
  <c r="N18" i="15"/>
  <c r="E339" i="20" l="1"/>
  <c r="W339" i="20" s="1"/>
  <c r="Y45" i="20"/>
  <c r="N44" i="20"/>
  <c r="O31" i="20"/>
  <c r="S31" i="20" s="1"/>
  <c r="Q31" i="20"/>
  <c r="R31" i="20" s="1"/>
  <c r="O17" i="13"/>
  <c r="S17" i="13" s="1"/>
  <c r="L18" i="13" s="1"/>
  <c r="N18" i="13" s="1"/>
  <c r="R17" i="17"/>
  <c r="T17" i="17" s="1"/>
  <c r="M18" i="17" s="1"/>
  <c r="K18" i="17" s="1"/>
  <c r="N18" i="17"/>
  <c r="J18" i="14"/>
  <c r="Q18" i="14" s="1"/>
  <c r="P18" i="14" s="1"/>
  <c r="R18" i="14" s="1"/>
  <c r="T18" i="14" s="1"/>
  <c r="M19" i="14" s="1"/>
  <c r="O18" i="16"/>
  <c r="S18" i="16" s="1"/>
  <c r="L19" i="16" s="1"/>
  <c r="J18" i="15"/>
  <c r="E351" i="20" l="1"/>
  <c r="W351" i="20" s="1"/>
  <c r="P31" i="20"/>
  <c r="T31" i="20" s="1"/>
  <c r="U31" i="20" s="1"/>
  <c r="M32" i="20" s="1"/>
  <c r="N45" i="20"/>
  <c r="Y46" i="20"/>
  <c r="K18" i="13"/>
  <c r="J18" i="13" s="1"/>
  <c r="Q18" i="13" s="1"/>
  <c r="P18" i="13" s="1"/>
  <c r="R18" i="13" s="1"/>
  <c r="T18" i="13" s="1"/>
  <c r="M19" i="13" s="1"/>
  <c r="J18" i="17"/>
  <c r="Q18" i="17" s="1"/>
  <c r="P18" i="17" s="1"/>
  <c r="R18" i="17" s="1"/>
  <c r="T18" i="17" s="1"/>
  <c r="M19" i="17" s="1"/>
  <c r="O18" i="14"/>
  <c r="S18" i="14" s="1"/>
  <c r="L19" i="14" s="1"/>
  <c r="N19" i="14" s="1"/>
  <c r="K19" i="16"/>
  <c r="N19" i="16"/>
  <c r="Q18" i="15"/>
  <c r="P18" i="15" s="1"/>
  <c r="R18" i="15" s="1"/>
  <c r="T18" i="15" s="1"/>
  <c r="M19" i="15" s="1"/>
  <c r="E363" i="20" l="1"/>
  <c r="W363" i="20" s="1"/>
  <c r="O18" i="13"/>
  <c r="S18" i="13" s="1"/>
  <c r="L19" i="13" s="1"/>
  <c r="N19" i="13" s="1"/>
  <c r="K19" i="14"/>
  <c r="J19" i="14" s="1"/>
  <c r="Y47" i="20"/>
  <c r="N46" i="20"/>
  <c r="O32" i="20"/>
  <c r="S32" i="20" s="1"/>
  <c r="Q32" i="20"/>
  <c r="R32" i="20" s="1"/>
  <c r="O18" i="17"/>
  <c r="S18" i="17" s="1"/>
  <c r="L19" i="17" s="1"/>
  <c r="N19" i="17" s="1"/>
  <c r="J19" i="16"/>
  <c r="Q19" i="16" s="1"/>
  <c r="P19" i="16" s="1"/>
  <c r="R19" i="16" s="1"/>
  <c r="T19" i="16" s="1"/>
  <c r="M20" i="16" s="1"/>
  <c r="O18" i="15"/>
  <c r="S18" i="15" s="1"/>
  <c r="L19" i="15" s="1"/>
  <c r="K19" i="13" l="1"/>
  <c r="J19" i="13" s="1"/>
  <c r="Q19" i="13" s="1"/>
  <c r="P19" i="13" s="1"/>
  <c r="R19" i="13" s="1"/>
  <c r="T19" i="13" s="1"/>
  <c r="M20" i="13" s="1"/>
  <c r="Y48" i="20"/>
  <c r="N47" i="20"/>
  <c r="P32" i="20"/>
  <c r="T32" i="20" s="1"/>
  <c r="U32" i="20" s="1"/>
  <c r="M33" i="20" s="1"/>
  <c r="K19" i="17"/>
  <c r="J19" i="17" s="1"/>
  <c r="O19" i="16"/>
  <c r="S19" i="16" s="1"/>
  <c r="L20" i="16" s="1"/>
  <c r="N20" i="16" s="1"/>
  <c r="N19" i="15"/>
  <c r="K19" i="15"/>
  <c r="Q19" i="14"/>
  <c r="P19" i="14" s="1"/>
  <c r="R19" i="14" s="1"/>
  <c r="T19" i="14" s="1"/>
  <c r="M20" i="14" s="1"/>
  <c r="O19" i="13" l="1"/>
  <c r="S19" i="13" s="1"/>
  <c r="L20" i="13" s="1"/>
  <c r="K20" i="13" s="1"/>
  <c r="O33" i="20"/>
  <c r="S33" i="20" s="1"/>
  <c r="Q33" i="20"/>
  <c r="R33" i="20" s="1"/>
  <c r="Y49" i="20"/>
  <c r="N48" i="20"/>
  <c r="K20" i="16"/>
  <c r="J20" i="16" s="1"/>
  <c r="Q19" i="17"/>
  <c r="P19" i="17" s="1"/>
  <c r="R19" i="17" s="1"/>
  <c r="T19" i="17" s="1"/>
  <c r="M20" i="17" s="1"/>
  <c r="J19" i="15"/>
  <c r="Q19" i="15" s="1"/>
  <c r="P19" i="15" s="1"/>
  <c r="R19" i="15" s="1"/>
  <c r="T19" i="15" s="1"/>
  <c r="M20" i="15" s="1"/>
  <c r="O19" i="14"/>
  <c r="S19" i="14" s="1"/>
  <c r="L20" i="14" s="1"/>
  <c r="N20" i="13" l="1"/>
  <c r="J20" i="13" s="1"/>
  <c r="P33" i="20"/>
  <c r="T33" i="20" s="1"/>
  <c r="U33" i="20" s="1"/>
  <c r="M34" i="20" s="1"/>
  <c r="N49" i="20"/>
  <c r="Y50" i="20"/>
  <c r="O19" i="17"/>
  <c r="S19" i="17" s="1"/>
  <c r="L20" i="17" s="1"/>
  <c r="K20" i="17" s="1"/>
  <c r="O19" i="15"/>
  <c r="S19" i="15" s="1"/>
  <c r="L20" i="15" s="1"/>
  <c r="K20" i="14"/>
  <c r="N20" i="14"/>
  <c r="Q20" i="16"/>
  <c r="P20" i="16" s="1"/>
  <c r="R20" i="16" s="1"/>
  <c r="T20" i="16" s="1"/>
  <c r="M21" i="16" s="1"/>
  <c r="N20" i="17" l="1"/>
  <c r="J20" i="17" s="1"/>
  <c r="N50" i="20"/>
  <c r="Y51" i="20"/>
  <c r="O34" i="20"/>
  <c r="S34" i="20" s="1"/>
  <c r="Q34" i="20"/>
  <c r="R34" i="20" s="1"/>
  <c r="J20" i="14"/>
  <c r="Q20" i="14" s="1"/>
  <c r="P20" i="14" s="1"/>
  <c r="R20" i="14" s="1"/>
  <c r="T20" i="14" s="1"/>
  <c r="M21" i="14" s="1"/>
  <c r="O20" i="16"/>
  <c r="S20" i="16" s="1"/>
  <c r="L21" i="16" s="1"/>
  <c r="K21" i="16" s="1"/>
  <c r="N20" i="15"/>
  <c r="K20" i="15"/>
  <c r="Q20" i="13"/>
  <c r="P20" i="13" s="1"/>
  <c r="R20" i="13" s="1"/>
  <c r="T20" i="13" s="1"/>
  <c r="M21" i="13" s="1"/>
  <c r="P34" i="20" l="1"/>
  <c r="T34" i="20" s="1"/>
  <c r="U34" i="20" s="1"/>
  <c r="M35" i="20" s="1"/>
  <c r="N51" i="20"/>
  <c r="Y52" i="20"/>
  <c r="J20" i="15"/>
  <c r="Q20" i="15" s="1"/>
  <c r="P20" i="15" s="1"/>
  <c r="R20" i="15" s="1"/>
  <c r="T20" i="15" s="1"/>
  <c r="M21" i="15" s="1"/>
  <c r="N21" i="16"/>
  <c r="J21" i="16" s="1"/>
  <c r="Q21" i="16" s="1"/>
  <c r="Q20" i="17"/>
  <c r="P20" i="17" s="1"/>
  <c r="R20" i="17" s="1"/>
  <c r="T20" i="17" s="1"/>
  <c r="M21" i="17" s="1"/>
  <c r="O20" i="14"/>
  <c r="S20" i="14" s="1"/>
  <c r="L21" i="14" s="1"/>
  <c r="O20" i="13"/>
  <c r="S20" i="13" s="1"/>
  <c r="L21" i="13" s="1"/>
  <c r="N52" i="20" l="1"/>
  <c r="Y53" i="20"/>
  <c r="O35" i="20"/>
  <c r="S35" i="20" s="1"/>
  <c r="Q35" i="20"/>
  <c r="R35" i="20" s="1"/>
  <c r="O20" i="17"/>
  <c r="S20" i="17" s="1"/>
  <c r="L21" i="17" s="1"/>
  <c r="O20" i="15"/>
  <c r="S20" i="15" s="1"/>
  <c r="L21" i="15" s="1"/>
  <c r="K21" i="15" s="1"/>
  <c r="P21" i="16"/>
  <c r="R21" i="16" s="1"/>
  <c r="T21" i="16" s="1"/>
  <c r="M22" i="16" s="1"/>
  <c r="K21" i="13"/>
  <c r="N21" i="13"/>
  <c r="N21" i="14"/>
  <c r="K21" i="14"/>
  <c r="P35" i="20" l="1"/>
  <c r="T35" i="20" s="1"/>
  <c r="U35" i="20" s="1"/>
  <c r="M36" i="20" s="1"/>
  <c r="O36" i="20" s="1"/>
  <c r="S36" i="20" s="1"/>
  <c r="N53" i="20"/>
  <c r="Y54" i="20"/>
  <c r="N21" i="17"/>
  <c r="K21" i="17"/>
  <c r="N21" i="15"/>
  <c r="J21" i="15" s="1"/>
  <c r="J21" i="14"/>
  <c r="Q21" i="14" s="1"/>
  <c r="O21" i="16"/>
  <c r="S21" i="16" s="1"/>
  <c r="L22" i="16" s="1"/>
  <c r="J21" i="13"/>
  <c r="Q36" i="20" l="1"/>
  <c r="R36" i="20" s="1"/>
  <c r="N54" i="20"/>
  <c r="Y55" i="20"/>
  <c r="J21" i="17"/>
  <c r="K22" i="16"/>
  <c r="N22" i="16"/>
  <c r="Q21" i="15"/>
  <c r="P21" i="14"/>
  <c r="R21" i="14" s="1"/>
  <c r="T21" i="14" s="1"/>
  <c r="M22" i="14" s="1"/>
  <c r="Q21" i="13"/>
  <c r="P36" i="20" l="1"/>
  <c r="T36" i="20" s="1"/>
  <c r="U36" i="20" s="1"/>
  <c r="M37" i="20" s="1"/>
  <c r="Y56" i="20"/>
  <c r="N55" i="20"/>
  <c r="Q21" i="17"/>
  <c r="P21" i="17" s="1"/>
  <c r="R21" i="17" s="1"/>
  <c r="T21" i="17" s="1"/>
  <c r="M22" i="17" s="1"/>
  <c r="O21" i="14"/>
  <c r="S21" i="14" s="1"/>
  <c r="L22" i="14" s="1"/>
  <c r="K22" i="14" s="1"/>
  <c r="P21" i="15"/>
  <c r="R21" i="15" s="1"/>
  <c r="T21" i="15" s="1"/>
  <c r="M22" i="15" s="1"/>
  <c r="J22" i="16"/>
  <c r="Q22" i="16" s="1"/>
  <c r="P21" i="13"/>
  <c r="R21" i="13" s="1"/>
  <c r="T21" i="13" s="1"/>
  <c r="M22" i="13" s="1"/>
  <c r="O37" i="20" l="1"/>
  <c r="S37" i="20" s="1"/>
  <c r="Q37" i="20"/>
  <c r="R37" i="20" s="1"/>
  <c r="N22" i="14"/>
  <c r="J22" i="14" s="1"/>
  <c r="Q22" i="14" s="1"/>
  <c r="P22" i="14" s="1"/>
  <c r="R22" i="14" s="1"/>
  <c r="T22" i="14" s="1"/>
  <c r="M23" i="14" s="1"/>
  <c r="N56" i="20"/>
  <c r="Y57" i="20"/>
  <c r="O21" i="17"/>
  <c r="S21" i="17" s="1"/>
  <c r="L22" i="17" s="1"/>
  <c r="K22" i="17" s="1"/>
  <c r="P22" i="16"/>
  <c r="R22" i="16" s="1"/>
  <c r="T22" i="16" s="1"/>
  <c r="M23" i="16" s="1"/>
  <c r="O21" i="15"/>
  <c r="S21" i="15" s="1"/>
  <c r="L22" i="15" s="1"/>
  <c r="O21" i="13"/>
  <c r="S21" i="13" s="1"/>
  <c r="L22" i="13" s="1"/>
  <c r="P37" i="20" l="1"/>
  <c r="T37" i="20" s="1"/>
  <c r="U37" i="20" s="1"/>
  <c r="M38" i="20" s="1"/>
  <c r="O22" i="16"/>
  <c r="S22" i="16" s="1"/>
  <c r="L23" i="16" s="1"/>
  <c r="N23" i="16" s="1"/>
  <c r="N57" i="20"/>
  <c r="Y58" i="20"/>
  <c r="N22" i="17"/>
  <c r="J22" i="17" s="1"/>
  <c r="Q22" i="17" s="1"/>
  <c r="P22" i="17" s="1"/>
  <c r="R22" i="17" s="1"/>
  <c r="T22" i="17" s="1"/>
  <c r="M23" i="17" s="1"/>
  <c r="K22" i="15"/>
  <c r="N22" i="15"/>
  <c r="O22" i="14"/>
  <c r="S22" i="14" s="1"/>
  <c r="L23" i="14" s="1"/>
  <c r="N22" i="13"/>
  <c r="K22" i="13"/>
  <c r="Q38" i="20" l="1"/>
  <c r="O38" i="20"/>
  <c r="S38" i="20" s="1"/>
  <c r="K23" i="16"/>
  <c r="J23" i="16" s="1"/>
  <c r="Q23" i="16" s="1"/>
  <c r="P23" i="16" s="1"/>
  <c r="R23" i="16" s="1"/>
  <c r="T23" i="16" s="1"/>
  <c r="M24" i="16" s="1"/>
  <c r="N58" i="20"/>
  <c r="Y59" i="20"/>
  <c r="J22" i="13"/>
  <c r="Q22" i="13" s="1"/>
  <c r="P22" i="13" s="1"/>
  <c r="R22" i="13" s="1"/>
  <c r="T22" i="13" s="1"/>
  <c r="M23" i="13" s="1"/>
  <c r="O22" i="17"/>
  <c r="S22" i="17" s="1"/>
  <c r="L23" i="17" s="1"/>
  <c r="K23" i="17" s="1"/>
  <c r="J22" i="15"/>
  <c r="Q22" i="15" s="1"/>
  <c r="P22" i="15" s="1"/>
  <c r="R22" i="15" s="1"/>
  <c r="T22" i="15" s="1"/>
  <c r="M23" i="15" s="1"/>
  <c r="K23" i="14"/>
  <c r="N23" i="14"/>
  <c r="R38" i="20" l="1"/>
  <c r="P38" i="20"/>
  <c r="T38" i="20" s="1"/>
  <c r="U38" i="20" s="1"/>
  <c r="M39" i="20" s="1"/>
  <c r="Y60" i="20"/>
  <c r="N59" i="20"/>
  <c r="N23" i="17"/>
  <c r="J23" i="17" s="1"/>
  <c r="Q23" i="17" s="1"/>
  <c r="P23" i="17" s="1"/>
  <c r="R23" i="17" s="1"/>
  <c r="T23" i="17" s="1"/>
  <c r="M24" i="17" s="1"/>
  <c r="O23" i="16"/>
  <c r="S23" i="16" s="1"/>
  <c r="L24" i="16" s="1"/>
  <c r="N24" i="16" s="1"/>
  <c r="J23" i="14"/>
  <c r="Q23" i="14" s="1"/>
  <c r="P23" i="14" s="1"/>
  <c r="R23" i="14" s="1"/>
  <c r="T23" i="14" s="1"/>
  <c r="M24" i="14" s="1"/>
  <c r="O22" i="13"/>
  <c r="S22" i="13" s="1"/>
  <c r="L23" i="13" s="1"/>
  <c r="O22" i="15"/>
  <c r="S22" i="15" s="1"/>
  <c r="L23" i="15" s="1"/>
  <c r="O39" i="20" l="1"/>
  <c r="S39" i="20" s="1"/>
  <c r="Q39" i="20"/>
  <c r="P39" i="20" s="1"/>
  <c r="T39" i="20" s="1"/>
  <c r="U39" i="20" s="1"/>
  <c r="N60" i="20"/>
  <c r="Y61" i="20"/>
  <c r="K24" i="16"/>
  <c r="J24" i="16" s="1"/>
  <c r="Q24" i="16" s="1"/>
  <c r="O23" i="17"/>
  <c r="S23" i="17" s="1"/>
  <c r="L24" i="17" s="1"/>
  <c r="N24" i="17" s="1"/>
  <c r="K23" i="15"/>
  <c r="N23" i="15"/>
  <c r="N23" i="13"/>
  <c r="K23" i="13"/>
  <c r="O23" i="14"/>
  <c r="S23" i="14" s="1"/>
  <c r="L24" i="14" s="1"/>
  <c r="M40" i="20" l="1"/>
  <c r="V39" i="20"/>
  <c r="R39" i="20" s="1"/>
  <c r="N61" i="20"/>
  <c r="Y62" i="20"/>
  <c r="K24" i="17"/>
  <c r="J24" i="17" s="1"/>
  <c r="J23" i="13"/>
  <c r="Q23" i="13" s="1"/>
  <c r="P24" i="16"/>
  <c r="R24" i="16" s="1"/>
  <c r="T24" i="16" s="1"/>
  <c r="M25" i="16" s="1"/>
  <c r="J23" i="15"/>
  <c r="N24" i="14"/>
  <c r="K24" i="14"/>
  <c r="Q40" i="20" l="1"/>
  <c r="R40" i="20" s="1"/>
  <c r="O40" i="20"/>
  <c r="S40" i="20" s="1"/>
  <c r="Y63" i="20"/>
  <c r="N62" i="20"/>
  <c r="P23" i="13"/>
  <c r="O23" i="13" s="1"/>
  <c r="S23" i="13" s="1"/>
  <c r="L24" i="13" s="1"/>
  <c r="N24" i="13" s="1"/>
  <c r="O24" i="16"/>
  <c r="S24" i="16" s="1"/>
  <c r="L25" i="16" s="1"/>
  <c r="K25" i="16" s="1"/>
  <c r="J24" i="14"/>
  <c r="Q24" i="17"/>
  <c r="P24" i="17" s="1"/>
  <c r="R24" i="17" s="1"/>
  <c r="T24" i="17" s="1"/>
  <c r="M25" i="17" s="1"/>
  <c r="Q23" i="15"/>
  <c r="P40" i="20" l="1"/>
  <c r="T40" i="20" s="1"/>
  <c r="U40" i="20" s="1"/>
  <c r="M41" i="20" s="1"/>
  <c r="Q41" i="20" s="1"/>
  <c r="R41" i="20" s="1"/>
  <c r="N63" i="20"/>
  <c r="Y64" i="20"/>
  <c r="R23" i="13"/>
  <c r="T23" i="13" s="1"/>
  <c r="M24" i="13" s="1"/>
  <c r="K24" i="13" s="1"/>
  <c r="J24" i="13" s="1"/>
  <c r="N25" i="16"/>
  <c r="J25" i="16" s="1"/>
  <c r="Q25" i="16" s="1"/>
  <c r="P25" i="16" s="1"/>
  <c r="O24" i="17"/>
  <c r="S24" i="17" s="1"/>
  <c r="L25" i="17" s="1"/>
  <c r="Q24" i="14"/>
  <c r="P24" i="14" s="1"/>
  <c r="R24" i="14" s="1"/>
  <c r="T24" i="14" s="1"/>
  <c r="M25" i="14" s="1"/>
  <c r="P23" i="15"/>
  <c r="R23" i="15" s="1"/>
  <c r="T23" i="15" s="1"/>
  <c r="M24" i="15" s="1"/>
  <c r="O41" i="20" l="1"/>
  <c r="S41" i="20" s="1"/>
  <c r="P41" i="20"/>
  <c r="T41" i="20" s="1"/>
  <c r="U41" i="20" s="1"/>
  <c r="M42" i="20" s="1"/>
  <c r="N64" i="20"/>
  <c r="Y65" i="20"/>
  <c r="O24" i="14"/>
  <c r="S24" i="14" s="1"/>
  <c r="L25" i="14" s="1"/>
  <c r="K25" i="14" s="1"/>
  <c r="R25" i="16"/>
  <c r="T25" i="16" s="1"/>
  <c r="M26" i="16" s="1"/>
  <c r="O25" i="16"/>
  <c r="S25" i="16" s="1"/>
  <c r="L26" i="16" s="1"/>
  <c r="K25" i="17"/>
  <c r="N25" i="17"/>
  <c r="Q24" i="13"/>
  <c r="P24" i="13" s="1"/>
  <c r="R24" i="13" s="1"/>
  <c r="T24" i="13" s="1"/>
  <c r="M25" i="13" s="1"/>
  <c r="O23" i="15"/>
  <c r="S23" i="15" s="1"/>
  <c r="L24" i="15" s="1"/>
  <c r="Q42" i="20" l="1"/>
  <c r="R42" i="20" s="1"/>
  <c r="O42" i="20"/>
  <c r="S42" i="20" s="1"/>
  <c r="N65" i="20"/>
  <c r="Y66" i="20"/>
  <c r="N25" i="14"/>
  <c r="J25" i="14" s="1"/>
  <c r="J25" i="17"/>
  <c r="Q25" i="17" s="1"/>
  <c r="O24" i="13"/>
  <c r="S24" i="13" s="1"/>
  <c r="L25" i="13" s="1"/>
  <c r="N25" i="13" s="1"/>
  <c r="K24" i="15"/>
  <c r="N24" i="15"/>
  <c r="K26" i="16"/>
  <c r="N26" i="16"/>
  <c r="P42" i="20" l="1"/>
  <c r="T42" i="20" s="1"/>
  <c r="U42" i="20" s="1"/>
  <c r="M43" i="20" s="1"/>
  <c r="Y67" i="20"/>
  <c r="N66" i="20"/>
  <c r="K25" i="13"/>
  <c r="J25" i="13" s="1"/>
  <c r="J26" i="16"/>
  <c r="Q26" i="16" s="1"/>
  <c r="P26" i="16" s="1"/>
  <c r="R26" i="16" s="1"/>
  <c r="T26" i="16" s="1"/>
  <c r="M27" i="16" s="1"/>
  <c r="P25" i="17"/>
  <c r="R25" i="17" s="1"/>
  <c r="T25" i="17" s="1"/>
  <c r="M26" i="17" s="1"/>
  <c r="Q25" i="14"/>
  <c r="P25" i="14" s="1"/>
  <c r="R25" i="14" s="1"/>
  <c r="T25" i="14" s="1"/>
  <c r="M26" i="14" s="1"/>
  <c r="J24" i="15"/>
  <c r="Q43" i="20" l="1"/>
  <c r="R43" i="20" s="1"/>
  <c r="O43" i="20"/>
  <c r="S43" i="20" s="1"/>
  <c r="Y68" i="20"/>
  <c r="N67" i="20"/>
  <c r="Q24" i="15"/>
  <c r="P24" i="15" s="1"/>
  <c r="R24" i="15" s="1"/>
  <c r="T24" i="15" s="1"/>
  <c r="M25" i="15" s="1"/>
  <c r="Q25" i="13"/>
  <c r="P25" i="13" s="1"/>
  <c r="R25" i="13" s="1"/>
  <c r="T25" i="13" s="1"/>
  <c r="M26" i="13" s="1"/>
  <c r="O25" i="14"/>
  <c r="S25" i="14" s="1"/>
  <c r="L26" i="14" s="1"/>
  <c r="O26" i="16"/>
  <c r="S26" i="16" s="1"/>
  <c r="L27" i="16" s="1"/>
  <c r="O25" i="17"/>
  <c r="S25" i="17" s="1"/>
  <c r="L26" i="17" s="1"/>
  <c r="P43" i="20" l="1"/>
  <c r="T43" i="20" s="1"/>
  <c r="U43" i="20" s="1"/>
  <c r="M44" i="20" s="1"/>
  <c r="N68" i="20"/>
  <c r="Y69" i="20"/>
  <c r="O25" i="13"/>
  <c r="S25" i="13" s="1"/>
  <c r="L26" i="13" s="1"/>
  <c r="N26" i="13" s="1"/>
  <c r="O24" i="15"/>
  <c r="S24" i="15" s="1"/>
  <c r="L25" i="15" s="1"/>
  <c r="K25" i="15" s="1"/>
  <c r="N26" i="17"/>
  <c r="K26" i="17"/>
  <c r="N27" i="16"/>
  <c r="K27" i="16"/>
  <c r="K26" i="14"/>
  <c r="N26" i="14"/>
  <c r="Q44" i="20" l="1"/>
  <c r="R44" i="20" s="1"/>
  <c r="O44" i="20"/>
  <c r="S44" i="20" s="1"/>
  <c r="N69" i="20"/>
  <c r="Y70" i="20"/>
  <c r="N25" i="15"/>
  <c r="J25" i="15" s="1"/>
  <c r="K26" i="13"/>
  <c r="J26" i="13" s="1"/>
  <c r="J27" i="16"/>
  <c r="Q27" i="16" s="1"/>
  <c r="P27" i="16" s="1"/>
  <c r="R27" i="16" s="1"/>
  <c r="T27" i="16" s="1"/>
  <c r="M28" i="16" s="1"/>
  <c r="J26" i="14"/>
  <c r="J26" i="17"/>
  <c r="P44" i="20" l="1"/>
  <c r="T44" i="20" s="1"/>
  <c r="U44" i="20" s="1"/>
  <c r="M45" i="20" s="1"/>
  <c r="N70" i="20"/>
  <c r="Y71" i="20"/>
  <c r="Q26" i="14"/>
  <c r="O27" i="16"/>
  <c r="S27" i="16" s="1"/>
  <c r="L28" i="16" s="1"/>
  <c r="Q25" i="15"/>
  <c r="P25" i="15" s="1"/>
  <c r="R25" i="15" s="1"/>
  <c r="T25" i="15" s="1"/>
  <c r="M26" i="15" s="1"/>
  <c r="Q26" i="13"/>
  <c r="P26" i="13" s="1"/>
  <c r="R26" i="13" s="1"/>
  <c r="T26" i="13" s="1"/>
  <c r="M27" i="13" s="1"/>
  <c r="Q26" i="17"/>
  <c r="P26" i="17" s="1"/>
  <c r="R26" i="17" s="1"/>
  <c r="T26" i="17" s="1"/>
  <c r="M27" i="17" s="1"/>
  <c r="Q45" i="20" l="1"/>
  <c r="R45" i="20" s="1"/>
  <c r="O45" i="20"/>
  <c r="S45" i="20" s="1"/>
  <c r="N71" i="20"/>
  <c r="Y72" i="20"/>
  <c r="O26" i="13"/>
  <c r="S26" i="13" s="1"/>
  <c r="L27" i="13" s="1"/>
  <c r="K27" i="13" s="1"/>
  <c r="K28" i="16"/>
  <c r="N28" i="16"/>
  <c r="O25" i="15"/>
  <c r="S25" i="15" s="1"/>
  <c r="L26" i="15" s="1"/>
  <c r="O26" i="17"/>
  <c r="S26" i="17" s="1"/>
  <c r="L27" i="17" s="1"/>
  <c r="P26" i="14"/>
  <c r="R26" i="14" s="1"/>
  <c r="T26" i="14" s="1"/>
  <c r="M27" i="14" s="1"/>
  <c r="P45" i="20" l="1"/>
  <c r="T45" i="20" s="1"/>
  <c r="U45" i="20" s="1"/>
  <c r="M46" i="20" s="1"/>
  <c r="N27" i="13"/>
  <c r="J27" i="13" s="1"/>
  <c r="Y73" i="20"/>
  <c r="N72" i="20"/>
  <c r="K27" i="17"/>
  <c r="N27" i="17"/>
  <c r="N26" i="15"/>
  <c r="K26" i="15"/>
  <c r="J28" i="16"/>
  <c r="O26" i="14"/>
  <c r="S26" i="14" s="1"/>
  <c r="L27" i="14" s="1"/>
  <c r="Q46" i="20" l="1"/>
  <c r="R46" i="20" s="1"/>
  <c r="O46" i="20"/>
  <c r="S46" i="20" s="1"/>
  <c r="J26" i="15"/>
  <c r="Q26" i="15" s="1"/>
  <c r="P26" i="15" s="1"/>
  <c r="O26" i="15" s="1"/>
  <c r="S26" i="15" s="1"/>
  <c r="L27" i="15" s="1"/>
  <c r="N73" i="20"/>
  <c r="Y74" i="20"/>
  <c r="Q27" i="13"/>
  <c r="P27" i="13" s="1"/>
  <c r="R27" i="13" s="1"/>
  <c r="T27" i="13" s="1"/>
  <c r="M28" i="13" s="1"/>
  <c r="K27" i="14"/>
  <c r="N27" i="14"/>
  <c r="J27" i="17"/>
  <c r="Q28" i="16"/>
  <c r="P46" i="20" l="1"/>
  <c r="T46" i="20" s="1"/>
  <c r="U46" i="20" s="1"/>
  <c r="M47" i="20" s="1"/>
  <c r="N74" i="20"/>
  <c r="Y75" i="20"/>
  <c r="R26" i="15"/>
  <c r="T26" i="15" s="1"/>
  <c r="M27" i="15" s="1"/>
  <c r="K27" i="15" s="1"/>
  <c r="J27" i="14"/>
  <c r="Q27" i="14" s="1"/>
  <c r="N27" i="15"/>
  <c r="P28" i="16"/>
  <c r="R28" i="16" s="1"/>
  <c r="T28" i="16" s="1"/>
  <c r="M29" i="16" s="1"/>
  <c r="Q27" i="17"/>
  <c r="P27" i="17" s="1"/>
  <c r="R27" i="17" s="1"/>
  <c r="T27" i="17" s="1"/>
  <c r="M28" i="17" s="1"/>
  <c r="O27" i="13"/>
  <c r="S27" i="13" s="1"/>
  <c r="L28" i="13" s="1"/>
  <c r="Q47" i="20" l="1"/>
  <c r="R47" i="20" s="1"/>
  <c r="O47" i="20"/>
  <c r="S47" i="20" s="1"/>
  <c r="P47" i="20"/>
  <c r="T47" i="20" s="1"/>
  <c r="U47" i="20" s="1"/>
  <c r="M48" i="20" s="1"/>
  <c r="Y76" i="20"/>
  <c r="N75" i="20"/>
  <c r="J27" i="15"/>
  <c r="Q27" i="15" s="1"/>
  <c r="P27" i="15" s="1"/>
  <c r="P27" i="14"/>
  <c r="R27" i="14" s="1"/>
  <c r="T27" i="14" s="1"/>
  <c r="M28" i="14" s="1"/>
  <c r="K28" i="13"/>
  <c r="N28" i="13"/>
  <c r="O27" i="17"/>
  <c r="S27" i="17" s="1"/>
  <c r="L28" i="17" s="1"/>
  <c r="O28" i="16"/>
  <c r="S28" i="16" s="1"/>
  <c r="L29" i="16" s="1"/>
  <c r="Q48" i="20" l="1"/>
  <c r="R48" i="20" s="1"/>
  <c r="O48" i="20"/>
  <c r="S48" i="20" s="1"/>
  <c r="P48" i="20"/>
  <c r="Y77" i="20"/>
  <c r="N76" i="20"/>
  <c r="J28" i="13"/>
  <c r="Q28" i="13" s="1"/>
  <c r="P28" i="13" s="1"/>
  <c r="O27" i="15"/>
  <c r="S27" i="15" s="1"/>
  <c r="L28" i="15" s="1"/>
  <c r="R27" i="15"/>
  <c r="T27" i="15" s="1"/>
  <c r="M28" i="15" s="1"/>
  <c r="K29" i="16"/>
  <c r="N29" i="16"/>
  <c r="K28" i="17"/>
  <c r="N28" i="17"/>
  <c r="O27" i="14"/>
  <c r="S27" i="14" s="1"/>
  <c r="L28" i="14" s="1"/>
  <c r="T48" i="20" l="1"/>
  <c r="U48" i="20" s="1"/>
  <c r="M49" i="20" s="1"/>
  <c r="Q49" i="20" s="1"/>
  <c r="N77" i="20"/>
  <c r="Y78" i="20"/>
  <c r="K28" i="15"/>
  <c r="N28" i="15"/>
  <c r="J28" i="17"/>
  <c r="Q28" i="17" s="1"/>
  <c r="P28" i="17" s="1"/>
  <c r="R28" i="17" s="1"/>
  <c r="T28" i="17" s="1"/>
  <c r="M29" i="17" s="1"/>
  <c r="R28" i="13"/>
  <c r="T28" i="13" s="1"/>
  <c r="M29" i="13" s="1"/>
  <c r="O28" i="13"/>
  <c r="S28" i="13" s="1"/>
  <c r="L29" i="13" s="1"/>
  <c r="K28" i="14"/>
  <c r="N28" i="14"/>
  <c r="J29" i="16"/>
  <c r="O49" i="20" l="1"/>
  <c r="S49" i="20" s="1"/>
  <c r="R49" i="20"/>
  <c r="P49" i="20"/>
  <c r="J28" i="15"/>
  <c r="Q28" i="15" s="1"/>
  <c r="Y79" i="20"/>
  <c r="N78" i="20"/>
  <c r="O28" i="17"/>
  <c r="S28" i="17" s="1"/>
  <c r="L29" i="17" s="1"/>
  <c r="Q29" i="16"/>
  <c r="P29" i="16" s="1"/>
  <c r="R29" i="16" s="1"/>
  <c r="T29" i="16" s="1"/>
  <c r="M30" i="16" s="1"/>
  <c r="J28" i="14"/>
  <c r="N29" i="13"/>
  <c r="K29" i="13"/>
  <c r="T49" i="20" l="1"/>
  <c r="U49" i="20" s="1"/>
  <c r="M50" i="20" s="1"/>
  <c r="O50" i="20" s="1"/>
  <c r="S50" i="20" s="1"/>
  <c r="Y80" i="20"/>
  <c r="N79" i="20"/>
  <c r="O29" i="16"/>
  <c r="S29" i="16" s="1"/>
  <c r="L30" i="16" s="1"/>
  <c r="N30" i="16" s="1"/>
  <c r="P28" i="15"/>
  <c r="R28" i="15" s="1"/>
  <c r="T28" i="15" s="1"/>
  <c r="M29" i="15" s="1"/>
  <c r="J29" i="13"/>
  <c r="Q28" i="14"/>
  <c r="K29" i="17"/>
  <c r="N29" i="17"/>
  <c r="Q50" i="20" l="1"/>
  <c r="R50" i="20" s="1"/>
  <c r="Y81" i="20"/>
  <c r="N80" i="20"/>
  <c r="K30" i="16"/>
  <c r="J30" i="16" s="1"/>
  <c r="Q30" i="16" s="1"/>
  <c r="P30" i="16" s="1"/>
  <c r="R30" i="16" s="1"/>
  <c r="T30" i="16" s="1"/>
  <c r="M31" i="16" s="1"/>
  <c r="Q29" i="13"/>
  <c r="P29" i="13" s="1"/>
  <c r="R29" i="13" s="1"/>
  <c r="T29" i="13" s="1"/>
  <c r="M30" i="13" s="1"/>
  <c r="J29" i="17"/>
  <c r="P28" i="14"/>
  <c r="R28" i="14" s="1"/>
  <c r="T28" i="14" s="1"/>
  <c r="M29" i="14" s="1"/>
  <c r="O28" i="15"/>
  <c r="S28" i="15" s="1"/>
  <c r="L29" i="15" s="1"/>
  <c r="P50" i="20" l="1"/>
  <c r="T50" i="20" s="1"/>
  <c r="U50" i="20" s="1"/>
  <c r="M51" i="20" s="1"/>
  <c r="Q51" i="20"/>
  <c r="P51" i="20" s="1"/>
  <c r="O51" i="20"/>
  <c r="S51" i="20" s="1"/>
  <c r="Y82" i="20"/>
  <c r="N81" i="20"/>
  <c r="O30" i="16"/>
  <c r="S30" i="16" s="1"/>
  <c r="L31" i="16" s="1"/>
  <c r="N31" i="16" s="1"/>
  <c r="Q29" i="17"/>
  <c r="P29" i="17" s="1"/>
  <c r="R29" i="17" s="1"/>
  <c r="T29" i="17" s="1"/>
  <c r="M30" i="17" s="1"/>
  <c r="N29" i="15"/>
  <c r="K29" i="15"/>
  <c r="O29" i="13"/>
  <c r="S29" i="13" s="1"/>
  <c r="L30" i="13" s="1"/>
  <c r="O28" i="14"/>
  <c r="S28" i="14" s="1"/>
  <c r="L29" i="14" s="1"/>
  <c r="T51" i="20" l="1"/>
  <c r="U51" i="20" s="1"/>
  <c r="M52" i="20" s="1"/>
  <c r="Y83" i="20"/>
  <c r="N82" i="20"/>
  <c r="J29" i="15"/>
  <c r="Q29" i="15" s="1"/>
  <c r="P29" i="15" s="1"/>
  <c r="R29" i="15" s="1"/>
  <c r="T29" i="15" s="1"/>
  <c r="M30" i="15" s="1"/>
  <c r="K31" i="16"/>
  <c r="J31" i="16" s="1"/>
  <c r="N29" i="14"/>
  <c r="K29" i="14"/>
  <c r="N30" i="13"/>
  <c r="K30" i="13"/>
  <c r="O29" i="17"/>
  <c r="S29" i="17" s="1"/>
  <c r="L30" i="17" s="1"/>
  <c r="V51" i="20" l="1"/>
  <c r="R51" i="20" s="1"/>
  <c r="O52" i="20"/>
  <c r="S52" i="20" s="1"/>
  <c r="Q52" i="20"/>
  <c r="Y84" i="20"/>
  <c r="N83" i="20"/>
  <c r="J29" i="14"/>
  <c r="Q29" i="14" s="1"/>
  <c r="P29" i="14" s="1"/>
  <c r="R29" i="14" s="1"/>
  <c r="T29" i="14" s="1"/>
  <c r="M30" i="14" s="1"/>
  <c r="O29" i="15"/>
  <c r="S29" i="15" s="1"/>
  <c r="L30" i="15" s="1"/>
  <c r="N30" i="17"/>
  <c r="K30" i="17"/>
  <c r="Q31" i="16"/>
  <c r="P31" i="16" s="1"/>
  <c r="J30" i="13"/>
  <c r="R52" i="20" l="1"/>
  <c r="P52" i="20"/>
  <c r="T52" i="20" s="1"/>
  <c r="U52" i="20" s="1"/>
  <c r="M53" i="20" s="1"/>
  <c r="N84" i="20"/>
  <c r="Y85" i="20"/>
  <c r="J30" i="17"/>
  <c r="Q30" i="17" s="1"/>
  <c r="R31" i="16"/>
  <c r="T31" i="16" s="1"/>
  <c r="M32" i="16" s="1"/>
  <c r="O31" i="16"/>
  <c r="S31" i="16" s="1"/>
  <c r="L32" i="16" s="1"/>
  <c r="Q30" i="13"/>
  <c r="P30" i="13" s="1"/>
  <c r="R30" i="13" s="1"/>
  <c r="T30" i="13" s="1"/>
  <c r="M31" i="13" s="1"/>
  <c r="O29" i="14"/>
  <c r="S29" i="14" s="1"/>
  <c r="L30" i="14" s="1"/>
  <c r="N30" i="15"/>
  <c r="K30" i="15"/>
  <c r="O53" i="20" l="1"/>
  <c r="S53" i="20" s="1"/>
  <c r="Q53" i="20"/>
  <c r="R53" i="20" s="1"/>
  <c r="N85" i="20"/>
  <c r="Y86" i="20"/>
  <c r="P30" i="17"/>
  <c r="R30" i="17" s="1"/>
  <c r="T30" i="17" s="1"/>
  <c r="M31" i="17" s="1"/>
  <c r="O30" i="13"/>
  <c r="S30" i="13" s="1"/>
  <c r="L31" i="13" s="1"/>
  <c r="K31" i="13" s="1"/>
  <c r="J30" i="15"/>
  <c r="Q30" i="15" s="1"/>
  <c r="P30" i="15" s="1"/>
  <c r="K30" i="14"/>
  <c r="N30" i="14"/>
  <c r="N32" i="16"/>
  <c r="K32" i="16"/>
  <c r="P53" i="20" l="1"/>
  <c r="T53" i="20" s="1"/>
  <c r="U53" i="20" s="1"/>
  <c r="M54" i="20" s="1"/>
  <c r="Y87" i="20"/>
  <c r="N86" i="20"/>
  <c r="N31" i="13"/>
  <c r="J31" i="13" s="1"/>
  <c r="Q31" i="13" s="1"/>
  <c r="J30" i="14"/>
  <c r="Q30" i="14" s="1"/>
  <c r="P30" i="14" s="1"/>
  <c r="R30" i="14" s="1"/>
  <c r="T30" i="14" s="1"/>
  <c r="M31" i="14" s="1"/>
  <c r="O30" i="17"/>
  <c r="S30" i="17" s="1"/>
  <c r="L31" i="17" s="1"/>
  <c r="R30" i="15"/>
  <c r="T30" i="15" s="1"/>
  <c r="M31" i="15" s="1"/>
  <c r="O30" i="15"/>
  <c r="S30" i="15" s="1"/>
  <c r="L31" i="15" s="1"/>
  <c r="J32" i="16"/>
  <c r="O54" i="20" l="1"/>
  <c r="S54" i="20" s="1"/>
  <c r="Q54" i="20"/>
  <c r="R54" i="20" s="1"/>
  <c r="N87" i="20"/>
  <c r="Y88" i="20"/>
  <c r="N31" i="17"/>
  <c r="K31" i="17"/>
  <c r="Q32" i="16"/>
  <c r="P32" i="16" s="1"/>
  <c r="R32" i="16" s="1"/>
  <c r="T32" i="16" s="1"/>
  <c r="M33" i="16" s="1"/>
  <c r="O30" i="14"/>
  <c r="S30" i="14" s="1"/>
  <c r="L31" i="14" s="1"/>
  <c r="P31" i="13"/>
  <c r="R31" i="13" s="1"/>
  <c r="T31" i="13" s="1"/>
  <c r="M32" i="13" s="1"/>
  <c r="K31" i="15"/>
  <c r="N31" i="15"/>
  <c r="P54" i="20" l="1"/>
  <c r="T54" i="20" s="1"/>
  <c r="U54" i="20" s="1"/>
  <c r="M55" i="20" s="1"/>
  <c r="N88" i="20"/>
  <c r="Y89" i="20"/>
  <c r="J31" i="17"/>
  <c r="Q31" i="17" s="1"/>
  <c r="P31" i="17" s="1"/>
  <c r="O32" i="16"/>
  <c r="S32" i="16" s="1"/>
  <c r="L33" i="16" s="1"/>
  <c r="K33" i="16" s="1"/>
  <c r="J31" i="15"/>
  <c r="K31" i="14"/>
  <c r="N31" i="14"/>
  <c r="O31" i="13"/>
  <c r="S31" i="13" s="1"/>
  <c r="L32" i="13" s="1"/>
  <c r="O55" i="20" l="1"/>
  <c r="S55" i="20" s="1"/>
  <c r="Q55" i="20"/>
  <c r="R55" i="20" s="1"/>
  <c r="Y90" i="20"/>
  <c r="N89" i="20"/>
  <c r="N33" i="16"/>
  <c r="J33" i="16" s="1"/>
  <c r="O31" i="17"/>
  <c r="S31" i="17" s="1"/>
  <c r="L32" i="17" s="1"/>
  <c r="N32" i="17" s="1"/>
  <c r="R31" i="17"/>
  <c r="T31" i="17" s="1"/>
  <c r="M32" i="17" s="1"/>
  <c r="N32" i="13"/>
  <c r="K32" i="13"/>
  <c r="J31" i="14"/>
  <c r="Q31" i="15"/>
  <c r="P31" i="15" s="1"/>
  <c r="R31" i="15" s="1"/>
  <c r="T31" i="15" s="1"/>
  <c r="M32" i="15" s="1"/>
  <c r="P55" i="20" l="1"/>
  <c r="T55" i="20" s="1"/>
  <c r="U55" i="20" s="1"/>
  <c r="M56" i="20" s="1"/>
  <c r="J32" i="13"/>
  <c r="Q32" i="13" s="1"/>
  <c r="Y91" i="20"/>
  <c r="N90" i="20"/>
  <c r="K32" i="17"/>
  <c r="J32" i="17" s="1"/>
  <c r="O31" i="15"/>
  <c r="S31" i="15" s="1"/>
  <c r="L32" i="15" s="1"/>
  <c r="N32" i="15" s="1"/>
  <c r="Q33" i="16"/>
  <c r="P33" i="16" s="1"/>
  <c r="R33" i="16" s="1"/>
  <c r="T33" i="16" s="1"/>
  <c r="M34" i="16" s="1"/>
  <c r="Q31" i="14"/>
  <c r="O56" i="20" l="1"/>
  <c r="S56" i="20" s="1"/>
  <c r="Q56" i="20"/>
  <c r="R56" i="20" s="1"/>
  <c r="Y92" i="20"/>
  <c r="N91" i="20"/>
  <c r="K32" i="15"/>
  <c r="J32" i="15" s="1"/>
  <c r="Q32" i="15" s="1"/>
  <c r="P32" i="15" s="1"/>
  <c r="R32" i="15" s="1"/>
  <c r="T32" i="15" s="1"/>
  <c r="M33" i="15" s="1"/>
  <c r="Q32" i="17"/>
  <c r="P32" i="17" s="1"/>
  <c r="O33" i="16"/>
  <c r="S33" i="16" s="1"/>
  <c r="L34" i="16" s="1"/>
  <c r="K34" i="16" s="1"/>
  <c r="P31" i="14"/>
  <c r="R31" i="14" s="1"/>
  <c r="T31" i="14" s="1"/>
  <c r="M32" i="14" s="1"/>
  <c r="P32" i="13"/>
  <c r="R32" i="13" s="1"/>
  <c r="T32" i="13" s="1"/>
  <c r="M33" i="13" s="1"/>
  <c r="P56" i="20" l="1"/>
  <c r="T56" i="20" s="1"/>
  <c r="U56" i="20" s="1"/>
  <c r="M57" i="20" s="1"/>
  <c r="Y93" i="20"/>
  <c r="N92" i="20"/>
  <c r="N34" i="16"/>
  <c r="J34" i="16" s="1"/>
  <c r="O32" i="13"/>
  <c r="S32" i="13" s="1"/>
  <c r="L33" i="13" s="1"/>
  <c r="K33" i="13" s="1"/>
  <c r="O32" i="17"/>
  <c r="S32" i="17" s="1"/>
  <c r="L33" i="17" s="1"/>
  <c r="R32" i="17"/>
  <c r="T32" i="17" s="1"/>
  <c r="M33" i="17" s="1"/>
  <c r="O31" i="14"/>
  <c r="S31" i="14" s="1"/>
  <c r="L32" i="14" s="1"/>
  <c r="O32" i="15"/>
  <c r="S32" i="15" s="1"/>
  <c r="L33" i="15" s="1"/>
  <c r="O57" i="20" l="1"/>
  <c r="S57" i="20" s="1"/>
  <c r="Q57" i="20"/>
  <c r="R57" i="20" s="1"/>
  <c r="N33" i="13"/>
  <c r="J33" i="13" s="1"/>
  <c r="Q33" i="13" s="1"/>
  <c r="P33" i="13" s="1"/>
  <c r="O33" i="13" s="1"/>
  <c r="S33" i="13" s="1"/>
  <c r="L34" i="13" s="1"/>
  <c r="Y94" i="20"/>
  <c r="N93" i="20"/>
  <c r="K33" i="17"/>
  <c r="N33" i="17"/>
  <c r="K32" i="14"/>
  <c r="N32" i="14"/>
  <c r="N33" i="15"/>
  <c r="K33" i="15"/>
  <c r="Q34" i="16"/>
  <c r="P57" i="20" l="1"/>
  <c r="T57" i="20" s="1"/>
  <c r="U57" i="20" s="1"/>
  <c r="M58" i="20" s="1"/>
  <c r="N94" i="20"/>
  <c r="Y95" i="20"/>
  <c r="J33" i="15"/>
  <c r="Q33" i="15" s="1"/>
  <c r="P33" i="15" s="1"/>
  <c r="R33" i="15" s="1"/>
  <c r="T33" i="15" s="1"/>
  <c r="M34" i="15" s="1"/>
  <c r="J33" i="17"/>
  <c r="R33" i="13"/>
  <c r="T33" i="13" s="1"/>
  <c r="M34" i="13" s="1"/>
  <c r="K34" i="13" s="1"/>
  <c r="J32" i="14"/>
  <c r="Q32" i="14" s="1"/>
  <c r="P32" i="14" s="1"/>
  <c r="R32" i="14" s="1"/>
  <c r="T32" i="14" s="1"/>
  <c r="M33" i="14" s="1"/>
  <c r="N34" i="13"/>
  <c r="P34" i="16"/>
  <c r="R34" i="16" s="1"/>
  <c r="T34" i="16" s="1"/>
  <c r="M35" i="16" s="1"/>
  <c r="O58" i="20" l="1"/>
  <c r="S58" i="20" s="1"/>
  <c r="Q58" i="20"/>
  <c r="R58" i="20" s="1"/>
  <c r="Y96" i="20"/>
  <c r="N95" i="20"/>
  <c r="O32" i="14"/>
  <c r="S32" i="14" s="1"/>
  <c r="L33" i="14" s="1"/>
  <c r="K33" i="14" s="1"/>
  <c r="O33" i="15"/>
  <c r="S33" i="15" s="1"/>
  <c r="L34" i="15" s="1"/>
  <c r="N34" i="15" s="1"/>
  <c r="Q33" i="17"/>
  <c r="P33" i="17" s="1"/>
  <c r="J34" i="13"/>
  <c r="O34" i="16"/>
  <c r="S34" i="16" s="1"/>
  <c r="L35" i="16" s="1"/>
  <c r="P58" i="20" l="1"/>
  <c r="T58" i="20" s="1"/>
  <c r="U58" i="20" s="1"/>
  <c r="M59" i="20" s="1"/>
  <c r="Y97" i="20"/>
  <c r="N96" i="20"/>
  <c r="N33" i="14"/>
  <c r="J33" i="14" s="1"/>
  <c r="K34" i="15"/>
  <c r="J34" i="15" s="1"/>
  <c r="Q34" i="15" s="1"/>
  <c r="P34" i="15" s="1"/>
  <c r="R33" i="17"/>
  <c r="T33" i="17" s="1"/>
  <c r="M34" i="17" s="1"/>
  <c r="O33" i="17"/>
  <c r="S33" i="17" s="1"/>
  <c r="L34" i="17" s="1"/>
  <c r="K35" i="16"/>
  <c r="N35" i="16"/>
  <c r="Q34" i="13"/>
  <c r="P34" i="13" s="1"/>
  <c r="R34" i="13" s="1"/>
  <c r="T34" i="13" s="1"/>
  <c r="M35" i="13" s="1"/>
  <c r="Q59" i="20" l="1"/>
  <c r="R59" i="20" s="1"/>
  <c r="O59" i="20"/>
  <c r="S59" i="20" s="1"/>
  <c r="Y98" i="20"/>
  <c r="N97" i="20"/>
  <c r="O34" i="13"/>
  <c r="S34" i="13" s="1"/>
  <c r="L35" i="13" s="1"/>
  <c r="N35" i="13" s="1"/>
  <c r="N34" i="17"/>
  <c r="K34" i="17"/>
  <c r="O34" i="15"/>
  <c r="S34" i="15" s="1"/>
  <c r="L35" i="15" s="1"/>
  <c r="R34" i="15"/>
  <c r="T34" i="15" s="1"/>
  <c r="M35" i="15" s="1"/>
  <c r="Q33" i="14"/>
  <c r="P33" i="14" s="1"/>
  <c r="R33" i="14" s="1"/>
  <c r="T33" i="14" s="1"/>
  <c r="M34" i="14" s="1"/>
  <c r="J35" i="16"/>
  <c r="P59" i="20" l="1"/>
  <c r="T59" i="20"/>
  <c r="U59" i="20" s="1"/>
  <c r="M60" i="20" s="1"/>
  <c r="O60" i="20" s="1"/>
  <c r="S60" i="20" s="1"/>
  <c r="K35" i="13"/>
  <c r="J35" i="13" s="1"/>
  <c r="Q35" i="13" s="1"/>
  <c r="P35" i="13" s="1"/>
  <c r="Y99" i="20"/>
  <c r="N98" i="20"/>
  <c r="J34" i="17"/>
  <c r="O33" i="14"/>
  <c r="S33" i="14" s="1"/>
  <c r="L34" i="14" s="1"/>
  <c r="K34" i="14" s="1"/>
  <c r="Q35" i="16"/>
  <c r="P35" i="16" s="1"/>
  <c r="R35" i="16" s="1"/>
  <c r="T35" i="16" s="1"/>
  <c r="M36" i="16" s="1"/>
  <c r="N35" i="15"/>
  <c r="K35" i="15"/>
  <c r="Q60" i="20" l="1"/>
  <c r="R60" i="20" s="1"/>
  <c r="P60" i="20"/>
  <c r="T60" i="20" s="1"/>
  <c r="U60" i="20" s="1"/>
  <c r="M61" i="20" s="1"/>
  <c r="Q61" i="20" s="1"/>
  <c r="R61" i="20" s="1"/>
  <c r="N99" i="20"/>
  <c r="Y100" i="20"/>
  <c r="N34" i="14"/>
  <c r="J34" i="14" s="1"/>
  <c r="Q34" i="17"/>
  <c r="P34" i="17" s="1"/>
  <c r="R34" i="17" s="1"/>
  <c r="T34" i="17" s="1"/>
  <c r="M35" i="17" s="1"/>
  <c r="O35" i="13"/>
  <c r="S35" i="13" s="1"/>
  <c r="L36" i="13" s="1"/>
  <c r="R35" i="13"/>
  <c r="T35" i="13" s="1"/>
  <c r="M36" i="13" s="1"/>
  <c r="O35" i="16"/>
  <c r="S35" i="16" s="1"/>
  <c r="L36" i="16" s="1"/>
  <c r="J35" i="15"/>
  <c r="O61" i="20" l="1"/>
  <c r="S61" i="20" s="1"/>
  <c r="P61" i="20"/>
  <c r="Y101" i="20"/>
  <c r="N100" i="20"/>
  <c r="O34" i="17"/>
  <c r="S34" i="17" s="1"/>
  <c r="L35" i="17" s="1"/>
  <c r="K35" i="17" s="1"/>
  <c r="Q34" i="14"/>
  <c r="P34" i="14" s="1"/>
  <c r="R34" i="14" s="1"/>
  <c r="T34" i="14" s="1"/>
  <c r="M35" i="14" s="1"/>
  <c r="K36" i="13"/>
  <c r="N36" i="13"/>
  <c r="Q35" i="15"/>
  <c r="P35" i="15" s="1"/>
  <c r="K36" i="16"/>
  <c r="N36" i="16"/>
  <c r="T61" i="20" l="1"/>
  <c r="U61" i="20" s="1"/>
  <c r="M62" i="20" s="1"/>
  <c r="O62" i="20" s="1"/>
  <c r="S62" i="20" s="1"/>
  <c r="N101" i="20"/>
  <c r="Y102" i="20"/>
  <c r="N35" i="17"/>
  <c r="J35" i="17" s="1"/>
  <c r="J36" i="16"/>
  <c r="Q36" i="16" s="1"/>
  <c r="R35" i="15"/>
  <c r="T35" i="15" s="1"/>
  <c r="M36" i="15" s="1"/>
  <c r="O35" i="15"/>
  <c r="S35" i="15" s="1"/>
  <c r="L36" i="15" s="1"/>
  <c r="O34" i="14"/>
  <c r="S34" i="14" s="1"/>
  <c r="L35" i="14" s="1"/>
  <c r="J36" i="13"/>
  <c r="Q62" i="20" l="1"/>
  <c r="R62" i="20" s="1"/>
  <c r="Y103" i="20"/>
  <c r="N102" i="20"/>
  <c r="Q35" i="17"/>
  <c r="P35" i="17" s="1"/>
  <c r="R35" i="17" s="1"/>
  <c r="T35" i="17" s="1"/>
  <c r="M36" i="17" s="1"/>
  <c r="P36" i="16"/>
  <c r="R36" i="16" s="1"/>
  <c r="T36" i="16" s="1"/>
  <c r="M37" i="16" s="1"/>
  <c r="Q36" i="13"/>
  <c r="N36" i="15"/>
  <c r="K36" i="15"/>
  <c r="N35" i="14"/>
  <c r="K35" i="14"/>
  <c r="P62" i="20" l="1"/>
  <c r="T62" i="20" s="1"/>
  <c r="U62" i="20" s="1"/>
  <c r="M63" i="20" s="1"/>
  <c r="O63" i="20" s="1"/>
  <c r="S63" i="20" s="1"/>
  <c r="Y104" i="20"/>
  <c r="N103" i="20"/>
  <c r="O35" i="17"/>
  <c r="S35" i="17" s="1"/>
  <c r="L36" i="17" s="1"/>
  <c r="K36" i="17" s="1"/>
  <c r="J35" i="14"/>
  <c r="Q35" i="14" s="1"/>
  <c r="J36" i="15"/>
  <c r="Q36" i="15" s="1"/>
  <c r="P36" i="13"/>
  <c r="R36" i="13" s="1"/>
  <c r="T36" i="13" s="1"/>
  <c r="M37" i="13" s="1"/>
  <c r="O36" i="16"/>
  <c r="S36" i="16" s="1"/>
  <c r="L37" i="16" s="1"/>
  <c r="Q63" i="20" l="1"/>
  <c r="P63" i="20" s="1"/>
  <c r="T63" i="20" s="1"/>
  <c r="U63" i="20" s="1"/>
  <c r="M64" i="20" s="1"/>
  <c r="N36" i="17"/>
  <c r="J36" i="17" s="1"/>
  <c r="Q36" i="17" s="1"/>
  <c r="P36" i="17" s="1"/>
  <c r="R36" i="17" s="1"/>
  <c r="T36" i="17" s="1"/>
  <c r="M37" i="17" s="1"/>
  <c r="Y105" i="20"/>
  <c r="N104" i="20"/>
  <c r="P35" i="14"/>
  <c r="O35" i="14" s="1"/>
  <c r="S35" i="14" s="1"/>
  <c r="L36" i="14" s="1"/>
  <c r="N36" i="14" s="1"/>
  <c r="P36" i="15"/>
  <c r="R36" i="15" s="1"/>
  <c r="T36" i="15" s="1"/>
  <c r="M37" i="15" s="1"/>
  <c r="K37" i="16"/>
  <c r="N37" i="16"/>
  <c r="O36" i="13"/>
  <c r="S36" i="13" s="1"/>
  <c r="L37" i="13" s="1"/>
  <c r="V63" i="20" l="1"/>
  <c r="R63" i="20" s="1"/>
  <c r="O64" i="20"/>
  <c r="S64" i="20" s="1"/>
  <c r="Q64" i="20"/>
  <c r="N105" i="20"/>
  <c r="Y106" i="20"/>
  <c r="O36" i="17"/>
  <c r="S36" i="17" s="1"/>
  <c r="L37" i="17" s="1"/>
  <c r="N37" i="17" s="1"/>
  <c r="R35" i="14"/>
  <c r="T35" i="14" s="1"/>
  <c r="M36" i="14" s="1"/>
  <c r="K36" i="14" s="1"/>
  <c r="J36" i="14" s="1"/>
  <c r="J37" i="16"/>
  <c r="Q37" i="16" s="1"/>
  <c r="P37" i="16" s="1"/>
  <c r="R37" i="16" s="1"/>
  <c r="T37" i="16" s="1"/>
  <c r="M38" i="16" s="1"/>
  <c r="N37" i="13"/>
  <c r="K37" i="13"/>
  <c r="O36" i="15"/>
  <c r="S36" i="15" s="1"/>
  <c r="L37" i="15" s="1"/>
  <c r="R64" i="20" l="1"/>
  <c r="P64" i="20"/>
  <c r="T64" i="20" s="1"/>
  <c r="U64" i="20" s="1"/>
  <c r="M65" i="20" s="1"/>
  <c r="N106" i="20"/>
  <c r="Y107" i="20"/>
  <c r="J37" i="13"/>
  <c r="Q37" i="13" s="1"/>
  <c r="P37" i="13" s="1"/>
  <c r="R37" i="13" s="1"/>
  <c r="T37" i="13" s="1"/>
  <c r="M38" i="13" s="1"/>
  <c r="K37" i="17"/>
  <c r="J37" i="17" s="1"/>
  <c r="Q37" i="17" s="1"/>
  <c r="N37" i="15"/>
  <c r="K37" i="15"/>
  <c r="Q36" i="14"/>
  <c r="P36" i="14" s="1"/>
  <c r="R36" i="14" s="1"/>
  <c r="T36" i="14" s="1"/>
  <c r="M37" i="14" s="1"/>
  <c r="O37" i="16"/>
  <c r="S37" i="16" s="1"/>
  <c r="L38" i="16" s="1"/>
  <c r="O65" i="20" l="1"/>
  <c r="S65" i="20" s="1"/>
  <c r="Q65" i="20"/>
  <c r="R65" i="20" s="1"/>
  <c r="N107" i="20"/>
  <c r="Y108" i="20"/>
  <c r="P37" i="17"/>
  <c r="R37" i="17" s="1"/>
  <c r="T37" i="17" s="1"/>
  <c r="M38" i="17" s="1"/>
  <c r="J37" i="15"/>
  <c r="Q37" i="15" s="1"/>
  <c r="P37" i="15" s="1"/>
  <c r="O37" i="13"/>
  <c r="S37" i="13" s="1"/>
  <c r="L38" i="13" s="1"/>
  <c r="K38" i="13" s="1"/>
  <c r="O36" i="14"/>
  <c r="S36" i="14" s="1"/>
  <c r="L37" i="14" s="1"/>
  <c r="N38" i="16"/>
  <c r="K38" i="16"/>
  <c r="P65" i="20" l="1"/>
  <c r="T65" i="20" s="1"/>
  <c r="U65" i="20" s="1"/>
  <c r="M66" i="20" s="1"/>
  <c r="N108" i="20"/>
  <c r="Y109" i="20"/>
  <c r="O37" i="17"/>
  <c r="S37" i="17" s="1"/>
  <c r="L38" i="17" s="1"/>
  <c r="K38" i="17" s="1"/>
  <c r="N38" i="13"/>
  <c r="J38" i="13" s="1"/>
  <c r="O37" i="15"/>
  <c r="S37" i="15" s="1"/>
  <c r="L38" i="15" s="1"/>
  <c r="R37" i="15"/>
  <c r="T37" i="15" s="1"/>
  <c r="M38" i="15" s="1"/>
  <c r="K37" i="14"/>
  <c r="N37" i="14"/>
  <c r="J38" i="16"/>
  <c r="O66" i="20" l="1"/>
  <c r="S66" i="20" s="1"/>
  <c r="Q66" i="20"/>
  <c r="R66" i="20" s="1"/>
  <c r="N38" i="17"/>
  <c r="J38" i="17" s="1"/>
  <c r="Q38" i="17" s="1"/>
  <c r="P38" i="17" s="1"/>
  <c r="R38" i="17" s="1"/>
  <c r="T38" i="17" s="1"/>
  <c r="M39" i="17" s="1"/>
  <c r="N109" i="20"/>
  <c r="Y110" i="20"/>
  <c r="Q38" i="13"/>
  <c r="P38" i="13" s="1"/>
  <c r="R38" i="13" s="1"/>
  <c r="T38" i="13" s="1"/>
  <c r="M39" i="13" s="1"/>
  <c r="Q38" i="16"/>
  <c r="P38" i="16" s="1"/>
  <c r="R38" i="16" s="1"/>
  <c r="T38" i="16" s="1"/>
  <c r="M39" i="16" s="1"/>
  <c r="J37" i="14"/>
  <c r="K38" i="15"/>
  <c r="N38" i="15"/>
  <c r="P66" i="20" l="1"/>
  <c r="T66" i="20" s="1"/>
  <c r="U66" i="20" s="1"/>
  <c r="M67" i="20" s="1"/>
  <c r="Y111" i="20"/>
  <c r="N110" i="20"/>
  <c r="O38" i="17"/>
  <c r="S38" i="17" s="1"/>
  <c r="L39" i="17" s="1"/>
  <c r="K39" i="17" s="1"/>
  <c r="J38" i="15"/>
  <c r="O38" i="13"/>
  <c r="S38" i="13" s="1"/>
  <c r="L39" i="13" s="1"/>
  <c r="O38" i="16"/>
  <c r="S38" i="16" s="1"/>
  <c r="L39" i="16" s="1"/>
  <c r="Q37" i="14"/>
  <c r="P37" i="14" s="1"/>
  <c r="R37" i="14" s="1"/>
  <c r="T37" i="14" s="1"/>
  <c r="M38" i="14" s="1"/>
  <c r="O67" i="20" l="1"/>
  <c r="S67" i="20" s="1"/>
  <c r="Q67" i="20"/>
  <c r="Y112" i="20"/>
  <c r="N111" i="20"/>
  <c r="N39" i="17"/>
  <c r="J39" i="17" s="1"/>
  <c r="O37" i="14"/>
  <c r="S37" i="14" s="1"/>
  <c r="L38" i="14" s="1"/>
  <c r="K38" i="14" s="1"/>
  <c r="Q38" i="15"/>
  <c r="P38" i="15" s="1"/>
  <c r="R38" i="15" s="1"/>
  <c r="T38" i="15" s="1"/>
  <c r="M39" i="15" s="1"/>
  <c r="N39" i="16"/>
  <c r="K39" i="16"/>
  <c r="N39" i="13"/>
  <c r="K39" i="13"/>
  <c r="R67" i="20" l="1"/>
  <c r="P67" i="20"/>
  <c r="T67" i="20" s="1"/>
  <c r="U67" i="20" s="1"/>
  <c r="M68" i="20" s="1"/>
  <c r="Y113" i="20"/>
  <c r="N112" i="20"/>
  <c r="J39" i="16"/>
  <c r="Q39" i="16" s="1"/>
  <c r="N38" i="14"/>
  <c r="J38" i="14" s="1"/>
  <c r="Q39" i="17"/>
  <c r="P39" i="17" s="1"/>
  <c r="R39" i="17" s="1"/>
  <c r="T39" i="17" s="1"/>
  <c r="M40" i="17" s="1"/>
  <c r="O38" i="15"/>
  <c r="S38" i="15" s="1"/>
  <c r="L39" i="15" s="1"/>
  <c r="N39" i="15" s="1"/>
  <c r="J39" i="13"/>
  <c r="O68" i="20" l="1"/>
  <c r="S68" i="20" s="1"/>
  <c r="Q68" i="20"/>
  <c r="R68" i="20" s="1"/>
  <c r="Y114" i="20"/>
  <c r="N113" i="20"/>
  <c r="K39" i="15"/>
  <c r="J39" i="15" s="1"/>
  <c r="Q39" i="15" s="1"/>
  <c r="P39" i="15" s="1"/>
  <c r="R39" i="15" s="1"/>
  <c r="T39" i="15" s="1"/>
  <c r="M40" i="15" s="1"/>
  <c r="O39" i="17"/>
  <c r="S39" i="17" s="1"/>
  <c r="L40" i="17" s="1"/>
  <c r="N40" i="17" s="1"/>
  <c r="Q39" i="13"/>
  <c r="P39" i="13" s="1"/>
  <c r="P39" i="16"/>
  <c r="R39" i="16" s="1"/>
  <c r="T39" i="16" s="1"/>
  <c r="M40" i="16" s="1"/>
  <c r="Q38" i="14"/>
  <c r="P38" i="14" s="1"/>
  <c r="P68" i="20" l="1"/>
  <c r="T68" i="20" s="1"/>
  <c r="U68" i="20" s="1"/>
  <c r="M69" i="20" s="1"/>
  <c r="N114" i="20"/>
  <c r="Y115" i="20"/>
  <c r="K40" i="17"/>
  <c r="J40" i="17" s="1"/>
  <c r="Q40" i="17" s="1"/>
  <c r="P40" i="17" s="1"/>
  <c r="R40" i="17" s="1"/>
  <c r="T40" i="17" s="1"/>
  <c r="M41" i="17" s="1"/>
  <c r="R39" i="13"/>
  <c r="T39" i="13" s="1"/>
  <c r="M40" i="13" s="1"/>
  <c r="O39" i="13"/>
  <c r="S39" i="13" s="1"/>
  <c r="L40" i="13" s="1"/>
  <c r="O39" i="15"/>
  <c r="S39" i="15" s="1"/>
  <c r="L40" i="15" s="1"/>
  <c r="N40" i="15" s="1"/>
  <c r="R38" i="14"/>
  <c r="T38" i="14" s="1"/>
  <c r="M39" i="14" s="1"/>
  <c r="O38" i="14"/>
  <c r="S38" i="14" s="1"/>
  <c r="L39" i="14" s="1"/>
  <c r="O39" i="16"/>
  <c r="S39" i="16" s="1"/>
  <c r="L40" i="16" s="1"/>
  <c r="Q69" i="20" l="1"/>
  <c r="R69" i="20" s="1"/>
  <c r="O69" i="20"/>
  <c r="S69" i="20" s="1"/>
  <c r="N115" i="20"/>
  <c r="Y116" i="20"/>
  <c r="K40" i="15"/>
  <c r="J40" i="15" s="1"/>
  <c r="Q40" i="15" s="1"/>
  <c r="P40" i="15" s="1"/>
  <c r="O40" i="17"/>
  <c r="S40" i="17" s="1"/>
  <c r="L41" i="17" s="1"/>
  <c r="K41" i="17" s="1"/>
  <c r="K40" i="13"/>
  <c r="N40" i="13"/>
  <c r="N39" i="14"/>
  <c r="K39" i="14"/>
  <c r="N40" i="16"/>
  <c r="K40" i="16"/>
  <c r="P69" i="20" l="1"/>
  <c r="T69" i="20" s="1"/>
  <c r="U69" i="20" s="1"/>
  <c r="M70" i="20" s="1"/>
  <c r="O70" i="20" s="1"/>
  <c r="S70" i="20" s="1"/>
  <c r="N116" i="20"/>
  <c r="Y117" i="20"/>
  <c r="J39" i="14"/>
  <c r="Q39" i="14" s="1"/>
  <c r="P39" i="14" s="1"/>
  <c r="J40" i="16"/>
  <c r="Q40" i="16" s="1"/>
  <c r="P40" i="16" s="1"/>
  <c r="N41" i="17"/>
  <c r="J41" i="17" s="1"/>
  <c r="Q41" i="17" s="1"/>
  <c r="P41" i="17" s="1"/>
  <c r="J40" i="13"/>
  <c r="Q40" i="13" s="1"/>
  <c r="P40" i="13" s="1"/>
  <c r="R40" i="13" s="1"/>
  <c r="T40" i="13" s="1"/>
  <c r="M41" i="13" s="1"/>
  <c r="R40" i="15"/>
  <c r="T40" i="15" s="1"/>
  <c r="M41" i="15" s="1"/>
  <c r="O40" i="15"/>
  <c r="S40" i="15" s="1"/>
  <c r="L41" i="15" s="1"/>
  <c r="Q70" i="20" l="1"/>
  <c r="R70" i="20" s="1"/>
  <c r="N117" i="20"/>
  <c r="Y118" i="20"/>
  <c r="O40" i="13"/>
  <c r="S40" i="13" s="1"/>
  <c r="L41" i="13" s="1"/>
  <c r="N41" i="13" s="1"/>
  <c r="O41" i="17"/>
  <c r="S41" i="17" s="1"/>
  <c r="L42" i="17" s="1"/>
  <c r="N42" i="17" s="1"/>
  <c r="R41" i="17"/>
  <c r="T41" i="17" s="1"/>
  <c r="M42" i="17" s="1"/>
  <c r="O39" i="14"/>
  <c r="S39" i="14" s="1"/>
  <c r="L40" i="14" s="1"/>
  <c r="R39" i="14"/>
  <c r="T39" i="14" s="1"/>
  <c r="M40" i="14" s="1"/>
  <c r="R40" i="16"/>
  <c r="T40" i="16" s="1"/>
  <c r="M41" i="16" s="1"/>
  <c r="O40" i="16"/>
  <c r="S40" i="16" s="1"/>
  <c r="L41" i="16" s="1"/>
  <c r="N41" i="15"/>
  <c r="K41" i="15"/>
  <c r="P70" i="20" l="1"/>
  <c r="T70" i="20" s="1"/>
  <c r="U70" i="20" s="1"/>
  <c r="M71" i="20" s="1"/>
  <c r="Q71" i="20" s="1"/>
  <c r="R71" i="20" s="1"/>
  <c r="O71" i="20"/>
  <c r="S71" i="20" s="1"/>
  <c r="J41" i="15"/>
  <c r="Q41" i="15" s="1"/>
  <c r="P41" i="15" s="1"/>
  <c r="O41" i="15" s="1"/>
  <c r="S41" i="15" s="1"/>
  <c r="L42" i="15" s="1"/>
  <c r="Y119" i="20"/>
  <c r="N118" i="20"/>
  <c r="K41" i="13"/>
  <c r="J41" i="13" s="1"/>
  <c r="Q41" i="13" s="1"/>
  <c r="P41" i="13" s="1"/>
  <c r="K42" i="17"/>
  <c r="J42" i="17" s="1"/>
  <c r="N41" i="16"/>
  <c r="K41" i="16"/>
  <c r="K40" i="14"/>
  <c r="N40" i="14"/>
  <c r="P71" i="20" l="1"/>
  <c r="T71" i="20" s="1"/>
  <c r="U71" i="20" s="1"/>
  <c r="M72" i="20" s="1"/>
  <c r="Q72" i="20" s="1"/>
  <c r="O72" i="20"/>
  <c r="S72" i="20" s="1"/>
  <c r="J41" i="16"/>
  <c r="Q41" i="16" s="1"/>
  <c r="P41" i="16" s="1"/>
  <c r="R41" i="16" s="1"/>
  <c r="T41" i="16" s="1"/>
  <c r="M42" i="16" s="1"/>
  <c r="N119" i="20"/>
  <c r="Y120" i="20"/>
  <c r="J40" i="14"/>
  <c r="Q40" i="14" s="1"/>
  <c r="P40" i="14" s="1"/>
  <c r="R41" i="13"/>
  <c r="T41" i="13" s="1"/>
  <c r="M42" i="13" s="1"/>
  <c r="O41" i="13"/>
  <c r="S41" i="13" s="1"/>
  <c r="L42" i="13" s="1"/>
  <c r="N42" i="15"/>
  <c r="R41" i="15"/>
  <c r="T41" i="15" s="1"/>
  <c r="M42" i="15" s="1"/>
  <c r="K42" i="15" s="1"/>
  <c r="Q42" i="17"/>
  <c r="P42" i="17" s="1"/>
  <c r="R42" i="17" s="1"/>
  <c r="T42" i="17" s="1"/>
  <c r="M43" i="17" s="1"/>
  <c r="R72" i="20" l="1"/>
  <c r="P72" i="20"/>
  <c r="T72" i="20" s="1"/>
  <c r="U72" i="20" s="1"/>
  <c r="M73" i="20" s="1"/>
  <c r="Q73" i="20" s="1"/>
  <c r="R73" i="20" s="1"/>
  <c r="N120" i="20"/>
  <c r="Y121" i="20"/>
  <c r="J42" i="15"/>
  <c r="Q42" i="15" s="1"/>
  <c r="P42" i="15" s="1"/>
  <c r="O42" i="17"/>
  <c r="S42" i="17" s="1"/>
  <c r="L43" i="17" s="1"/>
  <c r="K43" i="17" s="1"/>
  <c r="R40" i="14"/>
  <c r="T40" i="14" s="1"/>
  <c r="M41" i="14" s="1"/>
  <c r="O40" i="14"/>
  <c r="S40" i="14" s="1"/>
  <c r="L41" i="14" s="1"/>
  <c r="K42" i="13"/>
  <c r="N42" i="13"/>
  <c r="O41" i="16"/>
  <c r="S41" i="16" s="1"/>
  <c r="L42" i="16" s="1"/>
  <c r="O73" i="20" l="1"/>
  <c r="S73" i="20" s="1"/>
  <c r="P73" i="20"/>
  <c r="T73" i="20" s="1"/>
  <c r="U73" i="20" s="1"/>
  <c r="M74" i="20" s="1"/>
  <c r="N43" i="17"/>
  <c r="J43" i="17" s="1"/>
  <c r="Q43" i="17" s="1"/>
  <c r="P43" i="17" s="1"/>
  <c r="N121" i="20"/>
  <c r="Y122" i="20"/>
  <c r="O42" i="15"/>
  <c r="S42" i="15" s="1"/>
  <c r="L43" i="15" s="1"/>
  <c r="N43" i="15" s="1"/>
  <c r="R42" i="15"/>
  <c r="T42" i="15" s="1"/>
  <c r="M43" i="15" s="1"/>
  <c r="J42" i="13"/>
  <c r="N42" i="16"/>
  <c r="K42" i="16"/>
  <c r="N41" i="14"/>
  <c r="K41" i="14"/>
  <c r="O74" i="20" l="1"/>
  <c r="S74" i="20" s="1"/>
  <c r="Q74" i="20"/>
  <c r="R74" i="20" s="1"/>
  <c r="N122" i="20"/>
  <c r="Y123" i="20"/>
  <c r="K43" i="15"/>
  <c r="J43" i="15" s="1"/>
  <c r="Q43" i="15" s="1"/>
  <c r="P43" i="15" s="1"/>
  <c r="R43" i="15" s="1"/>
  <c r="T43" i="15" s="1"/>
  <c r="M44" i="15" s="1"/>
  <c r="O43" i="17"/>
  <c r="S43" i="17" s="1"/>
  <c r="L44" i="17" s="1"/>
  <c r="N44" i="17" s="1"/>
  <c r="R43" i="17"/>
  <c r="T43" i="17" s="1"/>
  <c r="M44" i="17" s="1"/>
  <c r="J42" i="16"/>
  <c r="Q42" i="16" s="1"/>
  <c r="Q42" i="13"/>
  <c r="J41" i="14"/>
  <c r="P74" i="20" l="1"/>
  <c r="T74" i="20" s="1"/>
  <c r="U74" i="20" s="1"/>
  <c r="M75" i="20" s="1"/>
  <c r="Y124" i="20"/>
  <c r="N123" i="20"/>
  <c r="K44" i="17"/>
  <c r="J44" i="17" s="1"/>
  <c r="Q44" i="17" s="1"/>
  <c r="P44" i="17" s="1"/>
  <c r="R44" i="17" s="1"/>
  <c r="T44" i="17" s="1"/>
  <c r="M45" i="17" s="1"/>
  <c r="P42" i="16"/>
  <c r="R42" i="16" s="1"/>
  <c r="T42" i="16" s="1"/>
  <c r="M43" i="16" s="1"/>
  <c r="Q41" i="14"/>
  <c r="P41" i="14" s="1"/>
  <c r="R41" i="14" s="1"/>
  <c r="T41" i="14" s="1"/>
  <c r="M42" i="14" s="1"/>
  <c r="P42" i="13"/>
  <c r="R42" i="13" s="1"/>
  <c r="T42" i="13" s="1"/>
  <c r="M43" i="13" s="1"/>
  <c r="O43" i="15"/>
  <c r="S43" i="15" s="1"/>
  <c r="L44" i="15" s="1"/>
  <c r="Q75" i="20" l="1"/>
  <c r="P75" i="20" s="1"/>
  <c r="O75" i="20"/>
  <c r="S75" i="20" s="1"/>
  <c r="N124" i="20"/>
  <c r="Y125" i="20"/>
  <c r="O42" i="13"/>
  <c r="S42" i="13" s="1"/>
  <c r="L43" i="13" s="1"/>
  <c r="K43" i="13" s="1"/>
  <c r="O41" i="14"/>
  <c r="S41" i="14" s="1"/>
  <c r="L42" i="14" s="1"/>
  <c r="N42" i="14" s="1"/>
  <c r="O42" i="16"/>
  <c r="S42" i="16" s="1"/>
  <c r="L43" i="16" s="1"/>
  <c r="O44" i="17"/>
  <c r="S44" i="17" s="1"/>
  <c r="L45" i="17" s="1"/>
  <c r="K44" i="15"/>
  <c r="N44" i="15"/>
  <c r="T75" i="20" l="1"/>
  <c r="U75" i="20" s="1"/>
  <c r="N125" i="20"/>
  <c r="Y126" i="20"/>
  <c r="K42" i="14"/>
  <c r="J42" i="14" s="1"/>
  <c r="Q42" i="14" s="1"/>
  <c r="P42" i="14" s="1"/>
  <c r="R42" i="14" s="1"/>
  <c r="T42" i="14" s="1"/>
  <c r="M43" i="14" s="1"/>
  <c r="N43" i="13"/>
  <c r="J43" i="13" s="1"/>
  <c r="N43" i="16"/>
  <c r="K43" i="16"/>
  <c r="N45" i="17"/>
  <c r="K45" i="17"/>
  <c r="J44" i="15"/>
  <c r="M76" i="20" l="1"/>
  <c r="V75" i="20"/>
  <c r="R75" i="20" s="1"/>
  <c r="N126" i="20"/>
  <c r="Y127" i="20"/>
  <c r="J43" i="16"/>
  <c r="Q43" i="16" s="1"/>
  <c r="P43" i="16" s="1"/>
  <c r="R43" i="16" s="1"/>
  <c r="T43" i="16" s="1"/>
  <c r="M44" i="16" s="1"/>
  <c r="J45" i="17"/>
  <c r="Q45" i="17" s="1"/>
  <c r="P45" i="17" s="1"/>
  <c r="Q44" i="15"/>
  <c r="Q43" i="13"/>
  <c r="P43" i="13" s="1"/>
  <c r="R43" i="13" s="1"/>
  <c r="T43" i="13" s="1"/>
  <c r="M44" i="13" s="1"/>
  <c r="O42" i="14"/>
  <c r="S42" i="14" s="1"/>
  <c r="L43" i="14" s="1"/>
  <c r="Q76" i="20" l="1"/>
  <c r="R76" i="20" s="1"/>
  <c r="O76" i="20"/>
  <c r="S76" i="20" s="1"/>
  <c r="O43" i="16"/>
  <c r="S43" i="16" s="1"/>
  <c r="L44" i="16" s="1"/>
  <c r="N44" i="16" s="1"/>
  <c r="N127" i="20"/>
  <c r="Y128" i="20"/>
  <c r="R45" i="17"/>
  <c r="T45" i="17" s="1"/>
  <c r="M46" i="17" s="1"/>
  <c r="O45" i="17"/>
  <c r="S45" i="17" s="1"/>
  <c r="L46" i="17" s="1"/>
  <c r="O43" i="13"/>
  <c r="S43" i="13" s="1"/>
  <c r="L44" i="13" s="1"/>
  <c r="K44" i="13" s="1"/>
  <c r="N43" i="14"/>
  <c r="K43" i="14"/>
  <c r="P44" i="15"/>
  <c r="R44" i="15" s="1"/>
  <c r="T44" i="15" s="1"/>
  <c r="M45" i="15" s="1"/>
  <c r="P76" i="20" l="1"/>
  <c r="T76" i="20" s="1"/>
  <c r="U76" i="20" s="1"/>
  <c r="M77" i="20" s="1"/>
  <c r="O77" i="20"/>
  <c r="S77" i="20" s="1"/>
  <c r="Q77" i="20"/>
  <c r="R77" i="20" s="1"/>
  <c r="K44" i="16"/>
  <c r="J44" i="16" s="1"/>
  <c r="Q44" i="16" s="1"/>
  <c r="P44" i="16" s="1"/>
  <c r="R44" i="16" s="1"/>
  <c r="T44" i="16" s="1"/>
  <c r="M45" i="16" s="1"/>
  <c r="Y129" i="20"/>
  <c r="N128" i="20"/>
  <c r="N44" i="13"/>
  <c r="J44" i="13" s="1"/>
  <c r="K46" i="17"/>
  <c r="J43" i="14"/>
  <c r="Q43" i="14" s="1"/>
  <c r="P43" i="14" s="1"/>
  <c r="R43" i="14" s="1"/>
  <c r="T43" i="14" s="1"/>
  <c r="M44" i="14" s="1"/>
  <c r="N46" i="17"/>
  <c r="O44" i="15"/>
  <c r="S44" i="15" s="1"/>
  <c r="L45" i="15" s="1"/>
  <c r="P77" i="20" l="1"/>
  <c r="T77" i="20" s="1"/>
  <c r="U77" i="20" s="1"/>
  <c r="M78" i="20" s="1"/>
  <c r="O44" i="16"/>
  <c r="S44" i="16" s="1"/>
  <c r="L45" i="16" s="1"/>
  <c r="N45" i="16" s="1"/>
  <c r="J46" i="17"/>
  <c r="Q46" i="17" s="1"/>
  <c r="P46" i="17" s="1"/>
  <c r="R46" i="17" s="1"/>
  <c r="T46" i="17" s="1"/>
  <c r="M47" i="17" s="1"/>
  <c r="N129" i="20"/>
  <c r="Y130" i="20"/>
  <c r="O43" i="14"/>
  <c r="S43" i="14" s="1"/>
  <c r="L44" i="14" s="1"/>
  <c r="N44" i="14" s="1"/>
  <c r="Q44" i="13"/>
  <c r="P44" i="13" s="1"/>
  <c r="K45" i="15"/>
  <c r="N45" i="15"/>
  <c r="O78" i="20" l="1"/>
  <c r="S78" i="20" s="1"/>
  <c r="Q78" i="20"/>
  <c r="R78" i="20" s="1"/>
  <c r="K45" i="16"/>
  <c r="J45" i="16" s="1"/>
  <c r="Q45" i="16" s="1"/>
  <c r="N130" i="20"/>
  <c r="Y131" i="20"/>
  <c r="K44" i="14"/>
  <c r="J44" i="14" s="1"/>
  <c r="Q44" i="14" s="1"/>
  <c r="P44" i="14" s="1"/>
  <c r="R44" i="14" s="1"/>
  <c r="T44" i="14" s="1"/>
  <c r="M45" i="14" s="1"/>
  <c r="R44" i="13"/>
  <c r="T44" i="13" s="1"/>
  <c r="M45" i="13" s="1"/>
  <c r="O44" i="13"/>
  <c r="S44" i="13" s="1"/>
  <c r="L45" i="13" s="1"/>
  <c r="O46" i="17"/>
  <c r="S46" i="17" s="1"/>
  <c r="L47" i="17" s="1"/>
  <c r="J45" i="15"/>
  <c r="P78" i="20" l="1"/>
  <c r="T78" i="20" s="1"/>
  <c r="U78" i="20" s="1"/>
  <c r="M79" i="20" s="1"/>
  <c r="Y132" i="20"/>
  <c r="N131" i="20"/>
  <c r="O44" i="14"/>
  <c r="S44" i="14" s="1"/>
  <c r="L45" i="14" s="1"/>
  <c r="K45" i="13"/>
  <c r="N45" i="13"/>
  <c r="P45" i="16"/>
  <c r="R45" i="16" s="1"/>
  <c r="T45" i="16" s="1"/>
  <c r="M46" i="16" s="1"/>
  <c r="Q45" i="15"/>
  <c r="N47" i="17"/>
  <c r="K47" i="17"/>
  <c r="Q79" i="20" l="1"/>
  <c r="R79" i="20" s="1"/>
  <c r="P79" i="20"/>
  <c r="O79" i="20"/>
  <c r="S79" i="20" s="1"/>
  <c r="Y133" i="20"/>
  <c r="N132" i="20"/>
  <c r="J47" i="17"/>
  <c r="Q47" i="17" s="1"/>
  <c r="P47" i="17" s="1"/>
  <c r="P45" i="15"/>
  <c r="R45" i="15" s="1"/>
  <c r="T45" i="15" s="1"/>
  <c r="M46" i="15" s="1"/>
  <c r="J45" i="13"/>
  <c r="N45" i="14"/>
  <c r="K45" i="14"/>
  <c r="O45" i="16"/>
  <c r="S45" i="16" s="1"/>
  <c r="L46" i="16" s="1"/>
  <c r="T79" i="20" l="1"/>
  <c r="U79" i="20" s="1"/>
  <c r="M80" i="20" s="1"/>
  <c r="Y134" i="20"/>
  <c r="N133" i="20"/>
  <c r="J45" i="14"/>
  <c r="Q45" i="14" s="1"/>
  <c r="P45" i="14" s="1"/>
  <c r="R45" i="14" s="1"/>
  <c r="T45" i="14" s="1"/>
  <c r="M46" i="14" s="1"/>
  <c r="O45" i="15"/>
  <c r="S45" i="15" s="1"/>
  <c r="L46" i="15" s="1"/>
  <c r="R47" i="17"/>
  <c r="T47" i="17" s="1"/>
  <c r="M48" i="17" s="1"/>
  <c r="O47" i="17"/>
  <c r="S47" i="17" s="1"/>
  <c r="L48" i="17" s="1"/>
  <c r="N46" i="16"/>
  <c r="K46" i="16"/>
  <c r="Q45" i="13"/>
  <c r="P45" i="13" s="1"/>
  <c r="R45" i="13" s="1"/>
  <c r="T45" i="13" s="1"/>
  <c r="M46" i="13" s="1"/>
  <c r="Q80" i="20" l="1"/>
  <c r="R80" i="20" s="1"/>
  <c r="O80" i="20"/>
  <c r="S80" i="20" s="1"/>
  <c r="N134" i="20"/>
  <c r="Y135" i="20"/>
  <c r="J46" i="16"/>
  <c r="Q46" i="16" s="1"/>
  <c r="P46" i="16" s="1"/>
  <c r="R46" i="16" s="1"/>
  <c r="T46" i="16" s="1"/>
  <c r="M47" i="16" s="1"/>
  <c r="O45" i="13"/>
  <c r="S45" i="13" s="1"/>
  <c r="L46" i="13" s="1"/>
  <c r="N46" i="13" s="1"/>
  <c r="O45" i="14"/>
  <c r="S45" i="14" s="1"/>
  <c r="L46" i="14" s="1"/>
  <c r="N46" i="14" s="1"/>
  <c r="N46" i="15"/>
  <c r="K46" i="15"/>
  <c r="K48" i="17"/>
  <c r="N48" i="17"/>
  <c r="P80" i="20" l="1"/>
  <c r="T80" i="20" s="1"/>
  <c r="U80" i="20" s="1"/>
  <c r="M81" i="20" s="1"/>
  <c r="O81" i="20"/>
  <c r="S81" i="20" s="1"/>
  <c r="Q81" i="20"/>
  <c r="R81" i="20" s="1"/>
  <c r="P81" i="20"/>
  <c r="T81" i="20" s="1"/>
  <c r="U81" i="20" s="1"/>
  <c r="M82" i="20" s="1"/>
  <c r="Y136" i="20"/>
  <c r="N135" i="20"/>
  <c r="K46" i="14"/>
  <c r="J46" i="14" s="1"/>
  <c r="Q46" i="14" s="1"/>
  <c r="J46" i="15"/>
  <c r="Q46" i="15" s="1"/>
  <c r="P46" i="15" s="1"/>
  <c r="R46" i="15" s="1"/>
  <c r="T46" i="15" s="1"/>
  <c r="M47" i="15" s="1"/>
  <c r="K46" i="13"/>
  <c r="J46" i="13" s="1"/>
  <c r="J48" i="17"/>
  <c r="O46" i="16"/>
  <c r="S46" i="16" s="1"/>
  <c r="L47" i="16" s="1"/>
  <c r="Q82" i="20" l="1"/>
  <c r="R82" i="20" s="1"/>
  <c r="P82" i="20"/>
  <c r="O82" i="20"/>
  <c r="S82" i="20" s="1"/>
  <c r="N136" i="20"/>
  <c r="Y137" i="20"/>
  <c r="O46" i="15"/>
  <c r="S46" i="15" s="1"/>
  <c r="L47" i="15" s="1"/>
  <c r="K47" i="16"/>
  <c r="N47" i="16"/>
  <c r="P46" i="14"/>
  <c r="R46" i="14" s="1"/>
  <c r="T46" i="14" s="1"/>
  <c r="M47" i="14" s="1"/>
  <c r="Q46" i="13"/>
  <c r="Q48" i="17"/>
  <c r="P48" i="17" s="1"/>
  <c r="R48" i="17" s="1"/>
  <c r="T48" i="17" s="1"/>
  <c r="M49" i="17" s="1"/>
  <c r="T82" i="20" l="1"/>
  <c r="U82" i="20" s="1"/>
  <c r="M83" i="20" s="1"/>
  <c r="N137" i="20"/>
  <c r="Y138" i="20"/>
  <c r="P46" i="13"/>
  <c r="R46" i="13" s="1"/>
  <c r="T46" i="13" s="1"/>
  <c r="M47" i="13" s="1"/>
  <c r="O48" i="17"/>
  <c r="S48" i="17" s="1"/>
  <c r="L49" i="17" s="1"/>
  <c r="N49" i="17" s="1"/>
  <c r="K47" i="15"/>
  <c r="N47" i="15"/>
  <c r="J47" i="16"/>
  <c r="O46" i="14"/>
  <c r="S46" i="14" s="1"/>
  <c r="L47" i="14" s="1"/>
  <c r="Q83" i="20" l="1"/>
  <c r="R83" i="20" s="1"/>
  <c r="O83" i="20"/>
  <c r="S83" i="20" s="1"/>
  <c r="P83" i="20"/>
  <c r="T83" i="20" s="1"/>
  <c r="U83" i="20" s="1"/>
  <c r="M84" i="20" s="1"/>
  <c r="Y139" i="20"/>
  <c r="N138" i="20"/>
  <c r="K49" i="17"/>
  <c r="J49" i="17" s="1"/>
  <c r="Q49" i="17" s="1"/>
  <c r="P49" i="17" s="1"/>
  <c r="R49" i="17" s="1"/>
  <c r="T49" i="17" s="1"/>
  <c r="M50" i="17" s="1"/>
  <c r="O46" i="13"/>
  <c r="S46" i="13" s="1"/>
  <c r="L47" i="13" s="1"/>
  <c r="J47" i="15"/>
  <c r="Q47" i="16"/>
  <c r="P47" i="16" s="1"/>
  <c r="R47" i="16" s="1"/>
  <c r="T47" i="16" s="1"/>
  <c r="M48" i="16" s="1"/>
  <c r="K47" i="14"/>
  <c r="N47" i="14"/>
  <c r="Q84" i="20" l="1"/>
  <c r="R84" i="20" s="1"/>
  <c r="O84" i="20"/>
  <c r="S84" i="20" s="1"/>
  <c r="Y140" i="20"/>
  <c r="N139" i="20"/>
  <c r="O49" i="17"/>
  <c r="S49" i="17" s="1"/>
  <c r="L50" i="17" s="1"/>
  <c r="K50" i="17" s="1"/>
  <c r="O47" i="16"/>
  <c r="S47" i="16" s="1"/>
  <c r="L48" i="16" s="1"/>
  <c r="N48" i="16" s="1"/>
  <c r="K47" i="13"/>
  <c r="N47" i="13"/>
  <c r="Q47" i="15"/>
  <c r="P47" i="15" s="1"/>
  <c r="R47" i="15" s="1"/>
  <c r="T47" i="15" s="1"/>
  <c r="M48" i="15" s="1"/>
  <c r="J47" i="14"/>
  <c r="P84" i="20" l="1"/>
  <c r="T84" i="20" s="1"/>
  <c r="U84" i="20" s="1"/>
  <c r="M85" i="20" s="1"/>
  <c r="N140" i="20"/>
  <c r="Y141" i="20"/>
  <c r="N50" i="17"/>
  <c r="J50" i="17" s="1"/>
  <c r="Q50" i="17" s="1"/>
  <c r="P50" i="17" s="1"/>
  <c r="R50" i="17" s="1"/>
  <c r="T50" i="17" s="1"/>
  <c r="M51" i="17" s="1"/>
  <c r="K48" i="16"/>
  <c r="J48" i="16" s="1"/>
  <c r="Q48" i="16" s="1"/>
  <c r="P48" i="16" s="1"/>
  <c r="R48" i="16" s="1"/>
  <c r="T48" i="16" s="1"/>
  <c r="M49" i="16" s="1"/>
  <c r="J47" i="13"/>
  <c r="O47" i="15"/>
  <c r="S47" i="15" s="1"/>
  <c r="L48" i="15" s="1"/>
  <c r="Q47" i="14"/>
  <c r="P47" i="14" s="1"/>
  <c r="R47" i="14" s="1"/>
  <c r="T47" i="14" s="1"/>
  <c r="M48" i="14" s="1"/>
  <c r="O85" i="20" l="1"/>
  <c r="S85" i="20" s="1"/>
  <c r="Q85" i="20"/>
  <c r="R85" i="20" s="1"/>
  <c r="N141" i="20"/>
  <c r="Y142" i="20"/>
  <c r="Q47" i="13"/>
  <c r="P47" i="13" s="1"/>
  <c r="R47" i="13" s="1"/>
  <c r="T47" i="13" s="1"/>
  <c r="M48" i="13" s="1"/>
  <c r="N48" i="15"/>
  <c r="K48" i="15"/>
  <c r="O50" i="17"/>
  <c r="S50" i="17" s="1"/>
  <c r="L51" i="17" s="1"/>
  <c r="N51" i="17" s="1"/>
  <c r="O47" i="14"/>
  <c r="S47" i="14" s="1"/>
  <c r="L48" i="14" s="1"/>
  <c r="O48" i="16"/>
  <c r="S48" i="16" s="1"/>
  <c r="L49" i="16" s="1"/>
  <c r="P85" i="20" l="1"/>
  <c r="T85" i="20" s="1"/>
  <c r="U85" i="20" s="1"/>
  <c r="M86" i="20" s="1"/>
  <c r="Y143" i="20"/>
  <c r="N142" i="20"/>
  <c r="J48" i="15"/>
  <c r="Q48" i="15" s="1"/>
  <c r="K51" i="17"/>
  <c r="J51" i="17" s="1"/>
  <c r="Q51" i="17" s="1"/>
  <c r="O47" i="13"/>
  <c r="S47" i="13" s="1"/>
  <c r="L48" i="13" s="1"/>
  <c r="N48" i="13" s="1"/>
  <c r="K48" i="14"/>
  <c r="N48" i="14"/>
  <c r="K49" i="16"/>
  <c r="N49" i="16"/>
  <c r="O86" i="20" l="1"/>
  <c r="S86" i="20" s="1"/>
  <c r="Q86" i="20"/>
  <c r="R86" i="20" s="1"/>
  <c r="K48" i="13"/>
  <c r="J48" i="13" s="1"/>
  <c r="Q48" i="13" s="1"/>
  <c r="P48" i="13" s="1"/>
  <c r="R48" i="13" s="1"/>
  <c r="T48" i="13" s="1"/>
  <c r="M49" i="13" s="1"/>
  <c r="N143" i="20"/>
  <c r="Y144" i="20"/>
  <c r="P48" i="15"/>
  <c r="R48" i="15" s="1"/>
  <c r="T48" i="15" s="1"/>
  <c r="M49" i="15" s="1"/>
  <c r="P51" i="17"/>
  <c r="R51" i="17" s="1"/>
  <c r="T51" i="17" s="1"/>
  <c r="M52" i="17" s="1"/>
  <c r="J49" i="16"/>
  <c r="J48" i="14"/>
  <c r="P86" i="20" l="1"/>
  <c r="T86" i="20" s="1"/>
  <c r="U86" i="20" s="1"/>
  <c r="M87" i="20" s="1"/>
  <c r="O48" i="15"/>
  <c r="S48" i="15" s="1"/>
  <c r="L49" i="15" s="1"/>
  <c r="N49" i="15" s="1"/>
  <c r="N144" i="20"/>
  <c r="Y145" i="20"/>
  <c r="O51" i="17"/>
  <c r="S51" i="17" s="1"/>
  <c r="L52" i="17" s="1"/>
  <c r="Q48" i="14"/>
  <c r="P48" i="14" s="1"/>
  <c r="Q49" i="16"/>
  <c r="P49" i="16" s="1"/>
  <c r="R49" i="16" s="1"/>
  <c r="T49" i="16" s="1"/>
  <c r="M50" i="16" s="1"/>
  <c r="O48" i="13"/>
  <c r="S48" i="13" s="1"/>
  <c r="L49" i="13" s="1"/>
  <c r="O87" i="20" l="1"/>
  <c r="S87" i="20" s="1"/>
  <c r="Q87" i="20"/>
  <c r="R87" i="20" s="1"/>
  <c r="K49" i="15"/>
  <c r="J49" i="15" s="1"/>
  <c r="Q49" i="15" s="1"/>
  <c r="Y146" i="20"/>
  <c r="N145" i="20"/>
  <c r="N52" i="17"/>
  <c r="K52" i="17"/>
  <c r="O49" i="16"/>
  <c r="S49" i="16" s="1"/>
  <c r="L50" i="16" s="1"/>
  <c r="N50" i="16" s="1"/>
  <c r="R48" i="14"/>
  <c r="T48" i="14" s="1"/>
  <c r="M49" i="14" s="1"/>
  <c r="O48" i="14"/>
  <c r="S48" i="14" s="1"/>
  <c r="L49" i="14" s="1"/>
  <c r="K49" i="13"/>
  <c r="N49" i="13"/>
  <c r="P87" i="20" l="1"/>
  <c r="T87" i="20" s="1"/>
  <c r="U87" i="20" s="1"/>
  <c r="M88" i="20" s="1"/>
  <c r="P49" i="15"/>
  <c r="R49" i="15" s="1"/>
  <c r="T49" i="15" s="1"/>
  <c r="M50" i="15" s="1"/>
  <c r="Y147" i="20"/>
  <c r="N146" i="20"/>
  <c r="J52" i="17"/>
  <c r="J49" i="13"/>
  <c r="Q49" i="13" s="1"/>
  <c r="P49" i="13" s="1"/>
  <c r="O49" i="13" s="1"/>
  <c r="S49" i="13" s="1"/>
  <c r="L50" i="13" s="1"/>
  <c r="K50" i="16"/>
  <c r="J50" i="16" s="1"/>
  <c r="Q50" i="16" s="1"/>
  <c r="K49" i="14"/>
  <c r="N49" i="14"/>
  <c r="O88" i="20" l="1"/>
  <c r="S88" i="20" s="1"/>
  <c r="Q88" i="20"/>
  <c r="P88" i="20" s="1"/>
  <c r="T88" i="20" s="1"/>
  <c r="U88" i="20" s="1"/>
  <c r="O49" i="15"/>
  <c r="S49" i="15" s="1"/>
  <c r="L50" i="15" s="1"/>
  <c r="N50" i="15" s="1"/>
  <c r="Y148" i="20"/>
  <c r="N147" i="20"/>
  <c r="Q52" i="17"/>
  <c r="P52" i="17" s="1"/>
  <c r="R52" i="17" s="1"/>
  <c r="T52" i="17" s="1"/>
  <c r="M53" i="17" s="1"/>
  <c r="R49" i="13"/>
  <c r="T49" i="13" s="1"/>
  <c r="M50" i="13" s="1"/>
  <c r="K50" i="13" s="1"/>
  <c r="P50" i="16"/>
  <c r="R50" i="16" s="1"/>
  <c r="T50" i="16" s="1"/>
  <c r="M51" i="16" s="1"/>
  <c r="N50" i="13"/>
  <c r="J49" i="14"/>
  <c r="M89" i="20" l="1"/>
  <c r="V88" i="20"/>
  <c r="R88" i="20" s="1"/>
  <c r="K50" i="15"/>
  <c r="J50" i="15" s="1"/>
  <c r="Q50" i="15" s="1"/>
  <c r="P50" i="15" s="1"/>
  <c r="R50" i="15" s="1"/>
  <c r="T50" i="15" s="1"/>
  <c r="M51" i="15" s="1"/>
  <c r="N148" i="20"/>
  <c r="Y149" i="20"/>
  <c r="O52" i="17"/>
  <c r="S52" i="17" s="1"/>
  <c r="L53" i="17" s="1"/>
  <c r="O50" i="16"/>
  <c r="S50" i="16" s="1"/>
  <c r="L51" i="16" s="1"/>
  <c r="Q49" i="14"/>
  <c r="J50" i="13"/>
  <c r="O50" i="15" l="1"/>
  <c r="S50" i="15" s="1"/>
  <c r="L51" i="15" s="1"/>
  <c r="N51" i="15" s="1"/>
  <c r="O89" i="20"/>
  <c r="S89" i="20" s="1"/>
  <c r="Q89" i="20"/>
  <c r="R89" i="20" s="1"/>
  <c r="N149" i="20"/>
  <c r="Y150" i="20"/>
  <c r="K53" i="17"/>
  <c r="N53" i="17"/>
  <c r="K51" i="16"/>
  <c r="N51" i="16"/>
  <c r="P49" i="14"/>
  <c r="R49" i="14" s="1"/>
  <c r="T49" i="14" s="1"/>
  <c r="M50" i="14" s="1"/>
  <c r="Q50" i="13"/>
  <c r="K51" i="15" l="1"/>
  <c r="J51" i="15" s="1"/>
  <c r="Q51" i="15" s="1"/>
  <c r="P51" i="15" s="1"/>
  <c r="R51" i="15" s="1"/>
  <c r="T51" i="15" s="1"/>
  <c r="M52" i="15" s="1"/>
  <c r="P89" i="20"/>
  <c r="T89" i="20" s="1"/>
  <c r="U89" i="20" s="1"/>
  <c r="M90" i="20" s="1"/>
  <c r="Y151" i="20"/>
  <c r="N150" i="20"/>
  <c r="J53" i="17"/>
  <c r="P50" i="13"/>
  <c r="R50" i="13" s="1"/>
  <c r="T50" i="13" s="1"/>
  <c r="M51" i="13" s="1"/>
  <c r="O49" i="14"/>
  <c r="S49" i="14" s="1"/>
  <c r="L50" i="14" s="1"/>
  <c r="N50" i="14" s="1"/>
  <c r="J51" i="16"/>
  <c r="O51" i="15" l="1"/>
  <c r="S51" i="15" s="1"/>
  <c r="L52" i="15" s="1"/>
  <c r="K52" i="15" s="1"/>
  <c r="O90" i="20"/>
  <c r="S90" i="20" s="1"/>
  <c r="Q90" i="20"/>
  <c r="R90" i="20" s="1"/>
  <c r="N151" i="20"/>
  <c r="Y152" i="20"/>
  <c r="Q53" i="17"/>
  <c r="P53" i="17" s="1"/>
  <c r="R53" i="17" s="1"/>
  <c r="T53" i="17" s="1"/>
  <c r="M54" i="17" s="1"/>
  <c r="K50" i="14"/>
  <c r="J50" i="14" s="1"/>
  <c r="Q50" i="14" s="1"/>
  <c r="P50" i="14" s="1"/>
  <c r="O50" i="13"/>
  <c r="S50" i="13" s="1"/>
  <c r="L51" i="13" s="1"/>
  <c r="Q51" i="16"/>
  <c r="N52" i="15" l="1"/>
  <c r="J52" i="15" s="1"/>
  <c r="P90" i="20"/>
  <c r="T90" i="20" s="1"/>
  <c r="U90" i="20" s="1"/>
  <c r="M91" i="20" s="1"/>
  <c r="N152" i="20"/>
  <c r="Y153" i="20"/>
  <c r="O53" i="17"/>
  <c r="S53" i="17" s="1"/>
  <c r="L54" i="17" s="1"/>
  <c r="N54" i="17" s="1"/>
  <c r="K51" i="13"/>
  <c r="N51" i="13"/>
  <c r="P51" i="16"/>
  <c r="R51" i="16" s="1"/>
  <c r="T51" i="16" s="1"/>
  <c r="M52" i="16" s="1"/>
  <c r="R50" i="14"/>
  <c r="T50" i="14" s="1"/>
  <c r="M51" i="14" s="1"/>
  <c r="O50" i="14"/>
  <c r="S50" i="14" s="1"/>
  <c r="L51" i="14" s="1"/>
  <c r="O91" i="20" l="1"/>
  <c r="S91" i="20" s="1"/>
  <c r="Q91" i="20"/>
  <c r="R91" i="20" s="1"/>
  <c r="Y154" i="20"/>
  <c r="N153" i="20"/>
  <c r="K54" i="17"/>
  <c r="J54" i="17" s="1"/>
  <c r="J51" i="13"/>
  <c r="O51" i="16"/>
  <c r="S51" i="16" s="1"/>
  <c r="L52" i="16" s="1"/>
  <c r="Q52" i="15"/>
  <c r="P52" i="15" s="1"/>
  <c r="R52" i="15" s="1"/>
  <c r="T52" i="15" s="1"/>
  <c r="M53" i="15" s="1"/>
  <c r="N51" i="14"/>
  <c r="K51" i="14"/>
  <c r="P91" i="20" l="1"/>
  <c r="T91" i="20" s="1"/>
  <c r="U91" i="20" s="1"/>
  <c r="M92" i="20" s="1"/>
  <c r="Y155" i="20"/>
  <c r="N154" i="20"/>
  <c r="Q54" i="17"/>
  <c r="P54" i="17" s="1"/>
  <c r="R54" i="17" s="1"/>
  <c r="T54" i="17" s="1"/>
  <c r="M55" i="17" s="1"/>
  <c r="J51" i="14"/>
  <c r="Q51" i="14" s="1"/>
  <c r="P51" i="14" s="1"/>
  <c r="R51" i="14" s="1"/>
  <c r="T51" i="14" s="1"/>
  <c r="M52" i="14" s="1"/>
  <c r="Q51" i="13"/>
  <c r="P51" i="13" s="1"/>
  <c r="K52" i="16"/>
  <c r="N52" i="16"/>
  <c r="O52" i="15"/>
  <c r="S52" i="15" s="1"/>
  <c r="L53" i="15" s="1"/>
  <c r="O92" i="20" l="1"/>
  <c r="S92" i="20" s="1"/>
  <c r="Q92" i="20"/>
  <c r="R92" i="20" s="1"/>
  <c r="N155" i="20"/>
  <c r="Y156" i="20"/>
  <c r="O54" i="17"/>
  <c r="S54" i="17" s="1"/>
  <c r="L55" i="17" s="1"/>
  <c r="K55" i="17" s="1"/>
  <c r="R51" i="13"/>
  <c r="T51" i="13" s="1"/>
  <c r="M52" i="13" s="1"/>
  <c r="O51" i="13"/>
  <c r="S51" i="13" s="1"/>
  <c r="L52" i="13" s="1"/>
  <c r="N52" i="13" s="1"/>
  <c r="J52" i="16"/>
  <c r="O51" i="14"/>
  <c r="S51" i="14" s="1"/>
  <c r="L52" i="14" s="1"/>
  <c r="N52" i="14" s="1"/>
  <c r="N53" i="15"/>
  <c r="K53" i="15"/>
  <c r="P92" i="20" l="1"/>
  <c r="T92" i="20" s="1"/>
  <c r="U92" i="20" s="1"/>
  <c r="M93" i="20" s="1"/>
  <c r="Y157" i="20"/>
  <c r="N156" i="20"/>
  <c r="N55" i="17"/>
  <c r="J55" i="17" s="1"/>
  <c r="J53" i="15"/>
  <c r="Q53" i="15" s="1"/>
  <c r="P53" i="15" s="1"/>
  <c r="O53" i="15" s="1"/>
  <c r="S53" i="15" s="1"/>
  <c r="L54" i="15" s="1"/>
  <c r="K52" i="13"/>
  <c r="J52" i="13" s="1"/>
  <c r="Q52" i="13" s="1"/>
  <c r="P52" i="13" s="1"/>
  <c r="R52" i="13" s="1"/>
  <c r="T52" i="13" s="1"/>
  <c r="M53" i="13" s="1"/>
  <c r="K52" i="14"/>
  <c r="J52" i="14" s="1"/>
  <c r="Q52" i="14" s="1"/>
  <c r="Q52" i="16"/>
  <c r="Q93" i="20" l="1"/>
  <c r="R93" i="20" s="1"/>
  <c r="O93" i="20"/>
  <c r="S93" i="20" s="1"/>
  <c r="P93" i="20"/>
  <c r="T93" i="20" s="1"/>
  <c r="U93" i="20" s="1"/>
  <c r="M94" i="20" s="1"/>
  <c r="Y158" i="20"/>
  <c r="N157" i="20"/>
  <c r="O52" i="13"/>
  <c r="S52" i="13" s="1"/>
  <c r="L53" i="13" s="1"/>
  <c r="K53" i="13" s="1"/>
  <c r="Q55" i="17"/>
  <c r="P55" i="17" s="1"/>
  <c r="R55" i="17" s="1"/>
  <c r="T55" i="17" s="1"/>
  <c r="M56" i="17" s="1"/>
  <c r="R53" i="15"/>
  <c r="T53" i="15" s="1"/>
  <c r="M54" i="15" s="1"/>
  <c r="K54" i="15" s="1"/>
  <c r="P52" i="16"/>
  <c r="R52" i="16" s="1"/>
  <c r="T52" i="16" s="1"/>
  <c r="M53" i="16" s="1"/>
  <c r="N54" i="15"/>
  <c r="P52" i="14"/>
  <c r="R52" i="14" s="1"/>
  <c r="T52" i="14" s="1"/>
  <c r="M53" i="14" s="1"/>
  <c r="Q94" i="20" l="1"/>
  <c r="R94" i="20" s="1"/>
  <c r="O94" i="20"/>
  <c r="S94" i="20" s="1"/>
  <c r="P94" i="20"/>
  <c r="Y159" i="20"/>
  <c r="N158" i="20"/>
  <c r="N53" i="13"/>
  <c r="J53" i="13" s="1"/>
  <c r="Q53" i="13" s="1"/>
  <c r="P53" i="13" s="1"/>
  <c r="O55" i="17"/>
  <c r="S55" i="17" s="1"/>
  <c r="L56" i="17" s="1"/>
  <c r="K56" i="17" s="1"/>
  <c r="J54" i="15"/>
  <c r="Q54" i="15" s="1"/>
  <c r="O52" i="16"/>
  <c r="S52" i="16" s="1"/>
  <c r="L53" i="16" s="1"/>
  <c r="O52" i="14"/>
  <c r="S52" i="14" s="1"/>
  <c r="L53" i="14" s="1"/>
  <c r="T94" i="20" l="1"/>
  <c r="U94" i="20" s="1"/>
  <c r="M95" i="20" s="1"/>
  <c r="Y160" i="20"/>
  <c r="N159" i="20"/>
  <c r="O53" i="13"/>
  <c r="S53" i="13" s="1"/>
  <c r="L54" i="13" s="1"/>
  <c r="N54" i="13" s="1"/>
  <c r="R53" i="13"/>
  <c r="T53" i="13" s="1"/>
  <c r="M54" i="13" s="1"/>
  <c r="N56" i="17"/>
  <c r="J56" i="17" s="1"/>
  <c r="K53" i="16"/>
  <c r="N53" i="16"/>
  <c r="P54" i="15"/>
  <c r="R54" i="15" s="1"/>
  <c r="T54" i="15" s="1"/>
  <c r="M55" i="15" s="1"/>
  <c r="N53" i="14"/>
  <c r="K53" i="14"/>
  <c r="O95" i="20" l="1"/>
  <c r="S95" i="20" s="1"/>
  <c r="Q95" i="20"/>
  <c r="R95" i="20" s="1"/>
  <c r="K54" i="13"/>
  <c r="J54" i="13" s="1"/>
  <c r="Q54" i="13" s="1"/>
  <c r="P54" i="13" s="1"/>
  <c r="R54" i="13" s="1"/>
  <c r="T54" i="13" s="1"/>
  <c r="M55" i="13" s="1"/>
  <c r="N160" i="20"/>
  <c r="Y161" i="20"/>
  <c r="Q56" i="17"/>
  <c r="P56" i="17" s="1"/>
  <c r="R56" i="17" s="1"/>
  <c r="T56" i="17" s="1"/>
  <c r="M57" i="17" s="1"/>
  <c r="J53" i="16"/>
  <c r="Q53" i="16" s="1"/>
  <c r="P53" i="16" s="1"/>
  <c r="R53" i="16" s="1"/>
  <c r="T53" i="16" s="1"/>
  <c r="M54" i="16" s="1"/>
  <c r="J53" i="14"/>
  <c r="Q53" i="14" s="1"/>
  <c r="P53" i="14" s="1"/>
  <c r="R53" i="14" s="1"/>
  <c r="T53" i="14" s="1"/>
  <c r="M54" i="14" s="1"/>
  <c r="O54" i="15"/>
  <c r="S54" i="15" s="1"/>
  <c r="L55" i="15" s="1"/>
  <c r="O54" i="13" l="1"/>
  <c r="S54" i="13" s="1"/>
  <c r="L55" i="13" s="1"/>
  <c r="K55" i="13" s="1"/>
  <c r="P95" i="20"/>
  <c r="T95" i="20" s="1"/>
  <c r="U95" i="20" s="1"/>
  <c r="M96" i="20" s="1"/>
  <c r="Y162" i="20"/>
  <c r="N161" i="20"/>
  <c r="O56" i="17"/>
  <c r="S56" i="17" s="1"/>
  <c r="L57" i="17" s="1"/>
  <c r="O53" i="16"/>
  <c r="S53" i="16" s="1"/>
  <c r="L54" i="16" s="1"/>
  <c r="O53" i="14"/>
  <c r="S53" i="14" s="1"/>
  <c r="L54" i="14" s="1"/>
  <c r="N55" i="15"/>
  <c r="K55" i="15"/>
  <c r="N55" i="13" l="1"/>
  <c r="J55" i="13" s="1"/>
  <c r="Q55" i="13" s="1"/>
  <c r="P55" i="13" s="1"/>
  <c r="O96" i="20"/>
  <c r="S96" i="20" s="1"/>
  <c r="Q96" i="20"/>
  <c r="R96" i="20" s="1"/>
  <c r="Y163" i="20"/>
  <c r="N162" i="20"/>
  <c r="J55" i="15"/>
  <c r="Q55" i="15" s="1"/>
  <c r="P55" i="15" s="1"/>
  <c r="N57" i="17"/>
  <c r="K57" i="17"/>
  <c r="N54" i="16"/>
  <c r="K54" i="16"/>
  <c r="K54" i="14"/>
  <c r="N54" i="14"/>
  <c r="P96" i="20" l="1"/>
  <c r="T96" i="20" s="1"/>
  <c r="U96" i="20" s="1"/>
  <c r="M97" i="20" s="1"/>
  <c r="O97" i="20"/>
  <c r="S97" i="20" s="1"/>
  <c r="Q97" i="20"/>
  <c r="R97" i="20" s="1"/>
  <c r="J57" i="17"/>
  <c r="Q57" i="17" s="1"/>
  <c r="P57" i="17" s="1"/>
  <c r="R57" i="17" s="1"/>
  <c r="T57" i="17" s="1"/>
  <c r="M58" i="17" s="1"/>
  <c r="Y164" i="20"/>
  <c r="N163" i="20"/>
  <c r="J54" i="16"/>
  <c r="Q54" i="16" s="1"/>
  <c r="P54" i="16" s="1"/>
  <c r="R54" i="16" s="1"/>
  <c r="T54" i="16" s="1"/>
  <c r="M55" i="16" s="1"/>
  <c r="J54" i="14"/>
  <c r="Q54" i="14" s="1"/>
  <c r="P54" i="14" s="1"/>
  <c r="R54" i="14" s="1"/>
  <c r="T54" i="14" s="1"/>
  <c r="M55" i="14" s="1"/>
  <c r="R55" i="15"/>
  <c r="T55" i="15" s="1"/>
  <c r="M56" i="15" s="1"/>
  <c r="O55" i="15"/>
  <c r="S55" i="15" s="1"/>
  <c r="L56" i="15" s="1"/>
  <c r="R55" i="13"/>
  <c r="T55" i="13" s="1"/>
  <c r="M56" i="13" s="1"/>
  <c r="O55" i="13"/>
  <c r="S55" i="13" s="1"/>
  <c r="L56" i="13" s="1"/>
  <c r="P97" i="20" l="1"/>
  <c r="T97" i="20" s="1"/>
  <c r="U97" i="20" s="1"/>
  <c r="M98" i="20" s="1"/>
  <c r="O57" i="17"/>
  <c r="S57" i="17" s="1"/>
  <c r="L58" i="17" s="1"/>
  <c r="K58" i="17" s="1"/>
  <c r="Y165" i="20"/>
  <c r="N164" i="20"/>
  <c r="O54" i="16"/>
  <c r="S54" i="16" s="1"/>
  <c r="L55" i="16" s="1"/>
  <c r="K55" i="16" s="1"/>
  <c r="O54" i="14"/>
  <c r="S54" i="14" s="1"/>
  <c r="L55" i="14" s="1"/>
  <c r="N55" i="14" s="1"/>
  <c r="N56" i="13"/>
  <c r="K56" i="13"/>
  <c r="N56" i="15"/>
  <c r="K56" i="15"/>
  <c r="Q98" i="20" l="1"/>
  <c r="R98" i="20" s="1"/>
  <c r="O98" i="20"/>
  <c r="S98" i="20" s="1"/>
  <c r="N58" i="17"/>
  <c r="J58" i="17" s="1"/>
  <c r="Q58" i="17" s="1"/>
  <c r="P58" i="17" s="1"/>
  <c r="R58" i="17" s="1"/>
  <c r="T58" i="17" s="1"/>
  <c r="M59" i="17" s="1"/>
  <c r="N165" i="20"/>
  <c r="Y166" i="20"/>
  <c r="N55" i="16"/>
  <c r="J55" i="16" s="1"/>
  <c r="K55" i="14"/>
  <c r="J55" i="14" s="1"/>
  <c r="Q55" i="14" s="1"/>
  <c r="P55" i="14" s="1"/>
  <c r="R55" i="14" s="1"/>
  <c r="T55" i="14" s="1"/>
  <c r="M56" i="14" s="1"/>
  <c r="J56" i="15"/>
  <c r="Q56" i="15" s="1"/>
  <c r="P56" i="15" s="1"/>
  <c r="R56" i="15" s="1"/>
  <c r="T56" i="15" s="1"/>
  <c r="M57" i="15" s="1"/>
  <c r="J56" i="13"/>
  <c r="Q56" i="13" s="1"/>
  <c r="P98" i="20" l="1"/>
  <c r="T98" i="20" s="1"/>
  <c r="U98" i="20" s="1"/>
  <c r="M99" i="20" s="1"/>
  <c r="O58" i="17"/>
  <c r="S58" i="17" s="1"/>
  <c r="L59" i="17" s="1"/>
  <c r="K59" i="17" s="1"/>
  <c r="Y167" i="20"/>
  <c r="N166" i="20"/>
  <c r="O55" i="14"/>
  <c r="S55" i="14" s="1"/>
  <c r="L56" i="14" s="1"/>
  <c r="K56" i="14" s="1"/>
  <c r="P56" i="13"/>
  <c r="R56" i="13" s="1"/>
  <c r="T56" i="13" s="1"/>
  <c r="M57" i="13" s="1"/>
  <c r="Q55" i="16"/>
  <c r="P55" i="16" s="1"/>
  <c r="R55" i="16" s="1"/>
  <c r="T55" i="16" s="1"/>
  <c r="M56" i="16" s="1"/>
  <c r="O56" i="15"/>
  <c r="S56" i="15" s="1"/>
  <c r="L57" i="15" s="1"/>
  <c r="Q99" i="20" l="1"/>
  <c r="P99" i="20" s="1"/>
  <c r="O99" i="20"/>
  <c r="S99" i="20" s="1"/>
  <c r="N59" i="17"/>
  <c r="J59" i="17" s="1"/>
  <c r="N167" i="20"/>
  <c r="Y168" i="20"/>
  <c r="N56" i="14"/>
  <c r="J56" i="14" s="1"/>
  <c r="O55" i="16"/>
  <c r="S55" i="16" s="1"/>
  <c r="L56" i="16" s="1"/>
  <c r="N56" i="16" s="1"/>
  <c r="O56" i="13"/>
  <c r="S56" i="13" s="1"/>
  <c r="L57" i="13" s="1"/>
  <c r="N57" i="15"/>
  <c r="K57" i="15"/>
  <c r="T99" i="20" l="1"/>
  <c r="U99" i="20" s="1"/>
  <c r="M100" i="20"/>
  <c r="V99" i="20"/>
  <c r="R99" i="20" s="1"/>
  <c r="N168" i="20"/>
  <c r="Y169" i="20"/>
  <c r="K56" i="16"/>
  <c r="J56" i="16" s="1"/>
  <c r="Q56" i="16" s="1"/>
  <c r="P56" i="16" s="1"/>
  <c r="R56" i="16" s="1"/>
  <c r="T56" i="16" s="1"/>
  <c r="M57" i="16" s="1"/>
  <c r="Q59" i="17"/>
  <c r="P59" i="17" s="1"/>
  <c r="R59" i="17" s="1"/>
  <c r="T59" i="17" s="1"/>
  <c r="M60" i="17" s="1"/>
  <c r="J57" i="15"/>
  <c r="Q57" i="15" s="1"/>
  <c r="N57" i="13"/>
  <c r="K57" i="13"/>
  <c r="Q56" i="14"/>
  <c r="P56" i="14" s="1"/>
  <c r="Q100" i="20" l="1"/>
  <c r="R100" i="20" s="1"/>
  <c r="O100" i="20"/>
  <c r="S100" i="20" s="1"/>
  <c r="P100" i="20"/>
  <c r="Y170" i="20"/>
  <c r="N169" i="20"/>
  <c r="O59" i="17"/>
  <c r="S59" i="17" s="1"/>
  <c r="L60" i="17" s="1"/>
  <c r="K60" i="17" s="1"/>
  <c r="O56" i="16"/>
  <c r="S56" i="16" s="1"/>
  <c r="L57" i="16" s="1"/>
  <c r="K57" i="16" s="1"/>
  <c r="J57" i="13"/>
  <c r="Q57" i="13" s="1"/>
  <c r="P57" i="13" s="1"/>
  <c r="R57" i="13" s="1"/>
  <c r="T57" i="13" s="1"/>
  <c r="M58" i="13" s="1"/>
  <c r="R56" i="14"/>
  <c r="T56" i="14" s="1"/>
  <c r="M57" i="14" s="1"/>
  <c r="O56" i="14"/>
  <c r="S56" i="14" s="1"/>
  <c r="L57" i="14" s="1"/>
  <c r="P57" i="15"/>
  <c r="R57" i="15" s="1"/>
  <c r="T57" i="15" s="1"/>
  <c r="M58" i="15" s="1"/>
  <c r="T100" i="20" l="1"/>
  <c r="U100" i="20" s="1"/>
  <c r="M101" i="20" s="1"/>
  <c r="Q101" i="20"/>
  <c r="R101" i="20" s="1"/>
  <c r="O101" i="20"/>
  <c r="S101" i="20" s="1"/>
  <c r="N60" i="17"/>
  <c r="J60" i="17" s="1"/>
  <c r="N170" i="20"/>
  <c r="Y171" i="20"/>
  <c r="N57" i="16"/>
  <c r="J57" i="16" s="1"/>
  <c r="Q57" i="16" s="1"/>
  <c r="P57" i="16" s="1"/>
  <c r="R57" i="16" s="1"/>
  <c r="T57" i="16" s="1"/>
  <c r="M58" i="16" s="1"/>
  <c r="O57" i="13"/>
  <c r="S57" i="13" s="1"/>
  <c r="L58" i="13" s="1"/>
  <c r="K57" i="14"/>
  <c r="N57" i="14"/>
  <c r="O57" i="15"/>
  <c r="S57" i="15" s="1"/>
  <c r="L58" i="15" s="1"/>
  <c r="P101" i="20" l="1"/>
  <c r="T101" i="20" s="1"/>
  <c r="U101" i="20" s="1"/>
  <c r="M102" i="20" s="1"/>
  <c r="O102" i="20" s="1"/>
  <c r="S102" i="20" s="1"/>
  <c r="O57" i="16"/>
  <c r="S57" i="16" s="1"/>
  <c r="L58" i="16" s="1"/>
  <c r="K58" i="16" s="1"/>
  <c r="Y172" i="20"/>
  <c r="N171" i="20"/>
  <c r="Q60" i="17"/>
  <c r="P60" i="17" s="1"/>
  <c r="R60" i="17" s="1"/>
  <c r="T60" i="17" s="1"/>
  <c r="M61" i="17" s="1"/>
  <c r="K58" i="13"/>
  <c r="N58" i="13"/>
  <c r="J57" i="14"/>
  <c r="K58" i="15"/>
  <c r="N58" i="15"/>
  <c r="Q102" i="20" l="1"/>
  <c r="R102" i="20" s="1"/>
  <c r="P102" i="20"/>
  <c r="T102" i="20" s="1"/>
  <c r="U102" i="20" s="1"/>
  <c r="M103" i="20" s="1"/>
  <c r="N58" i="16"/>
  <c r="J58" i="16" s="1"/>
  <c r="Q58" i="16" s="1"/>
  <c r="P58" i="16" s="1"/>
  <c r="R58" i="16" s="1"/>
  <c r="T58" i="16" s="1"/>
  <c r="M59" i="16" s="1"/>
  <c r="N172" i="20"/>
  <c r="Y173" i="20"/>
  <c r="O60" i="17"/>
  <c r="S60" i="17" s="1"/>
  <c r="L61" i="17" s="1"/>
  <c r="N61" i="17" s="1"/>
  <c r="J58" i="13"/>
  <c r="J58" i="15"/>
  <c r="Q58" i="15" s="1"/>
  <c r="Q57" i="14"/>
  <c r="P57" i="14" s="1"/>
  <c r="R57" i="14" s="1"/>
  <c r="T57" i="14" s="1"/>
  <c r="M58" i="14" s="1"/>
  <c r="O103" i="20" l="1"/>
  <c r="S103" i="20" s="1"/>
  <c r="Q103" i="20"/>
  <c r="R103" i="20" s="1"/>
  <c r="O58" i="16"/>
  <c r="S58" i="16" s="1"/>
  <c r="L59" i="16" s="1"/>
  <c r="N59" i="16" s="1"/>
  <c r="Y174" i="20"/>
  <c r="N173" i="20"/>
  <c r="K61" i="17"/>
  <c r="J61" i="17" s="1"/>
  <c r="Q61" i="17" s="1"/>
  <c r="P61" i="17" s="1"/>
  <c r="R61" i="17" s="1"/>
  <c r="T61" i="17" s="1"/>
  <c r="M62" i="17" s="1"/>
  <c r="Q58" i="13"/>
  <c r="P58" i="13" s="1"/>
  <c r="R58" i="13" s="1"/>
  <c r="T58" i="13" s="1"/>
  <c r="M59" i="13" s="1"/>
  <c r="O57" i="14"/>
  <c r="S57" i="14" s="1"/>
  <c r="L58" i="14" s="1"/>
  <c r="N58" i="14" s="1"/>
  <c r="P58" i="15"/>
  <c r="R58" i="15" s="1"/>
  <c r="T58" i="15" s="1"/>
  <c r="M59" i="15" s="1"/>
  <c r="P103" i="20" l="1"/>
  <c r="T103" i="20" s="1"/>
  <c r="U103" i="20" s="1"/>
  <c r="M104" i="20" s="1"/>
  <c r="O104" i="20" s="1"/>
  <c r="S104" i="20" s="1"/>
  <c r="Q104" i="20"/>
  <c r="R104" i="20" s="1"/>
  <c r="K59" i="16"/>
  <c r="J59" i="16" s="1"/>
  <c r="Q59" i="16" s="1"/>
  <c r="P59" i="16" s="1"/>
  <c r="R59" i="16" s="1"/>
  <c r="T59" i="16" s="1"/>
  <c r="M60" i="16" s="1"/>
  <c r="N174" i="20"/>
  <c r="Y175" i="20"/>
  <c r="O61" i="17"/>
  <c r="S61" i="17" s="1"/>
  <c r="L62" i="17" s="1"/>
  <c r="K62" i="17" s="1"/>
  <c r="K58" i="14"/>
  <c r="J58" i="14" s="1"/>
  <c r="O58" i="13"/>
  <c r="S58" i="13" s="1"/>
  <c r="L59" i="13" s="1"/>
  <c r="O58" i="15"/>
  <c r="S58" i="15" s="1"/>
  <c r="L59" i="15" s="1"/>
  <c r="P104" i="20" l="1"/>
  <c r="T104" i="20" s="1"/>
  <c r="U104" i="20" s="1"/>
  <c r="M105" i="20" s="1"/>
  <c r="O105" i="20" s="1"/>
  <c r="S105" i="20" s="1"/>
  <c r="N175" i="20"/>
  <c r="Y176" i="20"/>
  <c r="N62" i="17"/>
  <c r="J62" i="17" s="1"/>
  <c r="Q62" i="17" s="1"/>
  <c r="P62" i="17" s="1"/>
  <c r="R62" i="17" s="1"/>
  <c r="T62" i="17" s="1"/>
  <c r="M63" i="17" s="1"/>
  <c r="K59" i="13"/>
  <c r="N59" i="13"/>
  <c r="K59" i="15"/>
  <c r="N59" i="15"/>
  <c r="O59" i="16"/>
  <c r="S59" i="16" s="1"/>
  <c r="L60" i="16" s="1"/>
  <c r="Q58" i="14"/>
  <c r="Q105" i="20" l="1"/>
  <c r="R105" i="20" s="1"/>
  <c r="P105" i="20"/>
  <c r="T105" i="20" s="1"/>
  <c r="U105" i="20" s="1"/>
  <c r="M106" i="20" s="1"/>
  <c r="Y177" i="20"/>
  <c r="N176" i="20"/>
  <c r="O62" i="17"/>
  <c r="S62" i="17" s="1"/>
  <c r="L63" i="17" s="1"/>
  <c r="K63" i="17" s="1"/>
  <c r="J59" i="13"/>
  <c r="Q59" i="13" s="1"/>
  <c r="P59" i="13" s="1"/>
  <c r="R59" i="13" s="1"/>
  <c r="T59" i="13" s="1"/>
  <c r="M60" i="13" s="1"/>
  <c r="P58" i="14"/>
  <c r="R58" i="14" s="1"/>
  <c r="T58" i="14" s="1"/>
  <c r="M59" i="14" s="1"/>
  <c r="J59" i="15"/>
  <c r="K60" i="16"/>
  <c r="N60" i="16"/>
  <c r="Q106" i="20" l="1"/>
  <c r="R106" i="20" s="1"/>
  <c r="O106" i="20"/>
  <c r="S106" i="20" s="1"/>
  <c r="Y178" i="20"/>
  <c r="N177" i="20"/>
  <c r="N63" i="17"/>
  <c r="J63" i="17" s="1"/>
  <c r="Q63" i="17" s="1"/>
  <c r="P63" i="17" s="1"/>
  <c r="R63" i="17" s="1"/>
  <c r="T63" i="17" s="1"/>
  <c r="M64" i="17" s="1"/>
  <c r="O59" i="13"/>
  <c r="S59" i="13" s="1"/>
  <c r="L60" i="13" s="1"/>
  <c r="K60" i="13" s="1"/>
  <c r="Q59" i="15"/>
  <c r="P59" i="15" s="1"/>
  <c r="J60" i="16"/>
  <c r="O58" i="14"/>
  <c r="S58" i="14" s="1"/>
  <c r="L59" i="14" s="1"/>
  <c r="P106" i="20" l="1"/>
  <c r="T106" i="20" s="1"/>
  <c r="U106" i="20" s="1"/>
  <c r="M107" i="20" s="1"/>
  <c r="Q107" i="20"/>
  <c r="R107" i="20" s="1"/>
  <c r="O107" i="20"/>
  <c r="S107" i="20" s="1"/>
  <c r="Y179" i="20"/>
  <c r="N178" i="20"/>
  <c r="O63" i="17"/>
  <c r="S63" i="17" s="1"/>
  <c r="L64" i="17" s="1"/>
  <c r="N60" i="13"/>
  <c r="J60" i="13" s="1"/>
  <c r="Q60" i="13" s="1"/>
  <c r="P60" i="13" s="1"/>
  <c r="R60" i="13" s="1"/>
  <c r="T60" i="13" s="1"/>
  <c r="M61" i="13" s="1"/>
  <c r="R59" i="15"/>
  <c r="T59" i="15" s="1"/>
  <c r="M60" i="15" s="1"/>
  <c r="O59" i="15"/>
  <c r="S59" i="15" s="1"/>
  <c r="L60" i="15" s="1"/>
  <c r="N59" i="14"/>
  <c r="K59" i="14"/>
  <c r="Q60" i="16"/>
  <c r="P60" i="16" s="1"/>
  <c r="R60" i="16" s="1"/>
  <c r="T60" i="16" s="1"/>
  <c r="M61" i="16" s="1"/>
  <c r="P107" i="20" l="1"/>
  <c r="T107" i="20" s="1"/>
  <c r="U107" i="20" s="1"/>
  <c r="M108" i="20" s="1"/>
  <c r="Y180" i="20"/>
  <c r="N179" i="20"/>
  <c r="J59" i="14"/>
  <c r="Q59" i="14" s="1"/>
  <c r="P59" i="14" s="1"/>
  <c r="R59" i="14" s="1"/>
  <c r="T59" i="14" s="1"/>
  <c r="M60" i="14" s="1"/>
  <c r="O60" i="13"/>
  <c r="S60" i="13" s="1"/>
  <c r="L61" i="13" s="1"/>
  <c r="K61" i="13" s="1"/>
  <c r="K64" i="17"/>
  <c r="N64" i="17"/>
  <c r="O60" i="16"/>
  <c r="S60" i="16" s="1"/>
  <c r="L61" i="16" s="1"/>
  <c r="N60" i="15"/>
  <c r="K60" i="15"/>
  <c r="Q108" i="20" l="1"/>
  <c r="R108" i="20" s="1"/>
  <c r="O108" i="20"/>
  <c r="S108" i="20" s="1"/>
  <c r="N180" i="20"/>
  <c r="Y181" i="20"/>
  <c r="N61" i="13"/>
  <c r="J61" i="13" s="1"/>
  <c r="Q61" i="13" s="1"/>
  <c r="P61" i="13" s="1"/>
  <c r="R61" i="13" s="1"/>
  <c r="T61" i="13" s="1"/>
  <c r="M62" i="13" s="1"/>
  <c r="J64" i="17"/>
  <c r="J60" i="15"/>
  <c r="Q60" i="15" s="1"/>
  <c r="P60" i="15" s="1"/>
  <c r="O59" i="14"/>
  <c r="S59" i="14" s="1"/>
  <c r="L60" i="14" s="1"/>
  <c r="K61" i="16"/>
  <c r="N61" i="16"/>
  <c r="P108" i="20" l="1"/>
  <c r="T108" i="20" s="1"/>
  <c r="U108" i="20" s="1"/>
  <c r="M109" i="20" s="1"/>
  <c r="O61" i="13"/>
  <c r="S61" i="13" s="1"/>
  <c r="L62" i="13" s="1"/>
  <c r="K62" i="13" s="1"/>
  <c r="N181" i="20"/>
  <c r="Y182" i="20"/>
  <c r="Q64" i="17"/>
  <c r="P64" i="17" s="1"/>
  <c r="R64" i="17" s="1"/>
  <c r="T64" i="17" s="1"/>
  <c r="M65" i="17" s="1"/>
  <c r="R60" i="15"/>
  <c r="T60" i="15" s="1"/>
  <c r="M61" i="15" s="1"/>
  <c r="O60" i="15"/>
  <c r="S60" i="15" s="1"/>
  <c r="L61" i="15" s="1"/>
  <c r="J61" i="16"/>
  <c r="N60" i="14"/>
  <c r="K60" i="14"/>
  <c r="Q109" i="20" l="1"/>
  <c r="R109" i="20" s="1"/>
  <c r="O109" i="20"/>
  <c r="S109" i="20" s="1"/>
  <c r="N62" i="13"/>
  <c r="J62" i="13" s="1"/>
  <c r="Q62" i="13" s="1"/>
  <c r="P62" i="13" s="1"/>
  <c r="R62" i="13" s="1"/>
  <c r="T62" i="13" s="1"/>
  <c r="M63" i="13" s="1"/>
  <c r="N182" i="20"/>
  <c r="Y183" i="20"/>
  <c r="O64" i="17"/>
  <c r="S64" i="17" s="1"/>
  <c r="L65" i="17" s="1"/>
  <c r="N65" i="17" s="1"/>
  <c r="J60" i="14"/>
  <c r="Q60" i="14" s="1"/>
  <c r="P60" i="14" s="1"/>
  <c r="R60" i="14" s="1"/>
  <c r="T60" i="14" s="1"/>
  <c r="M61" i="14" s="1"/>
  <c r="Q61" i="16"/>
  <c r="P61" i="16" s="1"/>
  <c r="N61" i="15"/>
  <c r="K61" i="15"/>
  <c r="P109" i="20" l="1"/>
  <c r="T109" i="20" s="1"/>
  <c r="U109" i="20" s="1"/>
  <c r="M110" i="20" s="1"/>
  <c r="K65" i="17"/>
  <c r="J65" i="17" s="1"/>
  <c r="Q65" i="17" s="1"/>
  <c r="P65" i="17" s="1"/>
  <c r="R65" i="17" s="1"/>
  <c r="T65" i="17" s="1"/>
  <c r="M66" i="17" s="1"/>
  <c r="Y184" i="20"/>
  <c r="N183" i="20"/>
  <c r="J61" i="15"/>
  <c r="Q61" i="15" s="1"/>
  <c r="P61" i="15" s="1"/>
  <c r="R61" i="15" s="1"/>
  <c r="T61" i="15" s="1"/>
  <c r="M62" i="15" s="1"/>
  <c r="O60" i="14"/>
  <c r="S60" i="14" s="1"/>
  <c r="L61" i="14" s="1"/>
  <c r="N61" i="14" s="1"/>
  <c r="O62" i="13"/>
  <c r="S62" i="13" s="1"/>
  <c r="L63" i="13" s="1"/>
  <c r="K63" i="13" s="1"/>
  <c r="R61" i="16"/>
  <c r="T61" i="16" s="1"/>
  <c r="M62" i="16" s="1"/>
  <c r="O61" i="16"/>
  <c r="S61" i="16" s="1"/>
  <c r="L62" i="16" s="1"/>
  <c r="Q110" i="20" l="1"/>
  <c r="R110" i="20" s="1"/>
  <c r="O110" i="20"/>
  <c r="S110" i="20" s="1"/>
  <c r="N184" i="20"/>
  <c r="Y185" i="20"/>
  <c r="O65" i="17"/>
  <c r="S65" i="17" s="1"/>
  <c r="L66" i="17" s="1"/>
  <c r="K66" i="17" s="1"/>
  <c r="K61" i="14"/>
  <c r="J61" i="14" s="1"/>
  <c r="N63" i="13"/>
  <c r="J63" i="13" s="1"/>
  <c r="O61" i="15"/>
  <c r="S61" i="15" s="1"/>
  <c r="L62" i="15" s="1"/>
  <c r="K62" i="16"/>
  <c r="N62" i="16"/>
  <c r="P110" i="20" l="1"/>
  <c r="T110" i="20" s="1"/>
  <c r="U110" i="20" s="1"/>
  <c r="M111" i="20" s="1"/>
  <c r="N66" i="17"/>
  <c r="J66" i="17" s="1"/>
  <c r="Q66" i="17" s="1"/>
  <c r="P66" i="17" s="1"/>
  <c r="R66" i="17" s="1"/>
  <c r="T66" i="17" s="1"/>
  <c r="M67" i="17" s="1"/>
  <c r="N185" i="20"/>
  <c r="Y186" i="20"/>
  <c r="Q61" i="14"/>
  <c r="K62" i="15"/>
  <c r="N62" i="15"/>
  <c r="Q63" i="13"/>
  <c r="P63" i="13" s="1"/>
  <c r="R63" i="13" s="1"/>
  <c r="T63" i="13" s="1"/>
  <c r="M64" i="13" s="1"/>
  <c r="J62" i="16"/>
  <c r="Q111" i="20" l="1"/>
  <c r="P111" i="20" s="1"/>
  <c r="O111" i="20"/>
  <c r="S111" i="20" s="1"/>
  <c r="Y187" i="20"/>
  <c r="N186" i="20"/>
  <c r="O66" i="17"/>
  <c r="S66" i="17" s="1"/>
  <c r="L67" i="17" s="1"/>
  <c r="K67" i="17" s="1"/>
  <c r="P61" i="14"/>
  <c r="R61" i="14" s="1"/>
  <c r="T61" i="14" s="1"/>
  <c r="M62" i="14" s="1"/>
  <c r="Q62" i="16"/>
  <c r="P62" i="16" s="1"/>
  <c r="R62" i="16" s="1"/>
  <c r="T62" i="16" s="1"/>
  <c r="M63" i="16" s="1"/>
  <c r="J62" i="15"/>
  <c r="O63" i="13"/>
  <c r="S63" i="13" s="1"/>
  <c r="L64" i="13" s="1"/>
  <c r="T111" i="20" l="1"/>
  <c r="U111" i="20" s="1"/>
  <c r="V111" i="20" s="1"/>
  <c r="R111" i="20" s="1"/>
  <c r="N187" i="20"/>
  <c r="Y188" i="20"/>
  <c r="N67" i="17"/>
  <c r="J67" i="17" s="1"/>
  <c r="Q67" i="17" s="1"/>
  <c r="P67" i="17" s="1"/>
  <c r="R67" i="17" s="1"/>
  <c r="T67" i="17" s="1"/>
  <c r="M68" i="17" s="1"/>
  <c r="O61" i="14"/>
  <c r="S61" i="14" s="1"/>
  <c r="L62" i="14" s="1"/>
  <c r="Q62" i="15"/>
  <c r="P62" i="15" s="1"/>
  <c r="O62" i="16"/>
  <c r="S62" i="16" s="1"/>
  <c r="L63" i="16" s="1"/>
  <c r="K64" i="13"/>
  <c r="N64" i="13"/>
  <c r="M112" i="20" l="1"/>
  <c r="Q112" i="20"/>
  <c r="R112" i="20" s="1"/>
  <c r="O112" i="20"/>
  <c r="S112" i="20" s="1"/>
  <c r="P112" i="20"/>
  <c r="T112" i="20" s="1"/>
  <c r="U112" i="20" s="1"/>
  <c r="M113" i="20" s="1"/>
  <c r="N188" i="20"/>
  <c r="Y189" i="20"/>
  <c r="N62" i="14"/>
  <c r="K62" i="14"/>
  <c r="R62" i="15"/>
  <c r="T62" i="15" s="1"/>
  <c r="M63" i="15" s="1"/>
  <c r="O62" i="15"/>
  <c r="S62" i="15" s="1"/>
  <c r="L63" i="15" s="1"/>
  <c r="J64" i="13"/>
  <c r="N63" i="16"/>
  <c r="K63" i="16"/>
  <c r="O67" i="17"/>
  <c r="S67" i="17" s="1"/>
  <c r="L68" i="17" s="1"/>
  <c r="O113" i="20" l="1"/>
  <c r="S113" i="20" s="1"/>
  <c r="Q113" i="20"/>
  <c r="R113" i="20" s="1"/>
  <c r="Y190" i="20"/>
  <c r="N189" i="20"/>
  <c r="J62" i="14"/>
  <c r="J63" i="16"/>
  <c r="Q63" i="16" s="1"/>
  <c r="P63" i="16" s="1"/>
  <c r="R63" i="16" s="1"/>
  <c r="T63" i="16" s="1"/>
  <c r="M64" i="16" s="1"/>
  <c r="Q64" i="13"/>
  <c r="K68" i="17"/>
  <c r="N68" i="17"/>
  <c r="N63" i="15"/>
  <c r="K63" i="15"/>
  <c r="P113" i="20" l="1"/>
  <c r="T113" i="20" s="1"/>
  <c r="U113" i="20" s="1"/>
  <c r="M114" i="20" s="1"/>
  <c r="N190" i="20"/>
  <c r="Y191" i="20"/>
  <c r="Q62" i="14"/>
  <c r="P62" i="14" s="1"/>
  <c r="R62" i="14" s="1"/>
  <c r="T62" i="14" s="1"/>
  <c r="M63" i="14" s="1"/>
  <c r="J63" i="15"/>
  <c r="Q63" i="15" s="1"/>
  <c r="P63" i="15" s="1"/>
  <c r="R63" i="15" s="1"/>
  <c r="T63" i="15" s="1"/>
  <c r="M64" i="15" s="1"/>
  <c r="J68" i="17"/>
  <c r="P64" i="13"/>
  <c r="R64" i="13" s="1"/>
  <c r="T64" i="13" s="1"/>
  <c r="M65" i="13" s="1"/>
  <c r="O63" i="16"/>
  <c r="S63" i="16" s="1"/>
  <c r="L64" i="16" s="1"/>
  <c r="O114" i="20" l="1"/>
  <c r="S114" i="20" s="1"/>
  <c r="Q114" i="20"/>
  <c r="R114" i="20" s="1"/>
  <c r="P114" i="20"/>
  <c r="T114" i="20" s="1"/>
  <c r="U114" i="20" s="1"/>
  <c r="M115" i="20" s="1"/>
  <c r="N191" i="20"/>
  <c r="Y192" i="20"/>
  <c r="O62" i="14"/>
  <c r="S62" i="14" s="1"/>
  <c r="L63" i="14" s="1"/>
  <c r="Q68" i="17"/>
  <c r="P68" i="17" s="1"/>
  <c r="O64" i="13"/>
  <c r="S64" i="13" s="1"/>
  <c r="L65" i="13" s="1"/>
  <c r="O63" i="15"/>
  <c r="S63" i="15" s="1"/>
  <c r="L64" i="15" s="1"/>
  <c r="N64" i="16"/>
  <c r="K64" i="16"/>
  <c r="O115" i="20" l="1"/>
  <c r="S115" i="20" s="1"/>
  <c r="Q115" i="20"/>
  <c r="R115" i="20" s="1"/>
  <c r="Y193" i="20"/>
  <c r="N192" i="20"/>
  <c r="K63" i="14"/>
  <c r="N63" i="14"/>
  <c r="O68" i="17"/>
  <c r="S68" i="17" s="1"/>
  <c r="L69" i="17" s="1"/>
  <c r="N69" i="17" s="1"/>
  <c r="R68" i="17"/>
  <c r="T68" i="17" s="1"/>
  <c r="M69" i="17" s="1"/>
  <c r="K65" i="13"/>
  <c r="N65" i="13"/>
  <c r="J64" i="16"/>
  <c r="Q64" i="16" s="1"/>
  <c r="N64" i="15"/>
  <c r="K64" i="15"/>
  <c r="P115" i="20" l="1"/>
  <c r="T115" i="20" s="1"/>
  <c r="U115" i="20" s="1"/>
  <c r="M116" i="20" s="1"/>
  <c r="N193" i="20"/>
  <c r="Y194" i="20"/>
  <c r="J63" i="14"/>
  <c r="K69" i="17"/>
  <c r="J69" i="17" s="1"/>
  <c r="Q69" i="17" s="1"/>
  <c r="J64" i="15"/>
  <c r="Q64" i="15" s="1"/>
  <c r="P64" i="15" s="1"/>
  <c r="R64" i="15" s="1"/>
  <c r="T64" i="15" s="1"/>
  <c r="M65" i="15" s="1"/>
  <c r="J65" i="13"/>
  <c r="P64" i="16"/>
  <c r="R64" i="16" s="1"/>
  <c r="T64" i="16" s="1"/>
  <c r="M65" i="16" s="1"/>
  <c r="Q116" i="20" l="1"/>
  <c r="R116" i="20" s="1"/>
  <c r="O116" i="20"/>
  <c r="S116" i="20" s="1"/>
  <c r="N194" i="20"/>
  <c r="Y195" i="20"/>
  <c r="Q63" i="14"/>
  <c r="P63" i="14" s="1"/>
  <c r="R63" i="14" s="1"/>
  <c r="T63" i="14" s="1"/>
  <c r="M64" i="14" s="1"/>
  <c r="Q65" i="13"/>
  <c r="P65" i="13" s="1"/>
  <c r="R65" i="13" s="1"/>
  <c r="T65" i="13" s="1"/>
  <c r="M66" i="13" s="1"/>
  <c r="P69" i="17"/>
  <c r="R69" i="17" s="1"/>
  <c r="T69" i="17" s="1"/>
  <c r="M70" i="17" s="1"/>
  <c r="O64" i="15"/>
  <c r="S64" i="15" s="1"/>
  <c r="L65" i="15" s="1"/>
  <c r="O64" i="16"/>
  <c r="S64" i="16" s="1"/>
  <c r="L65" i="16" s="1"/>
  <c r="P116" i="20" l="1"/>
  <c r="T116" i="20"/>
  <c r="U116" i="20" s="1"/>
  <c r="M117" i="20" s="1"/>
  <c r="O63" i="14"/>
  <c r="S63" i="14" s="1"/>
  <c r="L64" i="14" s="1"/>
  <c r="K64" i="14" s="1"/>
  <c r="Y196" i="20"/>
  <c r="N195" i="20"/>
  <c r="O65" i="13"/>
  <c r="S65" i="13" s="1"/>
  <c r="L66" i="13" s="1"/>
  <c r="K65" i="15"/>
  <c r="N65" i="15"/>
  <c r="N65" i="16"/>
  <c r="K65" i="16"/>
  <c r="O69" i="17"/>
  <c r="S69" i="17" s="1"/>
  <c r="L70" i="17" s="1"/>
  <c r="O117" i="20" l="1"/>
  <c r="S117" i="20" s="1"/>
  <c r="Q117" i="20"/>
  <c r="R117" i="20" s="1"/>
  <c r="N64" i="14"/>
  <c r="J64" i="14" s="1"/>
  <c r="Y197" i="20"/>
  <c r="N196" i="20"/>
  <c r="J65" i="16"/>
  <c r="Q65" i="16" s="1"/>
  <c r="P65" i="16" s="1"/>
  <c r="R65" i="16" s="1"/>
  <c r="T65" i="16" s="1"/>
  <c r="M66" i="16" s="1"/>
  <c r="K66" i="13"/>
  <c r="N66" i="13"/>
  <c r="N70" i="17"/>
  <c r="K70" i="17"/>
  <c r="J65" i="15"/>
  <c r="P117" i="20" l="1"/>
  <c r="T117" i="20" s="1"/>
  <c r="U117" i="20" s="1"/>
  <c r="M118" i="20" s="1"/>
  <c r="Q64" i="14"/>
  <c r="P64" i="14" s="1"/>
  <c r="R64" i="14" s="1"/>
  <c r="T64" i="14" s="1"/>
  <c r="M65" i="14" s="1"/>
  <c r="Y198" i="20"/>
  <c r="N197" i="20"/>
  <c r="J70" i="17"/>
  <c r="Q70" i="17" s="1"/>
  <c r="J66" i="13"/>
  <c r="O65" i="16"/>
  <c r="S65" i="16" s="1"/>
  <c r="L66" i="16" s="1"/>
  <c r="Q65" i="15"/>
  <c r="O118" i="20" l="1"/>
  <c r="S118" i="20" s="1"/>
  <c r="Q118" i="20"/>
  <c r="R118" i="20" s="1"/>
  <c r="O64" i="14"/>
  <c r="S64" i="14" s="1"/>
  <c r="L65" i="14" s="1"/>
  <c r="N65" i="14" s="1"/>
  <c r="Y199" i="20"/>
  <c r="N198" i="20"/>
  <c r="P70" i="17"/>
  <c r="R70" i="17" s="1"/>
  <c r="T70" i="17" s="1"/>
  <c r="M71" i="17" s="1"/>
  <c r="Q66" i="13"/>
  <c r="P66" i="13" s="1"/>
  <c r="R66" i="13" s="1"/>
  <c r="T66" i="13" s="1"/>
  <c r="M67" i="13" s="1"/>
  <c r="P65" i="15"/>
  <c r="R65" i="15" s="1"/>
  <c r="T65" i="15" s="1"/>
  <c r="M66" i="15" s="1"/>
  <c r="N66" i="16"/>
  <c r="K66" i="16"/>
  <c r="P118" i="20" l="1"/>
  <c r="T118" i="20" s="1"/>
  <c r="U118" i="20" s="1"/>
  <c r="M119" i="20" s="1"/>
  <c r="Q119" i="20"/>
  <c r="R119" i="20" s="1"/>
  <c r="O119" i="20"/>
  <c r="S119" i="20" s="1"/>
  <c r="K65" i="14"/>
  <c r="J65" i="14" s="1"/>
  <c r="Q65" i="14" s="1"/>
  <c r="P65" i="14" s="1"/>
  <c r="Y200" i="20"/>
  <c r="N199" i="20"/>
  <c r="J66" i="16"/>
  <c r="Q66" i="16" s="1"/>
  <c r="P66" i="16" s="1"/>
  <c r="R66" i="16" s="1"/>
  <c r="T66" i="16" s="1"/>
  <c r="M67" i="16" s="1"/>
  <c r="O66" i="13"/>
  <c r="S66" i="13" s="1"/>
  <c r="L67" i="13" s="1"/>
  <c r="O70" i="17"/>
  <c r="S70" i="17" s="1"/>
  <c r="L71" i="17" s="1"/>
  <c r="O65" i="15"/>
  <c r="S65" i="15" s="1"/>
  <c r="L66" i="15" s="1"/>
  <c r="P119" i="20" l="1"/>
  <c r="T119" i="20"/>
  <c r="U119" i="20" s="1"/>
  <c r="M120" i="20" s="1"/>
  <c r="Y201" i="20"/>
  <c r="N200" i="20"/>
  <c r="R65" i="14"/>
  <c r="T65" i="14" s="1"/>
  <c r="M66" i="14" s="1"/>
  <c r="O65" i="14"/>
  <c r="S65" i="14" s="1"/>
  <c r="L66" i="14" s="1"/>
  <c r="N71" i="17"/>
  <c r="K71" i="17"/>
  <c r="K67" i="13"/>
  <c r="N67" i="13"/>
  <c r="O66" i="16"/>
  <c r="S66" i="16" s="1"/>
  <c r="L67" i="16" s="1"/>
  <c r="K66" i="15"/>
  <c r="N66" i="15"/>
  <c r="O120" i="20" l="1"/>
  <c r="S120" i="20" s="1"/>
  <c r="Q120" i="20"/>
  <c r="R120" i="20" s="1"/>
  <c r="Y202" i="20"/>
  <c r="N201" i="20"/>
  <c r="J71" i="17"/>
  <c r="Q71" i="17" s="1"/>
  <c r="P71" i="17" s="1"/>
  <c r="N66" i="14"/>
  <c r="K66" i="14"/>
  <c r="J66" i="15"/>
  <c r="Q66" i="15" s="1"/>
  <c r="P66" i="15" s="1"/>
  <c r="R66" i="15" s="1"/>
  <c r="T66" i="15" s="1"/>
  <c r="M67" i="15" s="1"/>
  <c r="J67" i="13"/>
  <c r="K67" i="16"/>
  <c r="N67" i="16"/>
  <c r="P120" i="20" l="1"/>
  <c r="T120" i="20" s="1"/>
  <c r="U120" i="20" s="1"/>
  <c r="M121" i="20" s="1"/>
  <c r="O121" i="20"/>
  <c r="S121" i="20" s="1"/>
  <c r="Q121" i="20"/>
  <c r="R121" i="20" s="1"/>
  <c r="P121" i="20"/>
  <c r="N202" i="20"/>
  <c r="Y203" i="20"/>
  <c r="J66" i="14"/>
  <c r="Q66" i="14" s="1"/>
  <c r="R71" i="17"/>
  <c r="T71" i="17" s="1"/>
  <c r="M72" i="17" s="1"/>
  <c r="O71" i="17"/>
  <c r="S71" i="17" s="1"/>
  <c r="L72" i="17" s="1"/>
  <c r="Q67" i="13"/>
  <c r="P67" i="13" s="1"/>
  <c r="R67" i="13" s="1"/>
  <c r="T67" i="13" s="1"/>
  <c r="M68" i="13" s="1"/>
  <c r="J67" i="16"/>
  <c r="Q67" i="16" s="1"/>
  <c r="P67" i="16" s="1"/>
  <c r="R67" i="16" s="1"/>
  <c r="T67" i="16" s="1"/>
  <c r="M68" i="16" s="1"/>
  <c r="O66" i="15"/>
  <c r="S66" i="15" s="1"/>
  <c r="L67" i="15" s="1"/>
  <c r="T121" i="20" l="1"/>
  <c r="U121" i="20" s="1"/>
  <c r="M122" i="20" s="1"/>
  <c r="Q122" i="20" s="1"/>
  <c r="R122" i="20" s="1"/>
  <c r="Y204" i="20"/>
  <c r="N203" i="20"/>
  <c r="P66" i="14"/>
  <c r="R66" i="14" s="1"/>
  <c r="T66" i="14" s="1"/>
  <c r="M67" i="14" s="1"/>
  <c r="N72" i="17"/>
  <c r="K72" i="17"/>
  <c r="O67" i="13"/>
  <c r="S67" i="13" s="1"/>
  <c r="L68" i="13" s="1"/>
  <c r="O67" i="16"/>
  <c r="S67" i="16" s="1"/>
  <c r="L68" i="16" s="1"/>
  <c r="K67" i="15"/>
  <c r="N67" i="15"/>
  <c r="P122" i="20" l="1"/>
  <c r="O122" i="20"/>
  <c r="S122" i="20" s="1"/>
  <c r="Y205" i="20"/>
  <c r="N204" i="20"/>
  <c r="O66" i="14"/>
  <c r="S66" i="14" s="1"/>
  <c r="L67" i="14" s="1"/>
  <c r="K67" i="14" s="1"/>
  <c r="J72" i="17"/>
  <c r="K68" i="13"/>
  <c r="N68" i="13"/>
  <c r="J67" i="15"/>
  <c r="K68" i="16"/>
  <c r="N68" i="16"/>
  <c r="T122" i="20" l="1"/>
  <c r="U122" i="20" s="1"/>
  <c r="M123" i="20" s="1"/>
  <c r="N67" i="14"/>
  <c r="J67" i="14" s="1"/>
  <c r="Q67" i="14" s="1"/>
  <c r="P67" i="14" s="1"/>
  <c r="R67" i="14" s="1"/>
  <c r="T67" i="14" s="1"/>
  <c r="M68" i="14" s="1"/>
  <c r="Y206" i="20"/>
  <c r="N205" i="20"/>
  <c r="Q72" i="17"/>
  <c r="P72" i="17" s="1"/>
  <c r="R72" i="17" s="1"/>
  <c r="T72" i="17" s="1"/>
  <c r="M73" i="17" s="1"/>
  <c r="J68" i="13"/>
  <c r="J68" i="16"/>
  <c r="Q67" i="15"/>
  <c r="P67" i="15" s="1"/>
  <c r="Q123" i="20" l="1"/>
  <c r="P123" i="20" s="1"/>
  <c r="O123" i="20"/>
  <c r="S123" i="20" s="1"/>
  <c r="N206" i="20"/>
  <c r="Y207" i="20"/>
  <c r="O72" i="17"/>
  <c r="S72" i="17" s="1"/>
  <c r="L73" i="17" s="1"/>
  <c r="Q68" i="13"/>
  <c r="P68" i="13" s="1"/>
  <c r="R68" i="13" s="1"/>
  <c r="T68" i="13" s="1"/>
  <c r="M69" i="13" s="1"/>
  <c r="O67" i="14"/>
  <c r="S67" i="14" s="1"/>
  <c r="L68" i="14" s="1"/>
  <c r="N68" i="14" s="1"/>
  <c r="R67" i="15"/>
  <c r="T67" i="15" s="1"/>
  <c r="M68" i="15" s="1"/>
  <c r="O67" i="15"/>
  <c r="S67" i="15" s="1"/>
  <c r="L68" i="15" s="1"/>
  <c r="Q68" i="16"/>
  <c r="P68" i="16" s="1"/>
  <c r="R68" i="16" s="1"/>
  <c r="T68" i="16" s="1"/>
  <c r="M69" i="16" s="1"/>
  <c r="T123" i="20" l="1"/>
  <c r="U123" i="20" s="1"/>
  <c r="N207" i="20"/>
  <c r="Y208" i="20"/>
  <c r="K68" i="14"/>
  <c r="J68" i="14" s="1"/>
  <c r="Q68" i="14" s="1"/>
  <c r="P68" i="14" s="1"/>
  <c r="O68" i="13"/>
  <c r="S68" i="13" s="1"/>
  <c r="L69" i="13" s="1"/>
  <c r="K69" i="13" s="1"/>
  <c r="K73" i="17"/>
  <c r="N73" i="17"/>
  <c r="O68" i="16"/>
  <c r="S68" i="16" s="1"/>
  <c r="L69" i="16" s="1"/>
  <c r="N69" i="16" s="1"/>
  <c r="K68" i="15"/>
  <c r="N68" i="15"/>
  <c r="M124" i="20" l="1"/>
  <c r="V123" i="20"/>
  <c r="R123" i="20" s="1"/>
  <c r="N69" i="13"/>
  <c r="J69" i="13" s="1"/>
  <c r="Y209" i="20"/>
  <c r="N208" i="20"/>
  <c r="K69" i="16"/>
  <c r="J69" i="16" s="1"/>
  <c r="J73" i="17"/>
  <c r="Q73" i="17" s="1"/>
  <c r="P73" i="17" s="1"/>
  <c r="R73" i="17" s="1"/>
  <c r="T73" i="17" s="1"/>
  <c r="M74" i="17" s="1"/>
  <c r="O68" i="14"/>
  <c r="S68" i="14" s="1"/>
  <c r="L69" i="14" s="1"/>
  <c r="R68" i="14"/>
  <c r="T68" i="14" s="1"/>
  <c r="M69" i="14" s="1"/>
  <c r="J68" i="15"/>
  <c r="Q124" i="20" l="1"/>
  <c r="O124" i="20"/>
  <c r="S124" i="20" s="1"/>
  <c r="O73" i="17"/>
  <c r="S73" i="17" s="1"/>
  <c r="L74" i="17" s="1"/>
  <c r="N74" i="17" s="1"/>
  <c r="Y210" i="20"/>
  <c r="N209" i="20"/>
  <c r="Q69" i="13"/>
  <c r="P69" i="13" s="1"/>
  <c r="Q68" i="15"/>
  <c r="P68" i="15" s="1"/>
  <c r="Q69" i="16"/>
  <c r="P69" i="16" s="1"/>
  <c r="R69" i="16" s="1"/>
  <c r="T69" i="16" s="1"/>
  <c r="M70" i="16" s="1"/>
  <c r="K69" i="14"/>
  <c r="N69" i="14"/>
  <c r="K74" i="17" l="1"/>
  <c r="J74" i="17" s="1"/>
  <c r="Q74" i="17" s="1"/>
  <c r="P124" i="20"/>
  <c r="T124" i="20" s="1"/>
  <c r="U124" i="20" s="1"/>
  <c r="M125" i="20" s="1"/>
  <c r="R124" i="20"/>
  <c r="Y211" i="20"/>
  <c r="N210" i="20"/>
  <c r="J69" i="14"/>
  <c r="Q69" i="14" s="1"/>
  <c r="O69" i="16"/>
  <c r="S69" i="16" s="1"/>
  <c r="L70" i="16" s="1"/>
  <c r="K70" i="16" s="1"/>
  <c r="O69" i="13"/>
  <c r="S69" i="13" s="1"/>
  <c r="L70" i="13" s="1"/>
  <c r="R69" i="13"/>
  <c r="T69" i="13" s="1"/>
  <c r="M70" i="13" s="1"/>
  <c r="R68" i="15"/>
  <c r="T68" i="15" s="1"/>
  <c r="M69" i="15" s="1"/>
  <c r="O68" i="15"/>
  <c r="S68" i="15" s="1"/>
  <c r="L69" i="15" s="1"/>
  <c r="O125" i="20" l="1"/>
  <c r="S125" i="20" s="1"/>
  <c r="Q125" i="20"/>
  <c r="N70" i="16"/>
  <c r="J70" i="16" s="1"/>
  <c r="Q70" i="16" s="1"/>
  <c r="P70" i="16" s="1"/>
  <c r="R70" i="16" s="1"/>
  <c r="T70" i="16" s="1"/>
  <c r="M71" i="16" s="1"/>
  <c r="Y212" i="20"/>
  <c r="N211" i="20"/>
  <c r="K70" i="13"/>
  <c r="N70" i="13"/>
  <c r="P74" i="17"/>
  <c r="R74" i="17" s="1"/>
  <c r="T74" i="17" s="1"/>
  <c r="M75" i="17" s="1"/>
  <c r="P69" i="14"/>
  <c r="R69" i="14" s="1"/>
  <c r="T69" i="14" s="1"/>
  <c r="M70" i="14" s="1"/>
  <c r="K69" i="15"/>
  <c r="N69" i="15"/>
  <c r="R125" i="20" l="1"/>
  <c r="P125" i="20"/>
  <c r="T125" i="20" s="1"/>
  <c r="U125" i="20" s="1"/>
  <c r="M126" i="20" s="1"/>
  <c r="N212" i="20"/>
  <c r="Y213" i="20"/>
  <c r="J70" i="13"/>
  <c r="O70" i="16"/>
  <c r="S70" i="16" s="1"/>
  <c r="L71" i="16" s="1"/>
  <c r="J69" i="15"/>
  <c r="O74" i="17"/>
  <c r="S74" i="17" s="1"/>
  <c r="L75" i="17" s="1"/>
  <c r="O69" i="14"/>
  <c r="S69" i="14" s="1"/>
  <c r="L70" i="14" s="1"/>
  <c r="O126" i="20" l="1"/>
  <c r="S126" i="20" s="1"/>
  <c r="Q126" i="20"/>
  <c r="Y214" i="20"/>
  <c r="N213" i="20"/>
  <c r="Q70" i="13"/>
  <c r="P70" i="13" s="1"/>
  <c r="R70" i="13" s="1"/>
  <c r="T70" i="13" s="1"/>
  <c r="M71" i="13" s="1"/>
  <c r="N75" i="17"/>
  <c r="K75" i="17"/>
  <c r="K71" i="16"/>
  <c r="N71" i="16"/>
  <c r="K70" i="14"/>
  <c r="N70" i="14"/>
  <c r="Q69" i="15"/>
  <c r="P69" i="15" s="1"/>
  <c r="R69" i="15" s="1"/>
  <c r="T69" i="15" s="1"/>
  <c r="M70" i="15" s="1"/>
  <c r="P126" i="20" l="1"/>
  <c r="T126" i="20" s="1"/>
  <c r="U126" i="20" s="1"/>
  <c r="M127" i="20" s="1"/>
  <c r="R126" i="20"/>
  <c r="N214" i="20"/>
  <c r="Y215" i="20"/>
  <c r="O70" i="13"/>
  <c r="S70" i="13" s="1"/>
  <c r="L71" i="13" s="1"/>
  <c r="K71" i="13" s="1"/>
  <c r="J75" i="17"/>
  <c r="Q75" i="17" s="1"/>
  <c r="P75" i="17" s="1"/>
  <c r="J71" i="16"/>
  <c r="O69" i="15"/>
  <c r="S69" i="15" s="1"/>
  <c r="L70" i="15" s="1"/>
  <c r="J70" i="14"/>
  <c r="O127" i="20" l="1"/>
  <c r="S127" i="20" s="1"/>
  <c r="Q127" i="20"/>
  <c r="R127" i="20" s="1"/>
  <c r="N71" i="13"/>
  <c r="J71" i="13" s="1"/>
  <c r="N215" i="20"/>
  <c r="Y216" i="20"/>
  <c r="O75" i="17"/>
  <c r="S75" i="17" s="1"/>
  <c r="L76" i="17" s="1"/>
  <c r="R75" i="17"/>
  <c r="T75" i="17" s="1"/>
  <c r="M76" i="17" s="1"/>
  <c r="Q71" i="16"/>
  <c r="Q70" i="14"/>
  <c r="P70" i="14" s="1"/>
  <c r="R70" i="14" s="1"/>
  <c r="T70" i="14" s="1"/>
  <c r="M71" i="14" s="1"/>
  <c r="N70" i="15"/>
  <c r="K70" i="15"/>
  <c r="P127" i="20" l="1"/>
  <c r="T127" i="20" s="1"/>
  <c r="U127" i="20" s="1"/>
  <c r="M128" i="20" s="1"/>
  <c r="Y217" i="20"/>
  <c r="N216" i="20"/>
  <c r="J70" i="15"/>
  <c r="Q70" i="15" s="1"/>
  <c r="P70" i="15" s="1"/>
  <c r="O70" i="15" s="1"/>
  <c r="S70" i="15" s="1"/>
  <c r="L71" i="15" s="1"/>
  <c r="Q71" i="13"/>
  <c r="P71" i="13" s="1"/>
  <c r="R71" i="13" s="1"/>
  <c r="T71" i="13" s="1"/>
  <c r="M72" i="13" s="1"/>
  <c r="O70" i="14"/>
  <c r="S70" i="14" s="1"/>
  <c r="L71" i="14" s="1"/>
  <c r="P71" i="16"/>
  <c r="R71" i="16" s="1"/>
  <c r="T71" i="16" s="1"/>
  <c r="M72" i="16" s="1"/>
  <c r="N76" i="17"/>
  <c r="K76" i="17"/>
  <c r="Q128" i="20" l="1"/>
  <c r="R128" i="20" s="1"/>
  <c r="O128" i="20"/>
  <c r="S128" i="20" s="1"/>
  <c r="P128" i="20"/>
  <c r="T128" i="20" s="1"/>
  <c r="U128" i="20" s="1"/>
  <c r="M129" i="20" s="1"/>
  <c r="N217" i="20"/>
  <c r="Y218" i="20"/>
  <c r="O71" i="13"/>
  <c r="S71" i="13" s="1"/>
  <c r="L72" i="13" s="1"/>
  <c r="K72" i="13" s="1"/>
  <c r="J76" i="17"/>
  <c r="Q76" i="17" s="1"/>
  <c r="P76" i="17" s="1"/>
  <c r="R70" i="15"/>
  <c r="T70" i="15" s="1"/>
  <c r="M71" i="15" s="1"/>
  <c r="K71" i="15" s="1"/>
  <c r="N71" i="15"/>
  <c r="O71" i="16"/>
  <c r="S71" i="16" s="1"/>
  <c r="L72" i="16" s="1"/>
  <c r="K71" i="14"/>
  <c r="N71" i="14"/>
  <c r="O129" i="20" l="1"/>
  <c r="S129" i="20" s="1"/>
  <c r="Q129" i="20"/>
  <c r="R129" i="20" s="1"/>
  <c r="N218" i="20"/>
  <c r="Y219" i="20"/>
  <c r="N72" i="13"/>
  <c r="J72" i="13" s="1"/>
  <c r="Q72" i="13" s="1"/>
  <c r="P72" i="13" s="1"/>
  <c r="R72" i="13" s="1"/>
  <c r="T72" i="13" s="1"/>
  <c r="M73" i="13" s="1"/>
  <c r="R76" i="17"/>
  <c r="T76" i="17" s="1"/>
  <c r="M77" i="17" s="1"/>
  <c r="O76" i="17"/>
  <c r="S76" i="17" s="1"/>
  <c r="L77" i="17" s="1"/>
  <c r="K72" i="16"/>
  <c r="N72" i="16"/>
  <c r="J71" i="14"/>
  <c r="J71" i="15"/>
  <c r="P129" i="20" l="1"/>
  <c r="T129" i="20" s="1"/>
  <c r="U129" i="20" s="1"/>
  <c r="M130" i="20" s="1"/>
  <c r="Y220" i="20"/>
  <c r="N219" i="20"/>
  <c r="O72" i="13"/>
  <c r="S72" i="13" s="1"/>
  <c r="L73" i="13" s="1"/>
  <c r="Q71" i="14"/>
  <c r="Q71" i="15"/>
  <c r="P71" i="15" s="1"/>
  <c r="R71" i="15" s="1"/>
  <c r="T71" i="15" s="1"/>
  <c r="M72" i="15" s="1"/>
  <c r="J72" i="16"/>
  <c r="K77" i="17"/>
  <c r="N77" i="17"/>
  <c r="O130" i="20" l="1"/>
  <c r="S130" i="20" s="1"/>
  <c r="Q130" i="20"/>
  <c r="R130" i="20" s="1"/>
  <c r="N220" i="20"/>
  <c r="Y221" i="20"/>
  <c r="N73" i="13"/>
  <c r="K73" i="13"/>
  <c r="O71" i="15"/>
  <c r="S71" i="15" s="1"/>
  <c r="L72" i="15" s="1"/>
  <c r="J77" i="17"/>
  <c r="P71" i="14"/>
  <c r="R71" i="14" s="1"/>
  <c r="T71" i="14" s="1"/>
  <c r="M72" i="14" s="1"/>
  <c r="Q72" i="16"/>
  <c r="P72" i="16" s="1"/>
  <c r="P130" i="20" l="1"/>
  <c r="T130" i="20" s="1"/>
  <c r="U130" i="20" s="1"/>
  <c r="M131" i="20" s="1"/>
  <c r="J73" i="13"/>
  <c r="Q73" i="13" s="1"/>
  <c r="P73" i="13" s="1"/>
  <c r="Y222" i="20"/>
  <c r="N221" i="20"/>
  <c r="R72" i="16"/>
  <c r="T72" i="16" s="1"/>
  <c r="M73" i="16" s="1"/>
  <c r="O72" i="16"/>
  <c r="S72" i="16" s="1"/>
  <c r="L73" i="16" s="1"/>
  <c r="Q77" i="17"/>
  <c r="P77" i="17" s="1"/>
  <c r="R77" i="17" s="1"/>
  <c r="T77" i="17" s="1"/>
  <c r="M78" i="17" s="1"/>
  <c r="K72" i="15"/>
  <c r="N72" i="15"/>
  <c r="O71" i="14"/>
  <c r="S71" i="14" s="1"/>
  <c r="L72" i="14" s="1"/>
  <c r="O131" i="20" l="1"/>
  <c r="S131" i="20" s="1"/>
  <c r="Q131" i="20"/>
  <c r="Y223" i="20"/>
  <c r="N222" i="20"/>
  <c r="O73" i="13"/>
  <c r="S73" i="13" s="1"/>
  <c r="L74" i="13" s="1"/>
  <c r="R73" i="13"/>
  <c r="T73" i="13" s="1"/>
  <c r="M74" i="13" s="1"/>
  <c r="K72" i="14"/>
  <c r="N72" i="14"/>
  <c r="N73" i="16"/>
  <c r="K73" i="16"/>
  <c r="J72" i="15"/>
  <c r="O77" i="17"/>
  <c r="S77" i="17" s="1"/>
  <c r="L78" i="17" s="1"/>
  <c r="R131" i="20" l="1"/>
  <c r="P131" i="20"/>
  <c r="T131" i="20" s="1"/>
  <c r="U131" i="20" s="1"/>
  <c r="M132" i="20" s="1"/>
  <c r="N223" i="20"/>
  <c r="Y224" i="20"/>
  <c r="K74" i="13"/>
  <c r="N74" i="13"/>
  <c r="N78" i="17"/>
  <c r="K78" i="17"/>
  <c r="Q72" i="15"/>
  <c r="P72" i="15" s="1"/>
  <c r="J72" i="14"/>
  <c r="J73" i="16"/>
  <c r="O132" i="20" l="1"/>
  <c r="S132" i="20" s="1"/>
  <c r="Q132" i="20"/>
  <c r="R132" i="20" s="1"/>
  <c r="J78" i="17"/>
  <c r="Q78" i="17" s="1"/>
  <c r="P78" i="17" s="1"/>
  <c r="N224" i="20"/>
  <c r="Y225" i="20"/>
  <c r="J74" i="13"/>
  <c r="R72" i="15"/>
  <c r="T72" i="15" s="1"/>
  <c r="M73" i="15" s="1"/>
  <c r="O72" i="15"/>
  <c r="S72" i="15" s="1"/>
  <c r="L73" i="15" s="1"/>
  <c r="Q73" i="16"/>
  <c r="P73" i="16" s="1"/>
  <c r="R73" i="16" s="1"/>
  <c r="T73" i="16" s="1"/>
  <c r="M74" i="16" s="1"/>
  <c r="Q72" i="14"/>
  <c r="P132" i="20" l="1"/>
  <c r="T132" i="20" s="1"/>
  <c r="U132" i="20" s="1"/>
  <c r="M133" i="20" s="1"/>
  <c r="O133" i="20" s="1"/>
  <c r="S133" i="20" s="1"/>
  <c r="Q133" i="20"/>
  <c r="R133" i="20" s="1"/>
  <c r="N225" i="20"/>
  <c r="Y226" i="20"/>
  <c r="P72" i="14"/>
  <c r="R72" i="14" s="1"/>
  <c r="T72" i="14" s="1"/>
  <c r="M73" i="14" s="1"/>
  <c r="Q74" i="13"/>
  <c r="P74" i="13" s="1"/>
  <c r="R74" i="13" s="1"/>
  <c r="T74" i="13" s="1"/>
  <c r="M75" i="13" s="1"/>
  <c r="R78" i="17"/>
  <c r="T78" i="17" s="1"/>
  <c r="M79" i="17" s="1"/>
  <c r="O78" i="17"/>
  <c r="S78" i="17" s="1"/>
  <c r="L79" i="17" s="1"/>
  <c r="O73" i="16"/>
  <c r="S73" i="16" s="1"/>
  <c r="L74" i="16" s="1"/>
  <c r="K73" i="15"/>
  <c r="N73" i="15"/>
  <c r="P133" i="20" l="1"/>
  <c r="T133" i="20" s="1"/>
  <c r="U133" i="20" s="1"/>
  <c r="M134" i="20" s="1"/>
  <c r="Q134" i="20" s="1"/>
  <c r="R134" i="20" s="1"/>
  <c r="O134" i="20"/>
  <c r="S134" i="20" s="1"/>
  <c r="Y227" i="20"/>
  <c r="N226" i="20"/>
  <c r="O74" i="13"/>
  <c r="S74" i="13" s="1"/>
  <c r="L75" i="13" s="1"/>
  <c r="N75" i="13" s="1"/>
  <c r="O72" i="14"/>
  <c r="S72" i="14" s="1"/>
  <c r="L73" i="14" s="1"/>
  <c r="K74" i="16"/>
  <c r="N74" i="16"/>
  <c r="J73" i="15"/>
  <c r="N79" i="17"/>
  <c r="K79" i="17"/>
  <c r="P134" i="20" l="1"/>
  <c r="T134" i="20" s="1"/>
  <c r="U134" i="20" s="1"/>
  <c r="M135" i="20" s="1"/>
  <c r="Q135" i="20" s="1"/>
  <c r="Y228" i="20"/>
  <c r="N227" i="20"/>
  <c r="K75" i="13"/>
  <c r="J75" i="13" s="1"/>
  <c r="J79" i="17"/>
  <c r="Q79" i="17" s="1"/>
  <c r="P79" i="17" s="1"/>
  <c r="N73" i="14"/>
  <c r="K73" i="14"/>
  <c r="Q73" i="15"/>
  <c r="P73" i="15" s="1"/>
  <c r="R73" i="15" s="1"/>
  <c r="T73" i="15" s="1"/>
  <c r="M74" i="15" s="1"/>
  <c r="J74" i="16"/>
  <c r="P135" i="20" l="1"/>
  <c r="O135" i="20"/>
  <c r="S135" i="20" s="1"/>
  <c r="T135" i="20" s="1"/>
  <c r="U135" i="20" s="1"/>
  <c r="N228" i="20"/>
  <c r="Y229" i="20"/>
  <c r="Q75" i="13"/>
  <c r="P75" i="13" s="1"/>
  <c r="J73" i="14"/>
  <c r="O79" i="17"/>
  <c r="S79" i="17" s="1"/>
  <c r="L80" i="17" s="1"/>
  <c r="N80" i="17" s="1"/>
  <c r="R79" i="17"/>
  <c r="T79" i="17" s="1"/>
  <c r="M80" i="17" s="1"/>
  <c r="O73" i="15"/>
  <c r="S73" i="15" s="1"/>
  <c r="L74" i="15" s="1"/>
  <c r="Q74" i="16"/>
  <c r="V135" i="20" l="1"/>
  <c r="R135" i="20" s="1"/>
  <c r="M136" i="20"/>
  <c r="N229" i="20"/>
  <c r="Y230" i="20"/>
  <c r="K80" i="17"/>
  <c r="J80" i="17" s="1"/>
  <c r="R75" i="13"/>
  <c r="T75" i="13" s="1"/>
  <c r="M76" i="13" s="1"/>
  <c r="O75" i="13"/>
  <c r="S75" i="13" s="1"/>
  <c r="L76" i="13" s="1"/>
  <c r="N76" i="13" s="1"/>
  <c r="Q73" i="14"/>
  <c r="P73" i="14" s="1"/>
  <c r="R73" i="14" s="1"/>
  <c r="T73" i="14" s="1"/>
  <c r="M74" i="14" s="1"/>
  <c r="P74" i="16"/>
  <c r="R74" i="16" s="1"/>
  <c r="T74" i="16" s="1"/>
  <c r="M75" i="16" s="1"/>
  <c r="N74" i="15"/>
  <c r="K74" i="15"/>
  <c r="O136" i="20" l="1"/>
  <c r="S136" i="20" s="1"/>
  <c r="Q136" i="20"/>
  <c r="R136" i="20" s="1"/>
  <c r="Y231" i="20"/>
  <c r="N230" i="20"/>
  <c r="O73" i="14"/>
  <c r="S73" i="14" s="1"/>
  <c r="L74" i="14" s="1"/>
  <c r="N74" i="14" s="1"/>
  <c r="K76" i="13"/>
  <c r="J76" i="13" s="1"/>
  <c r="Q76" i="13" s="1"/>
  <c r="P76" i="13" s="1"/>
  <c r="R76" i="13" s="1"/>
  <c r="T76" i="13" s="1"/>
  <c r="M77" i="13" s="1"/>
  <c r="Q80" i="17"/>
  <c r="P80" i="17" s="1"/>
  <c r="J74" i="15"/>
  <c r="O74" i="16"/>
  <c r="S74" i="16" s="1"/>
  <c r="L75" i="16" s="1"/>
  <c r="P136" i="20" l="1"/>
  <c r="T136" i="20" s="1"/>
  <c r="U136" i="20" s="1"/>
  <c r="M137" i="20" s="1"/>
  <c r="Y232" i="20"/>
  <c r="N231" i="20"/>
  <c r="K74" i="14"/>
  <c r="J74" i="14" s="1"/>
  <c r="O76" i="13"/>
  <c r="S76" i="13" s="1"/>
  <c r="L77" i="13" s="1"/>
  <c r="K77" i="13" s="1"/>
  <c r="R80" i="17"/>
  <c r="T80" i="17" s="1"/>
  <c r="M81" i="17" s="1"/>
  <c r="O80" i="17"/>
  <c r="S80" i="17" s="1"/>
  <c r="L81" i="17" s="1"/>
  <c r="N75" i="16"/>
  <c r="K75" i="16"/>
  <c r="Q74" i="15"/>
  <c r="P74" i="15" s="1"/>
  <c r="R74" i="15" s="1"/>
  <c r="T74" i="15" s="1"/>
  <c r="M75" i="15" s="1"/>
  <c r="O137" i="20" l="1"/>
  <c r="S137" i="20" s="1"/>
  <c r="Q137" i="20"/>
  <c r="R137" i="20" s="1"/>
  <c r="N232" i="20"/>
  <c r="Y233" i="20"/>
  <c r="N77" i="13"/>
  <c r="J77" i="13" s="1"/>
  <c r="Q74" i="14"/>
  <c r="P74" i="14" s="1"/>
  <c r="R74" i="14" s="1"/>
  <c r="T74" i="14" s="1"/>
  <c r="M75" i="14" s="1"/>
  <c r="J75" i="16"/>
  <c r="Q75" i="16" s="1"/>
  <c r="P75" i="16" s="1"/>
  <c r="R75" i="16" s="1"/>
  <c r="T75" i="16" s="1"/>
  <c r="M76" i="16" s="1"/>
  <c r="N81" i="17"/>
  <c r="K81" i="17"/>
  <c r="O74" i="15"/>
  <c r="S74" i="15" s="1"/>
  <c r="L75" i="15" s="1"/>
  <c r="P137" i="20" l="1"/>
  <c r="T137" i="20" s="1"/>
  <c r="U137" i="20" s="1"/>
  <c r="M138" i="20" s="1"/>
  <c r="Y234" i="20"/>
  <c r="N233" i="20"/>
  <c r="O74" i="14"/>
  <c r="S74" i="14" s="1"/>
  <c r="L75" i="14" s="1"/>
  <c r="K75" i="14" s="1"/>
  <c r="Q77" i="13"/>
  <c r="P77" i="13" s="1"/>
  <c r="R77" i="13" s="1"/>
  <c r="T77" i="13" s="1"/>
  <c r="M78" i="13" s="1"/>
  <c r="O75" i="16"/>
  <c r="S75" i="16" s="1"/>
  <c r="L76" i="16" s="1"/>
  <c r="N75" i="15"/>
  <c r="K75" i="15"/>
  <c r="J81" i="17"/>
  <c r="Q138" i="20" l="1"/>
  <c r="R138" i="20" s="1"/>
  <c r="O138" i="20"/>
  <c r="S138" i="20" s="1"/>
  <c r="P138" i="20"/>
  <c r="N234" i="20"/>
  <c r="Y235" i="20"/>
  <c r="N75" i="14"/>
  <c r="J75" i="14" s="1"/>
  <c r="J75" i="15"/>
  <c r="Q75" i="15" s="1"/>
  <c r="P75" i="15" s="1"/>
  <c r="O75" i="15" s="1"/>
  <c r="S75" i="15" s="1"/>
  <c r="L76" i="15" s="1"/>
  <c r="O77" i="13"/>
  <c r="S77" i="13" s="1"/>
  <c r="L78" i="13" s="1"/>
  <c r="Q81" i="17"/>
  <c r="P81" i="17" s="1"/>
  <c r="R81" i="17" s="1"/>
  <c r="T81" i="17" s="1"/>
  <c r="M82" i="17" s="1"/>
  <c r="K76" i="16"/>
  <c r="N76" i="16"/>
  <c r="T138" i="20" l="1"/>
  <c r="U138" i="20" s="1"/>
  <c r="M139" i="20" s="1"/>
  <c r="O139" i="20" s="1"/>
  <c r="S139" i="20" s="1"/>
  <c r="Q139" i="20"/>
  <c r="Y236" i="20"/>
  <c r="N235" i="20"/>
  <c r="Q75" i="14"/>
  <c r="P75" i="14" s="1"/>
  <c r="R75" i="14" s="1"/>
  <c r="T75" i="14" s="1"/>
  <c r="M76" i="14" s="1"/>
  <c r="K78" i="13"/>
  <c r="N78" i="13"/>
  <c r="N76" i="15"/>
  <c r="J76" i="16"/>
  <c r="O81" i="17"/>
  <c r="S81" i="17" s="1"/>
  <c r="L82" i="17" s="1"/>
  <c r="R75" i="15"/>
  <c r="T75" i="15" s="1"/>
  <c r="M76" i="15" s="1"/>
  <c r="R139" i="20" l="1"/>
  <c r="P139" i="20"/>
  <c r="T139" i="20" s="1"/>
  <c r="U139" i="20" s="1"/>
  <c r="M140" i="20" s="1"/>
  <c r="N236" i="20"/>
  <c r="Y237" i="20"/>
  <c r="O75" i="14"/>
  <c r="S75" i="14" s="1"/>
  <c r="L76" i="14" s="1"/>
  <c r="K76" i="14" s="1"/>
  <c r="J78" i="13"/>
  <c r="Q76" i="16"/>
  <c r="P76" i="16" s="1"/>
  <c r="R76" i="16" s="1"/>
  <c r="T76" i="16" s="1"/>
  <c r="M77" i="16" s="1"/>
  <c r="K76" i="15"/>
  <c r="J76" i="15" s="1"/>
  <c r="K82" i="17"/>
  <c r="N82" i="17"/>
  <c r="O140" i="20" l="1"/>
  <c r="S140" i="20" s="1"/>
  <c r="Q140" i="20"/>
  <c r="Y238" i="20"/>
  <c r="N237" i="20"/>
  <c r="N76" i="14"/>
  <c r="J76" i="14" s="1"/>
  <c r="Q78" i="13"/>
  <c r="P78" i="13" s="1"/>
  <c r="R78" i="13" s="1"/>
  <c r="T78" i="13" s="1"/>
  <c r="M79" i="13" s="1"/>
  <c r="Q76" i="15"/>
  <c r="P76" i="15" s="1"/>
  <c r="R76" i="15" s="1"/>
  <c r="T76" i="15" s="1"/>
  <c r="M77" i="15" s="1"/>
  <c r="O76" i="16"/>
  <c r="S76" i="16" s="1"/>
  <c r="L77" i="16" s="1"/>
  <c r="J82" i="17"/>
  <c r="R140" i="20" l="1"/>
  <c r="P140" i="20"/>
  <c r="T140" i="20" s="1"/>
  <c r="U140" i="20" s="1"/>
  <c r="M141" i="20" s="1"/>
  <c r="Y239" i="20"/>
  <c r="N238" i="20"/>
  <c r="Q76" i="14"/>
  <c r="P76" i="14" s="1"/>
  <c r="R76" i="14" s="1"/>
  <c r="T76" i="14" s="1"/>
  <c r="M77" i="14" s="1"/>
  <c r="O78" i="13"/>
  <c r="S78" i="13" s="1"/>
  <c r="L79" i="13" s="1"/>
  <c r="N79" i="13" s="1"/>
  <c r="N77" i="16"/>
  <c r="K77" i="16"/>
  <c r="Q82" i="17"/>
  <c r="P82" i="17" s="1"/>
  <c r="R82" i="17" s="1"/>
  <c r="T82" i="17" s="1"/>
  <c r="M83" i="17" s="1"/>
  <c r="O76" i="15"/>
  <c r="S76" i="15" s="1"/>
  <c r="L77" i="15" s="1"/>
  <c r="O141" i="20" l="1"/>
  <c r="S141" i="20" s="1"/>
  <c r="Q141" i="20"/>
  <c r="R141" i="20" s="1"/>
  <c r="Y240" i="20"/>
  <c r="N239" i="20"/>
  <c r="J77" i="16"/>
  <c r="Q77" i="16" s="1"/>
  <c r="P77" i="16" s="1"/>
  <c r="R77" i="16" s="1"/>
  <c r="T77" i="16" s="1"/>
  <c r="M78" i="16" s="1"/>
  <c r="O76" i="14"/>
  <c r="S76" i="14" s="1"/>
  <c r="L77" i="14" s="1"/>
  <c r="K77" i="14" s="1"/>
  <c r="K79" i="13"/>
  <c r="J79" i="13" s="1"/>
  <c r="Q79" i="13" s="1"/>
  <c r="K77" i="15"/>
  <c r="N77" i="15"/>
  <c r="O82" i="17"/>
  <c r="S82" i="17" s="1"/>
  <c r="L83" i="17" s="1"/>
  <c r="P141" i="20" l="1"/>
  <c r="T141" i="20" s="1"/>
  <c r="U141" i="20" s="1"/>
  <c r="M142" i="20" s="1"/>
  <c r="Y241" i="20"/>
  <c r="N240" i="20"/>
  <c r="N77" i="14"/>
  <c r="J77" i="14" s="1"/>
  <c r="Q77" i="14" s="1"/>
  <c r="P79" i="13"/>
  <c r="R79" i="13" s="1"/>
  <c r="T79" i="13" s="1"/>
  <c r="M80" i="13" s="1"/>
  <c r="O77" i="16"/>
  <c r="S77" i="16" s="1"/>
  <c r="L78" i="16" s="1"/>
  <c r="N78" i="16" s="1"/>
  <c r="N83" i="17"/>
  <c r="K83" i="17"/>
  <c r="J77" i="15"/>
  <c r="O142" i="20" l="1"/>
  <c r="S142" i="20" s="1"/>
  <c r="Q142" i="20"/>
  <c r="R142" i="20" s="1"/>
  <c r="Y242" i="20"/>
  <c r="N241" i="20"/>
  <c r="P77" i="14"/>
  <c r="R77" i="14" s="1"/>
  <c r="T77" i="14" s="1"/>
  <c r="M78" i="14" s="1"/>
  <c r="O79" i="13"/>
  <c r="S79" i="13" s="1"/>
  <c r="L80" i="13" s="1"/>
  <c r="K78" i="16"/>
  <c r="J78" i="16" s="1"/>
  <c r="Q78" i="16" s="1"/>
  <c r="Q77" i="15"/>
  <c r="P77" i="15" s="1"/>
  <c r="J83" i="17"/>
  <c r="P142" i="20" l="1"/>
  <c r="T142" i="20" s="1"/>
  <c r="U142" i="20" s="1"/>
  <c r="M143" i="20" s="1"/>
  <c r="N242" i="20"/>
  <c r="Y243" i="20"/>
  <c r="O77" i="14"/>
  <c r="S77" i="14" s="1"/>
  <c r="L78" i="14" s="1"/>
  <c r="K78" i="14" s="1"/>
  <c r="N80" i="13"/>
  <c r="K80" i="13"/>
  <c r="R77" i="15"/>
  <c r="T77" i="15" s="1"/>
  <c r="M78" i="15" s="1"/>
  <c r="O77" i="15"/>
  <c r="S77" i="15" s="1"/>
  <c r="L78" i="15" s="1"/>
  <c r="Q83" i="17"/>
  <c r="P83" i="17" s="1"/>
  <c r="R83" i="17" s="1"/>
  <c r="T83" i="17" s="1"/>
  <c r="M84" i="17" s="1"/>
  <c r="P78" i="16"/>
  <c r="R78" i="16" s="1"/>
  <c r="T78" i="16" s="1"/>
  <c r="M79" i="16" s="1"/>
  <c r="Q143" i="20" l="1"/>
  <c r="R143" i="20" s="1"/>
  <c r="O143" i="20"/>
  <c r="S143" i="20" s="1"/>
  <c r="J80" i="13"/>
  <c r="Q80" i="13" s="1"/>
  <c r="P80" i="13" s="1"/>
  <c r="O80" i="13" s="1"/>
  <c r="S80" i="13" s="1"/>
  <c r="L81" i="13" s="1"/>
  <c r="N81" i="13" s="1"/>
  <c r="N243" i="20"/>
  <c r="Y244" i="20"/>
  <c r="N78" i="14"/>
  <c r="J78" i="14" s="1"/>
  <c r="O83" i="17"/>
  <c r="S83" i="17" s="1"/>
  <c r="L84" i="17" s="1"/>
  <c r="N84" i="17" s="1"/>
  <c r="K78" i="15"/>
  <c r="N78" i="15"/>
  <c r="O78" i="16"/>
  <c r="S78" i="16" s="1"/>
  <c r="L79" i="16" s="1"/>
  <c r="P143" i="20" l="1"/>
  <c r="T143" i="20" s="1"/>
  <c r="U143" i="20" s="1"/>
  <c r="M144" i="20" s="1"/>
  <c r="O144" i="20" s="1"/>
  <c r="S144" i="20" s="1"/>
  <c r="R80" i="13"/>
  <c r="T80" i="13" s="1"/>
  <c r="M81" i="13" s="1"/>
  <c r="K81" i="13" s="1"/>
  <c r="J81" i="13" s="1"/>
  <c r="Q81" i="13" s="1"/>
  <c r="P81" i="13" s="1"/>
  <c r="R81" i="13" s="1"/>
  <c r="T81" i="13" s="1"/>
  <c r="M82" i="13" s="1"/>
  <c r="N244" i="20"/>
  <c r="Y245" i="20"/>
  <c r="K84" i="17"/>
  <c r="J84" i="17" s="1"/>
  <c r="Q84" i="17" s="1"/>
  <c r="P84" i="17" s="1"/>
  <c r="R84" i="17" s="1"/>
  <c r="T84" i="17" s="1"/>
  <c r="M85" i="17" s="1"/>
  <c r="N79" i="16"/>
  <c r="K79" i="16"/>
  <c r="J78" i="15"/>
  <c r="Q78" i="14"/>
  <c r="Q144" i="20" l="1"/>
  <c r="R144" i="20" s="1"/>
  <c r="O81" i="13"/>
  <c r="S81" i="13" s="1"/>
  <c r="L82" i="13" s="1"/>
  <c r="K82" i="13" s="1"/>
  <c r="N245" i="20"/>
  <c r="Y246" i="20"/>
  <c r="J79" i="16"/>
  <c r="Q79" i="16" s="1"/>
  <c r="P79" i="16" s="1"/>
  <c r="R79" i="16" s="1"/>
  <c r="T79" i="16" s="1"/>
  <c r="M80" i="16" s="1"/>
  <c r="O84" i="17"/>
  <c r="S84" i="17" s="1"/>
  <c r="L85" i="17" s="1"/>
  <c r="K85" i="17" s="1"/>
  <c r="P78" i="14"/>
  <c r="R78" i="14" s="1"/>
  <c r="T78" i="14" s="1"/>
  <c r="M79" i="14" s="1"/>
  <c r="Q78" i="15"/>
  <c r="P78" i="15" s="1"/>
  <c r="R78" i="15" s="1"/>
  <c r="T78" i="15" s="1"/>
  <c r="M79" i="15" s="1"/>
  <c r="P144" i="20" l="1"/>
  <c r="T144" i="20" s="1"/>
  <c r="U144" i="20" s="1"/>
  <c r="M145" i="20" s="1"/>
  <c r="Q145" i="20" s="1"/>
  <c r="R145" i="20"/>
  <c r="P145" i="20"/>
  <c r="N82" i="13"/>
  <c r="J82" i="13" s="1"/>
  <c r="Q82" i="13" s="1"/>
  <c r="P82" i="13" s="1"/>
  <c r="R82" i="13" s="1"/>
  <c r="T82" i="13" s="1"/>
  <c r="M83" i="13" s="1"/>
  <c r="N85" i="17"/>
  <c r="J85" i="17" s="1"/>
  <c r="Y247" i="20"/>
  <c r="N246" i="20"/>
  <c r="O79" i="16"/>
  <c r="S79" i="16" s="1"/>
  <c r="L80" i="16" s="1"/>
  <c r="N80" i="16" s="1"/>
  <c r="O78" i="15"/>
  <c r="S78" i="15" s="1"/>
  <c r="L79" i="15" s="1"/>
  <c r="O78" i="14"/>
  <c r="S78" i="14" s="1"/>
  <c r="L79" i="14" s="1"/>
  <c r="T145" i="20" l="1"/>
  <c r="U145" i="20" s="1"/>
  <c r="M146" i="20" s="1"/>
  <c r="O146" i="20" s="1"/>
  <c r="S146" i="20" s="1"/>
  <c r="O145" i="20"/>
  <c r="S145" i="20" s="1"/>
  <c r="N247" i="20"/>
  <c r="Y248" i="20"/>
  <c r="O82" i="13"/>
  <c r="S82" i="13" s="1"/>
  <c r="L83" i="13" s="1"/>
  <c r="N83" i="13" s="1"/>
  <c r="K80" i="16"/>
  <c r="J80" i="16" s="1"/>
  <c r="K79" i="15"/>
  <c r="N79" i="15"/>
  <c r="N79" i="14"/>
  <c r="K79" i="14"/>
  <c r="Q85" i="17"/>
  <c r="P85" i="17" s="1"/>
  <c r="Q146" i="20" l="1"/>
  <c r="R146" i="20" s="1"/>
  <c r="N248" i="20"/>
  <c r="Y249" i="20"/>
  <c r="K83" i="13"/>
  <c r="J83" i="13" s="1"/>
  <c r="Q83" i="13" s="1"/>
  <c r="J79" i="14"/>
  <c r="Q79" i="14" s="1"/>
  <c r="P79" i="14" s="1"/>
  <c r="R79" i="14" s="1"/>
  <c r="T79" i="14" s="1"/>
  <c r="M80" i="14" s="1"/>
  <c r="R85" i="17"/>
  <c r="T85" i="17" s="1"/>
  <c r="M86" i="17" s="1"/>
  <c r="O85" i="17"/>
  <c r="S85" i="17" s="1"/>
  <c r="L86" i="17" s="1"/>
  <c r="J79" i="15"/>
  <c r="Q80" i="16"/>
  <c r="P80" i="16" s="1"/>
  <c r="R80" i="16" s="1"/>
  <c r="T80" i="16" s="1"/>
  <c r="M81" i="16" s="1"/>
  <c r="P146" i="20" l="1"/>
  <c r="T146" i="20" s="1"/>
  <c r="U146" i="20" s="1"/>
  <c r="M147" i="20" s="1"/>
  <c r="Q147" i="20" s="1"/>
  <c r="P147" i="20" s="1"/>
  <c r="Y250" i="20"/>
  <c r="N249" i="20"/>
  <c r="P83" i="13"/>
  <c r="R83" i="13" s="1"/>
  <c r="T83" i="13" s="1"/>
  <c r="M84" i="13" s="1"/>
  <c r="O80" i="16"/>
  <c r="S80" i="16" s="1"/>
  <c r="L81" i="16" s="1"/>
  <c r="O79" i="14"/>
  <c r="S79" i="14" s="1"/>
  <c r="L80" i="14" s="1"/>
  <c r="Q79" i="15"/>
  <c r="P79" i="15" s="1"/>
  <c r="R79" i="15" s="1"/>
  <c r="T79" i="15" s="1"/>
  <c r="M80" i="15" s="1"/>
  <c r="N86" i="17"/>
  <c r="K86" i="17"/>
  <c r="O147" i="20" l="1"/>
  <c r="S147" i="20" s="1"/>
  <c r="T147" i="20"/>
  <c r="U147" i="20" s="1"/>
  <c r="V147" i="20" s="1"/>
  <c r="R147" i="20" s="1"/>
  <c r="N250" i="20"/>
  <c r="Y251" i="20"/>
  <c r="J86" i="17"/>
  <c r="Q86" i="17" s="1"/>
  <c r="P86" i="17" s="1"/>
  <c r="R86" i="17" s="1"/>
  <c r="T86" i="17" s="1"/>
  <c r="M87" i="17" s="1"/>
  <c r="O83" i="13"/>
  <c r="S83" i="13" s="1"/>
  <c r="L84" i="13" s="1"/>
  <c r="K84" i="13" s="1"/>
  <c r="O79" i="15"/>
  <c r="S79" i="15" s="1"/>
  <c r="L80" i="15" s="1"/>
  <c r="N80" i="14"/>
  <c r="K80" i="14"/>
  <c r="K81" i="16"/>
  <c r="N81" i="16"/>
  <c r="M148" i="20" l="1"/>
  <c r="Y252" i="20"/>
  <c r="N251" i="20"/>
  <c r="N84" i="13"/>
  <c r="J84" i="13" s="1"/>
  <c r="J80" i="14"/>
  <c r="Q80" i="14" s="1"/>
  <c r="P80" i="14" s="1"/>
  <c r="O80" i="14" s="1"/>
  <c r="S80" i="14" s="1"/>
  <c r="L81" i="14" s="1"/>
  <c r="O86" i="17"/>
  <c r="S86" i="17" s="1"/>
  <c r="L87" i="17" s="1"/>
  <c r="N87" i="17" s="1"/>
  <c r="J81" i="16"/>
  <c r="N80" i="15"/>
  <c r="K80" i="15"/>
  <c r="Q148" i="20" l="1"/>
  <c r="O148" i="20"/>
  <c r="S148" i="20" s="1"/>
  <c r="Y253" i="20"/>
  <c r="N252" i="20"/>
  <c r="K87" i="17"/>
  <c r="J87" i="17" s="1"/>
  <c r="Q87" i="17" s="1"/>
  <c r="P87" i="17" s="1"/>
  <c r="R87" i="17" s="1"/>
  <c r="T87" i="17" s="1"/>
  <c r="M88" i="17" s="1"/>
  <c r="J80" i="15"/>
  <c r="Q80" i="15" s="1"/>
  <c r="P80" i="15" s="1"/>
  <c r="O80" i="15" s="1"/>
  <c r="S80" i="15" s="1"/>
  <c r="L81" i="15" s="1"/>
  <c r="R80" i="14"/>
  <c r="T80" i="14" s="1"/>
  <c r="M81" i="14" s="1"/>
  <c r="K81" i="14" s="1"/>
  <c r="N81" i="14"/>
  <c r="Q81" i="16"/>
  <c r="P81" i="16" s="1"/>
  <c r="R81" i="16" s="1"/>
  <c r="T81" i="16" s="1"/>
  <c r="M82" i="16" s="1"/>
  <c r="Q84" i="13"/>
  <c r="R148" i="20" l="1"/>
  <c r="P148" i="20"/>
  <c r="T148" i="20" s="1"/>
  <c r="U148" i="20" s="1"/>
  <c r="M149" i="20" s="1"/>
  <c r="N253" i="20"/>
  <c r="Y254" i="20"/>
  <c r="R80" i="15"/>
  <c r="T80" i="15" s="1"/>
  <c r="M81" i="15" s="1"/>
  <c r="K81" i="15" s="1"/>
  <c r="P84" i="13"/>
  <c r="R84" i="13" s="1"/>
  <c r="T84" i="13" s="1"/>
  <c r="M85" i="13" s="1"/>
  <c r="O81" i="16"/>
  <c r="S81" i="16" s="1"/>
  <c r="L82" i="16" s="1"/>
  <c r="K82" i="16" s="1"/>
  <c r="N81" i="15"/>
  <c r="O87" i="17"/>
  <c r="S87" i="17" s="1"/>
  <c r="L88" i="17" s="1"/>
  <c r="J81" i="14"/>
  <c r="Q149" i="20" l="1"/>
  <c r="R149" i="20" s="1"/>
  <c r="O149" i="20"/>
  <c r="S149" i="20" s="1"/>
  <c r="N254" i="20"/>
  <c r="Y255" i="20"/>
  <c r="N82" i="16"/>
  <c r="J82" i="16" s="1"/>
  <c r="O84" i="13"/>
  <c r="S84" i="13" s="1"/>
  <c r="L85" i="13" s="1"/>
  <c r="K85" i="13" s="1"/>
  <c r="Q81" i="14"/>
  <c r="P81" i="14" s="1"/>
  <c r="R81" i="14" s="1"/>
  <c r="T81" i="14" s="1"/>
  <c r="M82" i="14" s="1"/>
  <c r="K88" i="17"/>
  <c r="N88" i="17"/>
  <c r="J81" i="15"/>
  <c r="P149" i="20" l="1"/>
  <c r="T149" i="20"/>
  <c r="U149" i="20" s="1"/>
  <c r="M150" i="20" s="1"/>
  <c r="N255" i="20"/>
  <c r="Y256" i="20"/>
  <c r="N85" i="13"/>
  <c r="J85" i="13" s="1"/>
  <c r="Q85" i="13" s="1"/>
  <c r="P85" i="13" s="1"/>
  <c r="O81" i="14"/>
  <c r="S81" i="14" s="1"/>
  <c r="L82" i="14" s="1"/>
  <c r="N82" i="14" s="1"/>
  <c r="J88" i="17"/>
  <c r="Q82" i="16"/>
  <c r="P82" i="16" s="1"/>
  <c r="R82" i="16" s="1"/>
  <c r="T82" i="16" s="1"/>
  <c r="M83" i="16" s="1"/>
  <c r="Q81" i="15"/>
  <c r="P81" i="15" s="1"/>
  <c r="O150" i="20" l="1"/>
  <c r="S150" i="20" s="1"/>
  <c r="Q150" i="20"/>
  <c r="R150" i="20" s="1"/>
  <c r="Y257" i="20"/>
  <c r="N256" i="20"/>
  <c r="K82" i="14"/>
  <c r="J82" i="14" s="1"/>
  <c r="Q82" i="14" s="1"/>
  <c r="P82" i="14" s="1"/>
  <c r="R82" i="14" s="1"/>
  <c r="T82" i="14" s="1"/>
  <c r="M83" i="14" s="1"/>
  <c r="O82" i="16"/>
  <c r="S82" i="16" s="1"/>
  <c r="L83" i="16" s="1"/>
  <c r="K83" i="16" s="1"/>
  <c r="R81" i="15"/>
  <c r="T81" i="15" s="1"/>
  <c r="M82" i="15" s="1"/>
  <c r="O81" i="15"/>
  <c r="S81" i="15" s="1"/>
  <c r="L82" i="15" s="1"/>
  <c r="R85" i="13"/>
  <c r="T85" i="13" s="1"/>
  <c r="M86" i="13" s="1"/>
  <c r="O85" i="13"/>
  <c r="S85" i="13" s="1"/>
  <c r="L86" i="13" s="1"/>
  <c r="Q88" i="17"/>
  <c r="P88" i="17" s="1"/>
  <c r="P150" i="20" l="1"/>
  <c r="T150" i="20" s="1"/>
  <c r="U150" i="20" s="1"/>
  <c r="M151" i="20" s="1"/>
  <c r="O151" i="20" s="1"/>
  <c r="S151" i="20" s="1"/>
  <c r="Y258" i="20"/>
  <c r="N257" i="20"/>
  <c r="N83" i="16"/>
  <c r="J83" i="16" s="1"/>
  <c r="R88" i="17"/>
  <c r="T88" i="17" s="1"/>
  <c r="M89" i="17" s="1"/>
  <c r="O88" i="17"/>
  <c r="S88" i="17" s="1"/>
  <c r="L89" i="17" s="1"/>
  <c r="O82" i="14"/>
  <c r="S82" i="14" s="1"/>
  <c r="L83" i="14" s="1"/>
  <c r="N86" i="13"/>
  <c r="K86" i="13"/>
  <c r="K82" i="15"/>
  <c r="N82" i="15"/>
  <c r="Q151" i="20" l="1"/>
  <c r="R151" i="20" s="1"/>
  <c r="N258" i="20"/>
  <c r="Y259" i="20"/>
  <c r="J86" i="13"/>
  <c r="Q83" i="16"/>
  <c r="P83" i="16" s="1"/>
  <c r="R83" i="16" s="1"/>
  <c r="T83" i="16" s="1"/>
  <c r="M84" i="16" s="1"/>
  <c r="K89" i="17"/>
  <c r="N89" i="17"/>
  <c r="K83" i="14"/>
  <c r="N83" i="14"/>
  <c r="J82" i="15"/>
  <c r="P151" i="20" l="1"/>
  <c r="T151" i="20" s="1"/>
  <c r="U151" i="20" s="1"/>
  <c r="M152" i="20" s="1"/>
  <c r="Q152" i="20" s="1"/>
  <c r="R152" i="20" s="1"/>
  <c r="Y260" i="20"/>
  <c r="N259" i="20"/>
  <c r="J89" i="17"/>
  <c r="Q89" i="17" s="1"/>
  <c r="P89" i="17" s="1"/>
  <c r="R89" i="17" s="1"/>
  <c r="T89" i="17" s="1"/>
  <c r="M90" i="17" s="1"/>
  <c r="Q82" i="15"/>
  <c r="Q86" i="13"/>
  <c r="P86" i="13" s="1"/>
  <c r="R86" i="13" s="1"/>
  <c r="T86" i="13" s="1"/>
  <c r="M87" i="13" s="1"/>
  <c r="O83" i="16"/>
  <c r="S83" i="16" s="1"/>
  <c r="L84" i="16" s="1"/>
  <c r="J83" i="14"/>
  <c r="P152" i="20" l="1"/>
  <c r="O152" i="20"/>
  <c r="S152" i="20" s="1"/>
  <c r="T152" i="20"/>
  <c r="U152" i="20" s="1"/>
  <c r="M153" i="20" s="1"/>
  <c r="Y261" i="20"/>
  <c r="N260" i="20"/>
  <c r="O89" i="17"/>
  <c r="S89" i="17" s="1"/>
  <c r="L90" i="17" s="1"/>
  <c r="N90" i="17" s="1"/>
  <c r="P82" i="15"/>
  <c r="R82" i="15" s="1"/>
  <c r="T82" i="15" s="1"/>
  <c r="M83" i="15" s="1"/>
  <c r="N84" i="16"/>
  <c r="K84" i="16"/>
  <c r="Q83" i="14"/>
  <c r="O86" i="13"/>
  <c r="S86" i="13" s="1"/>
  <c r="L87" i="13" s="1"/>
  <c r="O153" i="20" l="1"/>
  <c r="S153" i="20" s="1"/>
  <c r="Q153" i="20"/>
  <c r="R153" i="20" s="1"/>
  <c r="P153" i="20"/>
  <c r="T153" i="20" s="1"/>
  <c r="U153" i="20" s="1"/>
  <c r="M154" i="20" s="1"/>
  <c r="J84" i="16"/>
  <c r="Q84" i="16" s="1"/>
  <c r="P84" i="16" s="1"/>
  <c r="R84" i="16" s="1"/>
  <c r="T84" i="16" s="1"/>
  <c r="M85" i="16" s="1"/>
  <c r="Y262" i="20"/>
  <c r="N261" i="20"/>
  <c r="K90" i="17"/>
  <c r="J90" i="17" s="1"/>
  <c r="Q90" i="17" s="1"/>
  <c r="N87" i="13"/>
  <c r="K87" i="13"/>
  <c r="P83" i="14"/>
  <c r="R83" i="14" s="1"/>
  <c r="T83" i="14" s="1"/>
  <c r="M84" i="14" s="1"/>
  <c r="O82" i="15"/>
  <c r="S82" i="15" s="1"/>
  <c r="L83" i="15" s="1"/>
  <c r="O154" i="20" l="1"/>
  <c r="S154" i="20" s="1"/>
  <c r="Q154" i="20"/>
  <c r="R154" i="20" s="1"/>
  <c r="Y263" i="20"/>
  <c r="N262" i="20"/>
  <c r="J87" i="13"/>
  <c r="Q87" i="13" s="1"/>
  <c r="P87" i="13" s="1"/>
  <c r="R87" i="13" s="1"/>
  <c r="T87" i="13" s="1"/>
  <c r="M88" i="13" s="1"/>
  <c r="O84" i="16"/>
  <c r="S84" i="16" s="1"/>
  <c r="L85" i="16" s="1"/>
  <c r="K83" i="15"/>
  <c r="N83" i="15"/>
  <c r="P90" i="17"/>
  <c r="R90" i="17" s="1"/>
  <c r="T90" i="17" s="1"/>
  <c r="M91" i="17" s="1"/>
  <c r="O83" i="14"/>
  <c r="S83" i="14" s="1"/>
  <c r="L84" i="14" s="1"/>
  <c r="P154" i="20" l="1"/>
  <c r="T154" i="20" s="1"/>
  <c r="U154" i="20" s="1"/>
  <c r="M155" i="20" s="1"/>
  <c r="O155" i="20" s="1"/>
  <c r="S155" i="20" s="1"/>
  <c r="N263" i="20"/>
  <c r="Y264" i="20"/>
  <c r="O87" i="13"/>
  <c r="S87" i="13" s="1"/>
  <c r="L88" i="13" s="1"/>
  <c r="N88" i="13" s="1"/>
  <c r="N84" i="14"/>
  <c r="K84" i="14"/>
  <c r="N85" i="16"/>
  <c r="K85" i="16"/>
  <c r="J83" i="15"/>
  <c r="O90" i="17"/>
  <c r="S90" i="17" s="1"/>
  <c r="L91" i="17" s="1"/>
  <c r="Q155" i="20" l="1"/>
  <c r="R155" i="20" s="1"/>
  <c r="Y265" i="20"/>
  <c r="N264" i="20"/>
  <c r="J84" i="14"/>
  <c r="Q84" i="14" s="1"/>
  <c r="P84" i="14" s="1"/>
  <c r="R84" i="14" s="1"/>
  <c r="T84" i="14" s="1"/>
  <c r="M85" i="14" s="1"/>
  <c r="K88" i="13"/>
  <c r="J88" i="13" s="1"/>
  <c r="Q88" i="13" s="1"/>
  <c r="P88" i="13" s="1"/>
  <c r="O88" i="13" s="1"/>
  <c r="S88" i="13" s="1"/>
  <c r="L89" i="13" s="1"/>
  <c r="N91" i="17"/>
  <c r="K91" i="17"/>
  <c r="Q83" i="15"/>
  <c r="P83" i="15" s="1"/>
  <c r="R83" i="15" s="1"/>
  <c r="T83" i="15" s="1"/>
  <c r="M84" i="15" s="1"/>
  <c r="J85" i="16"/>
  <c r="P155" i="20" l="1"/>
  <c r="T155" i="20" s="1"/>
  <c r="U155" i="20" s="1"/>
  <c r="M156" i="20" s="1"/>
  <c r="Q156" i="20" s="1"/>
  <c r="R156" i="20" s="1"/>
  <c r="O156" i="20"/>
  <c r="S156" i="20" s="1"/>
  <c r="Y266" i="20"/>
  <c r="N265" i="20"/>
  <c r="J91" i="17"/>
  <c r="Q91" i="17" s="1"/>
  <c r="P91" i="17" s="1"/>
  <c r="R91" i="17" s="1"/>
  <c r="T91" i="17" s="1"/>
  <c r="M92" i="17" s="1"/>
  <c r="R88" i="13"/>
  <c r="T88" i="13" s="1"/>
  <c r="M89" i="13" s="1"/>
  <c r="K89" i="13" s="1"/>
  <c r="N89" i="13"/>
  <c r="O84" i="14"/>
  <c r="S84" i="14" s="1"/>
  <c r="L85" i="14" s="1"/>
  <c r="Q85" i="16"/>
  <c r="P85" i="16" s="1"/>
  <c r="R85" i="16" s="1"/>
  <c r="T85" i="16" s="1"/>
  <c r="M86" i="16" s="1"/>
  <c r="O83" i="15"/>
  <c r="S83" i="15" s="1"/>
  <c r="L84" i="15" s="1"/>
  <c r="P156" i="20" l="1"/>
  <c r="T156" i="20" s="1"/>
  <c r="U156" i="20" s="1"/>
  <c r="M157" i="20" s="1"/>
  <c r="Q157" i="20" s="1"/>
  <c r="R157" i="20" s="1"/>
  <c r="Y267" i="20"/>
  <c r="N266" i="20"/>
  <c r="J89" i="13"/>
  <c r="Q89" i="13" s="1"/>
  <c r="O91" i="17"/>
  <c r="S91" i="17" s="1"/>
  <c r="L92" i="17" s="1"/>
  <c r="N92" i="17" s="1"/>
  <c r="O85" i="16"/>
  <c r="S85" i="16" s="1"/>
  <c r="L86" i="16" s="1"/>
  <c r="K86" i="16" s="1"/>
  <c r="N84" i="15"/>
  <c r="K84" i="15"/>
  <c r="N85" i="14"/>
  <c r="K85" i="14"/>
  <c r="O157" i="20" l="1"/>
  <c r="S157" i="20" s="1"/>
  <c r="P157" i="20"/>
  <c r="T157" i="20" s="1"/>
  <c r="U157" i="20" s="1"/>
  <c r="M158" i="20" s="1"/>
  <c r="N267" i="20"/>
  <c r="Y268" i="20"/>
  <c r="J84" i="15"/>
  <c r="Q84" i="15" s="1"/>
  <c r="N86" i="16"/>
  <c r="J86" i="16" s="1"/>
  <c r="K92" i="17"/>
  <c r="J92" i="17" s="1"/>
  <c r="J85" i="14"/>
  <c r="Q85" i="14" s="1"/>
  <c r="P85" i="14" s="1"/>
  <c r="R85" i="14" s="1"/>
  <c r="T85" i="14" s="1"/>
  <c r="M86" i="14" s="1"/>
  <c r="P89" i="13"/>
  <c r="R89" i="13" s="1"/>
  <c r="T89" i="13" s="1"/>
  <c r="M90" i="13" s="1"/>
  <c r="O158" i="20" l="1"/>
  <c r="S158" i="20" s="1"/>
  <c r="Q158" i="20"/>
  <c r="Y269" i="20"/>
  <c r="N268" i="20"/>
  <c r="Q92" i="17"/>
  <c r="P92" i="17" s="1"/>
  <c r="R92" i="17" s="1"/>
  <c r="T92" i="17" s="1"/>
  <c r="M93" i="17" s="1"/>
  <c r="Q86" i="16"/>
  <c r="P86" i="16" s="1"/>
  <c r="R86" i="16" s="1"/>
  <c r="T86" i="16" s="1"/>
  <c r="M87" i="16" s="1"/>
  <c r="O85" i="14"/>
  <c r="S85" i="14" s="1"/>
  <c r="L86" i="14" s="1"/>
  <c r="P84" i="15"/>
  <c r="R84" i="15" s="1"/>
  <c r="T84" i="15" s="1"/>
  <c r="M85" i="15" s="1"/>
  <c r="O89" i="13"/>
  <c r="S89" i="13" s="1"/>
  <c r="L90" i="13" s="1"/>
  <c r="R158" i="20" l="1"/>
  <c r="P158" i="20"/>
  <c r="T158" i="20" s="1"/>
  <c r="U158" i="20" s="1"/>
  <c r="M159" i="20" s="1"/>
  <c r="Y270" i="20"/>
  <c r="N269" i="20"/>
  <c r="O86" i="16"/>
  <c r="S86" i="16" s="1"/>
  <c r="L87" i="16" s="1"/>
  <c r="K90" i="13"/>
  <c r="N90" i="13"/>
  <c r="O92" i="17"/>
  <c r="S92" i="17" s="1"/>
  <c r="L93" i="17" s="1"/>
  <c r="N86" i="14"/>
  <c r="K86" i="14"/>
  <c r="O84" i="15"/>
  <c r="S84" i="15" s="1"/>
  <c r="L85" i="15" s="1"/>
  <c r="O159" i="20" l="1"/>
  <c r="S159" i="20" s="1"/>
  <c r="Q159" i="20"/>
  <c r="P159" i="20" s="1"/>
  <c r="Y271" i="20"/>
  <c r="N270" i="20"/>
  <c r="J86" i="14"/>
  <c r="Q86" i="14" s="1"/>
  <c r="P86" i="14" s="1"/>
  <c r="N93" i="17"/>
  <c r="K93" i="17"/>
  <c r="N85" i="15"/>
  <c r="K85" i="15"/>
  <c r="J90" i="13"/>
  <c r="N87" i="16"/>
  <c r="K87" i="16"/>
  <c r="T159" i="20" l="1"/>
  <c r="U159" i="20" s="1"/>
  <c r="V159" i="20"/>
  <c r="R159" i="20" s="1"/>
  <c r="M160" i="20"/>
  <c r="N271" i="20"/>
  <c r="Y272" i="20"/>
  <c r="J87" i="16"/>
  <c r="Q87" i="16" s="1"/>
  <c r="P87" i="16" s="1"/>
  <c r="O87" i="16" s="1"/>
  <c r="S87" i="16" s="1"/>
  <c r="L88" i="16" s="1"/>
  <c r="J93" i="17"/>
  <c r="Q93" i="17" s="1"/>
  <c r="P93" i="17" s="1"/>
  <c r="R93" i="17" s="1"/>
  <c r="T93" i="17" s="1"/>
  <c r="M94" i="17" s="1"/>
  <c r="O86" i="14"/>
  <c r="S86" i="14" s="1"/>
  <c r="L87" i="14" s="1"/>
  <c r="R86" i="14"/>
  <c r="T86" i="14" s="1"/>
  <c r="M87" i="14" s="1"/>
  <c r="Q90" i="13"/>
  <c r="J85" i="15"/>
  <c r="Q160" i="20" l="1"/>
  <c r="R160" i="20" s="1"/>
  <c r="O160" i="20"/>
  <c r="S160" i="20" s="1"/>
  <c r="N272" i="20"/>
  <c r="Y273" i="20"/>
  <c r="R87" i="16"/>
  <c r="T87" i="16" s="1"/>
  <c r="M88" i="16" s="1"/>
  <c r="K88" i="16" s="1"/>
  <c r="P90" i="13"/>
  <c r="R90" i="13" s="1"/>
  <c r="T90" i="13" s="1"/>
  <c r="M91" i="13" s="1"/>
  <c r="N88" i="16"/>
  <c r="Q85" i="15"/>
  <c r="P85" i="15" s="1"/>
  <c r="O93" i="17"/>
  <c r="S93" i="17" s="1"/>
  <c r="L94" i="17" s="1"/>
  <c r="N87" i="14"/>
  <c r="K87" i="14"/>
  <c r="P160" i="20" l="1"/>
  <c r="T160" i="20" s="1"/>
  <c r="U160" i="20" s="1"/>
  <c r="M161" i="20" s="1"/>
  <c r="Q161" i="20" s="1"/>
  <c r="R161" i="20" s="1"/>
  <c r="N273" i="20"/>
  <c r="Y274" i="20"/>
  <c r="J88" i="16"/>
  <c r="Q88" i="16" s="1"/>
  <c r="P88" i="16" s="1"/>
  <c r="O90" i="13"/>
  <c r="S90" i="13" s="1"/>
  <c r="L91" i="13" s="1"/>
  <c r="R85" i="15"/>
  <c r="T85" i="15" s="1"/>
  <c r="M86" i="15" s="1"/>
  <c r="O85" i="15"/>
  <c r="S85" i="15" s="1"/>
  <c r="L86" i="15" s="1"/>
  <c r="N94" i="17"/>
  <c r="K94" i="17"/>
  <c r="J87" i="14"/>
  <c r="O161" i="20" l="1"/>
  <c r="S161" i="20" s="1"/>
  <c r="P161" i="20"/>
  <c r="T161" i="20" s="1"/>
  <c r="U161" i="20" s="1"/>
  <c r="M162" i="20" s="1"/>
  <c r="Y275" i="20"/>
  <c r="N274" i="20"/>
  <c r="R88" i="16"/>
  <c r="T88" i="16" s="1"/>
  <c r="M89" i="16" s="1"/>
  <c r="O88" i="16"/>
  <c r="S88" i="16" s="1"/>
  <c r="L89" i="16" s="1"/>
  <c r="N89" i="16" s="1"/>
  <c r="K91" i="13"/>
  <c r="N91" i="13"/>
  <c r="J94" i="17"/>
  <c r="Q94" i="17" s="1"/>
  <c r="P94" i="17" s="1"/>
  <c r="Q87" i="14"/>
  <c r="P87" i="14" s="1"/>
  <c r="R87" i="14" s="1"/>
  <c r="T87" i="14" s="1"/>
  <c r="M88" i="14" s="1"/>
  <c r="K86" i="15"/>
  <c r="N86" i="15"/>
  <c r="O162" i="20" l="1"/>
  <c r="S162" i="20" s="1"/>
  <c r="Q162" i="20"/>
  <c r="R162" i="20" s="1"/>
  <c r="N275" i="20"/>
  <c r="Y276" i="20"/>
  <c r="K89" i="16"/>
  <c r="J89" i="16" s="1"/>
  <c r="J91" i="13"/>
  <c r="R94" i="17"/>
  <c r="T94" i="17" s="1"/>
  <c r="M95" i="17" s="1"/>
  <c r="O94" i="17"/>
  <c r="S94" i="17" s="1"/>
  <c r="L95" i="17" s="1"/>
  <c r="J86" i="15"/>
  <c r="O87" i="14"/>
  <c r="S87" i="14" s="1"/>
  <c r="L88" i="14" s="1"/>
  <c r="P162" i="20" l="1"/>
  <c r="T162" i="20" s="1"/>
  <c r="U162" i="20" s="1"/>
  <c r="M163" i="20" s="1"/>
  <c r="O163" i="20" s="1"/>
  <c r="S163" i="20" s="1"/>
  <c r="N276" i="20"/>
  <c r="Y277" i="20"/>
  <c r="Q91" i="13"/>
  <c r="N88" i="14"/>
  <c r="K88" i="14"/>
  <c r="Q89" i="16"/>
  <c r="N95" i="17"/>
  <c r="K95" i="17"/>
  <c r="Q86" i="15"/>
  <c r="P86" i="15" s="1"/>
  <c r="R86" i="15" s="1"/>
  <c r="T86" i="15" s="1"/>
  <c r="M87" i="15" s="1"/>
  <c r="Q163" i="20" l="1"/>
  <c r="R163" i="20" s="1"/>
  <c r="P163" i="20"/>
  <c r="T163" i="20" s="1"/>
  <c r="U163" i="20" s="1"/>
  <c r="M164" i="20" s="1"/>
  <c r="J88" i="14"/>
  <c r="Q88" i="14" s="1"/>
  <c r="Y278" i="20"/>
  <c r="N277" i="20"/>
  <c r="J95" i="17"/>
  <c r="Q95" i="17" s="1"/>
  <c r="P95" i="17" s="1"/>
  <c r="O95" i="17" s="1"/>
  <c r="S95" i="17" s="1"/>
  <c r="L96" i="17" s="1"/>
  <c r="P91" i="13"/>
  <c r="R91" i="13" s="1"/>
  <c r="T91" i="13" s="1"/>
  <c r="M92" i="13" s="1"/>
  <c r="P89" i="16"/>
  <c r="R89" i="16" s="1"/>
  <c r="T89" i="16" s="1"/>
  <c r="M90" i="16" s="1"/>
  <c r="O86" i="15"/>
  <c r="S86" i="15" s="1"/>
  <c r="L87" i="15" s="1"/>
  <c r="O164" i="20" l="1"/>
  <c r="S164" i="20" s="1"/>
  <c r="Q164" i="20"/>
  <c r="R164" i="20" s="1"/>
  <c r="Y279" i="20"/>
  <c r="N278" i="20"/>
  <c r="R95" i="17"/>
  <c r="T95" i="17" s="1"/>
  <c r="M96" i="17" s="1"/>
  <c r="K96" i="17" s="1"/>
  <c r="O91" i="13"/>
  <c r="S91" i="13" s="1"/>
  <c r="L92" i="13" s="1"/>
  <c r="N96" i="17"/>
  <c r="N87" i="15"/>
  <c r="K87" i="15"/>
  <c r="P88" i="14"/>
  <c r="R88" i="14" s="1"/>
  <c r="T88" i="14" s="1"/>
  <c r="M89" i="14" s="1"/>
  <c r="O89" i="16"/>
  <c r="S89" i="16" s="1"/>
  <c r="L90" i="16" s="1"/>
  <c r="P164" i="20" l="1"/>
  <c r="T164" i="20" s="1"/>
  <c r="U164" i="20" s="1"/>
  <c r="M165" i="20" s="1"/>
  <c r="Y280" i="20"/>
  <c r="N279" i="20"/>
  <c r="K92" i="13"/>
  <c r="N92" i="13"/>
  <c r="N90" i="16"/>
  <c r="K90" i="16"/>
  <c r="O88" i="14"/>
  <c r="S88" i="14" s="1"/>
  <c r="L89" i="14" s="1"/>
  <c r="J96" i="17"/>
  <c r="J87" i="15"/>
  <c r="Q165" i="20" l="1"/>
  <c r="R165" i="20" s="1"/>
  <c r="O165" i="20"/>
  <c r="S165" i="20" s="1"/>
  <c r="N280" i="20"/>
  <c r="Y281" i="20"/>
  <c r="J92" i="13"/>
  <c r="Q87" i="15"/>
  <c r="P87" i="15" s="1"/>
  <c r="R87" i="15" s="1"/>
  <c r="T87" i="15" s="1"/>
  <c r="M88" i="15" s="1"/>
  <c r="J90" i="16"/>
  <c r="Q96" i="17"/>
  <c r="P96" i="17" s="1"/>
  <c r="N89" i="14"/>
  <c r="K89" i="14"/>
  <c r="P165" i="20" l="1"/>
  <c r="T165" i="20" s="1"/>
  <c r="U165" i="20" s="1"/>
  <c r="M166" i="20" s="1"/>
  <c r="N281" i="20"/>
  <c r="Y282" i="20"/>
  <c r="Q92" i="13"/>
  <c r="R96" i="17"/>
  <c r="T96" i="17" s="1"/>
  <c r="M97" i="17" s="1"/>
  <c r="O96" i="17"/>
  <c r="S96" i="17" s="1"/>
  <c r="L97" i="17" s="1"/>
  <c r="J89" i="14"/>
  <c r="O87" i="15"/>
  <c r="S87" i="15" s="1"/>
  <c r="L88" i="15" s="1"/>
  <c r="Q90" i="16"/>
  <c r="P90" i="16" s="1"/>
  <c r="R90" i="16" s="1"/>
  <c r="T90" i="16" s="1"/>
  <c r="M91" i="16" s="1"/>
  <c r="Q166" i="20" l="1"/>
  <c r="R166" i="20" s="1"/>
  <c r="O166" i="20"/>
  <c r="S166" i="20" s="1"/>
  <c r="N282" i="20"/>
  <c r="Y283" i="20"/>
  <c r="P92" i="13"/>
  <c r="R92" i="13" s="1"/>
  <c r="T92" i="13" s="1"/>
  <c r="M93" i="13" s="1"/>
  <c r="K88" i="15"/>
  <c r="N88" i="15"/>
  <c r="Q89" i="14"/>
  <c r="P89" i="14" s="1"/>
  <c r="R89" i="14" s="1"/>
  <c r="T89" i="14" s="1"/>
  <c r="M90" i="14" s="1"/>
  <c r="O90" i="16"/>
  <c r="S90" i="16" s="1"/>
  <c r="L91" i="16" s="1"/>
  <c r="N97" i="17"/>
  <c r="K97" i="17"/>
  <c r="P166" i="20" l="1"/>
  <c r="T166" i="20" s="1"/>
  <c r="U166" i="20" s="1"/>
  <c r="M167" i="20" s="1"/>
  <c r="Y284" i="20"/>
  <c r="N283" i="20"/>
  <c r="O92" i="13"/>
  <c r="S92" i="13" s="1"/>
  <c r="L93" i="13" s="1"/>
  <c r="J97" i="17"/>
  <c r="Q97" i="17" s="1"/>
  <c r="P97" i="17" s="1"/>
  <c r="R97" i="17" s="1"/>
  <c r="T97" i="17" s="1"/>
  <c r="M98" i="17" s="1"/>
  <c r="O89" i="14"/>
  <c r="S89" i="14" s="1"/>
  <c r="L90" i="14" s="1"/>
  <c r="J88" i="15"/>
  <c r="N91" i="16"/>
  <c r="K91" i="16"/>
  <c r="O167" i="20" l="1"/>
  <c r="S167" i="20" s="1"/>
  <c r="Q167" i="20"/>
  <c r="R167" i="20" s="1"/>
  <c r="N284" i="20"/>
  <c r="Y285" i="20"/>
  <c r="J91" i="16"/>
  <c r="Q91" i="16" s="1"/>
  <c r="N93" i="13"/>
  <c r="K93" i="13"/>
  <c r="Q88" i="15"/>
  <c r="P88" i="15" s="1"/>
  <c r="R88" i="15" s="1"/>
  <c r="T88" i="15" s="1"/>
  <c r="M89" i="15" s="1"/>
  <c r="O97" i="17"/>
  <c r="S97" i="17" s="1"/>
  <c r="L98" i="17" s="1"/>
  <c r="N90" i="14"/>
  <c r="K90" i="14"/>
  <c r="P167" i="20" l="1"/>
  <c r="T167" i="20" s="1"/>
  <c r="U167" i="20" s="1"/>
  <c r="M168" i="20" s="1"/>
  <c r="N285" i="20"/>
  <c r="Y286" i="20"/>
  <c r="J93" i="13"/>
  <c r="Q93" i="13" s="1"/>
  <c r="P93" i="13" s="1"/>
  <c r="J90" i="14"/>
  <c r="O88" i="15"/>
  <c r="S88" i="15" s="1"/>
  <c r="L89" i="15" s="1"/>
  <c r="K89" i="15" s="1"/>
  <c r="P91" i="16"/>
  <c r="R91" i="16" s="1"/>
  <c r="T91" i="16" s="1"/>
  <c r="M92" i="16" s="1"/>
  <c r="K98" i="17"/>
  <c r="N98" i="17"/>
  <c r="Q168" i="20" l="1"/>
  <c r="R168" i="20" s="1"/>
  <c r="O168" i="20"/>
  <c r="S168" i="20" s="1"/>
  <c r="Y287" i="20"/>
  <c r="N286" i="20"/>
  <c r="N89" i="15"/>
  <c r="J89" i="15" s="1"/>
  <c r="Q89" i="15" s="1"/>
  <c r="R93" i="13"/>
  <c r="T93" i="13" s="1"/>
  <c r="M94" i="13" s="1"/>
  <c r="O93" i="13"/>
  <c r="S93" i="13" s="1"/>
  <c r="L94" i="13" s="1"/>
  <c r="Q90" i="14"/>
  <c r="P90" i="14" s="1"/>
  <c r="J98" i="17"/>
  <c r="O91" i="16"/>
  <c r="S91" i="16" s="1"/>
  <c r="L92" i="16" s="1"/>
  <c r="P168" i="20" l="1"/>
  <c r="T168" i="20" s="1"/>
  <c r="U168" i="20" s="1"/>
  <c r="M169" i="20" s="1"/>
  <c r="N287" i="20"/>
  <c r="Y288" i="20"/>
  <c r="K94" i="13"/>
  <c r="N94" i="13"/>
  <c r="R90" i="14"/>
  <c r="T90" i="14" s="1"/>
  <c r="M91" i="14" s="1"/>
  <c r="O90" i="14"/>
  <c r="S90" i="14" s="1"/>
  <c r="L91" i="14" s="1"/>
  <c r="N92" i="16"/>
  <c r="K92" i="16"/>
  <c r="Q98" i="17"/>
  <c r="P98" i="17" s="1"/>
  <c r="R98" i="17" s="1"/>
  <c r="T98" i="17" s="1"/>
  <c r="M99" i="17" s="1"/>
  <c r="P89" i="15"/>
  <c r="R89" i="15" s="1"/>
  <c r="T89" i="15" s="1"/>
  <c r="M90" i="15" s="1"/>
  <c r="Q169" i="20" l="1"/>
  <c r="R169" i="20" s="1"/>
  <c r="O169" i="20"/>
  <c r="S169" i="20" s="1"/>
  <c r="N288" i="20"/>
  <c r="Y289" i="20"/>
  <c r="J92" i="16"/>
  <c r="Q92" i="16" s="1"/>
  <c r="P92" i="16" s="1"/>
  <c r="J94" i="13"/>
  <c r="N91" i="14"/>
  <c r="K91" i="14"/>
  <c r="O98" i="17"/>
  <c r="S98" i="17" s="1"/>
  <c r="L99" i="17" s="1"/>
  <c r="O89" i="15"/>
  <c r="S89" i="15" s="1"/>
  <c r="L90" i="15" s="1"/>
  <c r="P169" i="20" l="1"/>
  <c r="T169" i="20" s="1"/>
  <c r="U169" i="20" s="1"/>
  <c r="M170" i="20" s="1"/>
  <c r="J91" i="14"/>
  <c r="Q91" i="14" s="1"/>
  <c r="P91" i="14" s="1"/>
  <c r="R91" i="14" s="1"/>
  <c r="T91" i="14" s="1"/>
  <c r="M92" i="14" s="1"/>
  <c r="Y290" i="20"/>
  <c r="N289" i="20"/>
  <c r="O92" i="16"/>
  <c r="S92" i="16" s="1"/>
  <c r="L93" i="16" s="1"/>
  <c r="N93" i="16" s="1"/>
  <c r="R92" i="16"/>
  <c r="T92" i="16" s="1"/>
  <c r="M93" i="16" s="1"/>
  <c r="Q94" i="13"/>
  <c r="P94" i="13" s="1"/>
  <c r="R94" i="13" s="1"/>
  <c r="T94" i="13" s="1"/>
  <c r="M95" i="13" s="1"/>
  <c r="K90" i="15"/>
  <c r="N90" i="15"/>
  <c r="N99" i="17"/>
  <c r="K99" i="17"/>
  <c r="O170" i="20" l="1"/>
  <c r="S170" i="20" s="1"/>
  <c r="Q170" i="20"/>
  <c r="R170" i="20" s="1"/>
  <c r="O91" i="14"/>
  <c r="S91" i="14" s="1"/>
  <c r="L92" i="14" s="1"/>
  <c r="K92" i="14" s="1"/>
  <c r="K93" i="16"/>
  <c r="J93" i="16" s="1"/>
  <c r="Q93" i="16" s="1"/>
  <c r="P93" i="16" s="1"/>
  <c r="R93" i="16" s="1"/>
  <c r="T93" i="16" s="1"/>
  <c r="M94" i="16" s="1"/>
  <c r="Y291" i="20"/>
  <c r="N290" i="20"/>
  <c r="O94" i="13"/>
  <c r="S94" i="13" s="1"/>
  <c r="L95" i="13" s="1"/>
  <c r="J99" i="17"/>
  <c r="J90" i="15"/>
  <c r="P170" i="20" l="1"/>
  <c r="T170" i="20" s="1"/>
  <c r="U170" i="20" s="1"/>
  <c r="M171" i="20" s="1"/>
  <c r="N92" i="14"/>
  <c r="J92" i="14" s="1"/>
  <c r="Q92" i="14" s="1"/>
  <c r="P92" i="14" s="1"/>
  <c r="R92" i="14" s="1"/>
  <c r="T92" i="14" s="1"/>
  <c r="M93" i="14" s="1"/>
  <c r="Y292" i="20"/>
  <c r="N291" i="20"/>
  <c r="O93" i="16"/>
  <c r="S93" i="16" s="1"/>
  <c r="L94" i="16" s="1"/>
  <c r="N94" i="16" s="1"/>
  <c r="K95" i="13"/>
  <c r="N95" i="13"/>
  <c r="Q99" i="17"/>
  <c r="P99" i="17" s="1"/>
  <c r="R99" i="17" s="1"/>
  <c r="T99" i="17" s="1"/>
  <c r="M100" i="17" s="1"/>
  <c r="Q90" i="15"/>
  <c r="Q171" i="20" l="1"/>
  <c r="P171" i="20" s="1"/>
  <c r="O171" i="20"/>
  <c r="S171" i="20" s="1"/>
  <c r="K94" i="16"/>
  <c r="J94" i="16" s="1"/>
  <c r="Q94" i="16" s="1"/>
  <c r="Y293" i="20"/>
  <c r="N292" i="20"/>
  <c r="J95" i="13"/>
  <c r="Q95" i="13" s="1"/>
  <c r="P95" i="13" s="1"/>
  <c r="R95" i="13" s="1"/>
  <c r="T95" i="13" s="1"/>
  <c r="M96" i="13" s="1"/>
  <c r="O92" i="14"/>
  <c r="S92" i="14" s="1"/>
  <c r="L93" i="14" s="1"/>
  <c r="K93" i="14" s="1"/>
  <c r="P90" i="15"/>
  <c r="R90" i="15" s="1"/>
  <c r="T90" i="15" s="1"/>
  <c r="M91" i="15" s="1"/>
  <c r="O99" i="17"/>
  <c r="S99" i="17" s="1"/>
  <c r="L100" i="17" s="1"/>
  <c r="T171" i="20" l="1"/>
  <c r="U171" i="20" s="1"/>
  <c r="V171" i="20" s="1"/>
  <c r="R171" i="20" s="1"/>
  <c r="Y294" i="20"/>
  <c r="N293" i="20"/>
  <c r="O95" i="13"/>
  <c r="S95" i="13" s="1"/>
  <c r="L96" i="13" s="1"/>
  <c r="N93" i="14"/>
  <c r="J93" i="14" s="1"/>
  <c r="P94" i="16"/>
  <c r="R94" i="16" s="1"/>
  <c r="T94" i="16" s="1"/>
  <c r="M95" i="16" s="1"/>
  <c r="O90" i="15"/>
  <c r="S90" i="15" s="1"/>
  <c r="L91" i="15" s="1"/>
  <c r="K91" i="15" s="1"/>
  <c r="K100" i="17"/>
  <c r="N100" i="17"/>
  <c r="M172" i="20" l="1"/>
  <c r="O172" i="20"/>
  <c r="S172" i="20" s="1"/>
  <c r="Q172" i="20"/>
  <c r="R172" i="20" s="1"/>
  <c r="P172" i="20"/>
  <c r="T172" i="20" s="1"/>
  <c r="U172" i="20" s="1"/>
  <c r="M173" i="20" s="1"/>
  <c r="N294" i="20"/>
  <c r="Y295" i="20"/>
  <c r="N91" i="15"/>
  <c r="J91" i="15" s="1"/>
  <c r="Q91" i="15" s="1"/>
  <c r="P91" i="15" s="1"/>
  <c r="R91" i="15" s="1"/>
  <c r="T91" i="15" s="1"/>
  <c r="M92" i="15" s="1"/>
  <c r="N96" i="13"/>
  <c r="K96" i="13"/>
  <c r="O94" i="16"/>
  <c r="S94" i="16" s="1"/>
  <c r="L95" i="16" s="1"/>
  <c r="Q93" i="14"/>
  <c r="P93" i="14" s="1"/>
  <c r="R93" i="14" s="1"/>
  <c r="T93" i="14" s="1"/>
  <c r="M94" i="14" s="1"/>
  <c r="J100" i="17"/>
  <c r="O173" i="20" l="1"/>
  <c r="S173" i="20" s="1"/>
  <c r="Q173" i="20"/>
  <c r="R173" i="20" s="1"/>
  <c r="Y296" i="20"/>
  <c r="N295" i="20"/>
  <c r="J96" i="13"/>
  <c r="Q96" i="13" s="1"/>
  <c r="P96" i="13" s="1"/>
  <c r="O96" i="13" s="1"/>
  <c r="S96" i="13" s="1"/>
  <c r="L97" i="13" s="1"/>
  <c r="N97" i="13" s="1"/>
  <c r="K95" i="16"/>
  <c r="N95" i="16"/>
  <c r="O91" i="15"/>
  <c r="S91" i="15" s="1"/>
  <c r="L92" i="15" s="1"/>
  <c r="K92" i="15" s="1"/>
  <c r="Q100" i="17"/>
  <c r="P100" i="17" s="1"/>
  <c r="R100" i="17" s="1"/>
  <c r="T100" i="17" s="1"/>
  <c r="M101" i="17" s="1"/>
  <c r="O93" i="14"/>
  <c r="S93" i="14" s="1"/>
  <c r="L94" i="14" s="1"/>
  <c r="P173" i="20" l="1"/>
  <c r="T173" i="20" s="1"/>
  <c r="U173" i="20" s="1"/>
  <c r="M174" i="20" s="1"/>
  <c r="Y297" i="20"/>
  <c r="N296" i="20"/>
  <c r="R96" i="13"/>
  <c r="T96" i="13" s="1"/>
  <c r="M97" i="13" s="1"/>
  <c r="K97" i="13" s="1"/>
  <c r="J97" i="13" s="1"/>
  <c r="Q97" i="13" s="1"/>
  <c r="P97" i="13" s="1"/>
  <c r="R97" i="13" s="1"/>
  <c r="T97" i="13" s="1"/>
  <c r="M98" i="13" s="1"/>
  <c r="N92" i="15"/>
  <c r="J92" i="15" s="1"/>
  <c r="J95" i="16"/>
  <c r="Q95" i="16" s="1"/>
  <c r="P95" i="16" s="1"/>
  <c r="R95" i="16" s="1"/>
  <c r="T95" i="16" s="1"/>
  <c r="M96" i="16" s="1"/>
  <c r="O100" i="17"/>
  <c r="S100" i="17" s="1"/>
  <c r="L101" i="17" s="1"/>
  <c r="N101" i="17" s="1"/>
  <c r="K94" i="14"/>
  <c r="N94" i="14"/>
  <c r="Q174" i="20" l="1"/>
  <c r="R174" i="20" s="1"/>
  <c r="O174" i="20"/>
  <c r="S174" i="20" s="1"/>
  <c r="N297" i="20"/>
  <c r="Y298" i="20"/>
  <c r="K101" i="17"/>
  <c r="J101" i="17" s="1"/>
  <c r="Q101" i="17" s="1"/>
  <c r="P101" i="17" s="1"/>
  <c r="R101" i="17" s="1"/>
  <c r="T101" i="17" s="1"/>
  <c r="M102" i="17" s="1"/>
  <c r="O95" i="16"/>
  <c r="S95" i="16" s="1"/>
  <c r="L96" i="16" s="1"/>
  <c r="N96" i="16" s="1"/>
  <c r="J94" i="14"/>
  <c r="Q94" i="14" s="1"/>
  <c r="P94" i="14" s="1"/>
  <c r="R94" i="14" s="1"/>
  <c r="T94" i="14" s="1"/>
  <c r="M95" i="14" s="1"/>
  <c r="O97" i="13"/>
  <c r="S97" i="13" s="1"/>
  <c r="L98" i="13" s="1"/>
  <c r="K98" i="13" s="1"/>
  <c r="Q92" i="15"/>
  <c r="P92" i="15" s="1"/>
  <c r="R92" i="15" s="1"/>
  <c r="T92" i="15" s="1"/>
  <c r="M93" i="15" s="1"/>
  <c r="P174" i="20" l="1"/>
  <c r="T174" i="20" s="1"/>
  <c r="U174" i="20" s="1"/>
  <c r="M175" i="20" s="1"/>
  <c r="Q175" i="20" s="1"/>
  <c r="R175" i="20" s="1"/>
  <c r="Y299" i="20"/>
  <c r="N298" i="20"/>
  <c r="N98" i="13"/>
  <c r="J98" i="13" s="1"/>
  <c r="K96" i="16"/>
  <c r="J96" i="16" s="1"/>
  <c r="Q96" i="16" s="1"/>
  <c r="P96" i="16" s="1"/>
  <c r="R96" i="16" s="1"/>
  <c r="T96" i="16" s="1"/>
  <c r="M97" i="16" s="1"/>
  <c r="O101" i="17"/>
  <c r="S101" i="17" s="1"/>
  <c r="L102" i="17" s="1"/>
  <c r="K102" i="17" s="1"/>
  <c r="O92" i="15"/>
  <c r="S92" i="15" s="1"/>
  <c r="L93" i="15" s="1"/>
  <c r="O94" i="14"/>
  <c r="S94" i="14" s="1"/>
  <c r="L95" i="14" s="1"/>
  <c r="O175" i="20" l="1"/>
  <c r="S175" i="20" s="1"/>
  <c r="P175" i="20"/>
  <c r="T175" i="20" s="1"/>
  <c r="U175" i="20" s="1"/>
  <c r="M176" i="20" s="1"/>
  <c r="Q176" i="20" s="1"/>
  <c r="N299" i="20"/>
  <c r="Y300" i="20"/>
  <c r="O96" i="16"/>
  <c r="S96" i="16" s="1"/>
  <c r="L97" i="16" s="1"/>
  <c r="N97" i="16" s="1"/>
  <c r="N102" i="17"/>
  <c r="J102" i="17" s="1"/>
  <c r="Q98" i="13"/>
  <c r="P98" i="13" s="1"/>
  <c r="N95" i="14"/>
  <c r="K95" i="14"/>
  <c r="N93" i="15"/>
  <c r="K93" i="15"/>
  <c r="O176" i="20" l="1"/>
  <c r="S176" i="20" s="1"/>
  <c r="R176" i="20"/>
  <c r="P176" i="20"/>
  <c r="T176" i="20" s="1"/>
  <c r="U176" i="20" s="1"/>
  <c r="M177" i="20" s="1"/>
  <c r="O177" i="20" s="1"/>
  <c r="S177" i="20" s="1"/>
  <c r="J95" i="14"/>
  <c r="Q95" i="14" s="1"/>
  <c r="P95" i="14" s="1"/>
  <c r="O95" i="14" s="1"/>
  <c r="S95" i="14" s="1"/>
  <c r="L96" i="14" s="1"/>
  <c r="Y301" i="20"/>
  <c r="N300" i="20"/>
  <c r="K97" i="16"/>
  <c r="J97" i="16" s="1"/>
  <c r="R98" i="13"/>
  <c r="T98" i="13" s="1"/>
  <c r="M99" i="13" s="1"/>
  <c r="O98" i="13"/>
  <c r="S98" i="13" s="1"/>
  <c r="L99" i="13" s="1"/>
  <c r="Q102" i="17"/>
  <c r="J93" i="15"/>
  <c r="Q177" i="20" l="1"/>
  <c r="Y302" i="20"/>
  <c r="N301" i="20"/>
  <c r="R95" i="14"/>
  <c r="T95" i="14" s="1"/>
  <c r="M96" i="14" s="1"/>
  <c r="K96" i="14" s="1"/>
  <c r="N99" i="13"/>
  <c r="K99" i="13"/>
  <c r="N96" i="14"/>
  <c r="Q93" i="15"/>
  <c r="P102" i="17"/>
  <c r="R102" i="17" s="1"/>
  <c r="T102" i="17" s="1"/>
  <c r="M103" i="17" s="1"/>
  <c r="Q97" i="16"/>
  <c r="P97" i="16" s="1"/>
  <c r="R97" i="16" s="1"/>
  <c r="T97" i="16" s="1"/>
  <c r="M98" i="16" s="1"/>
  <c r="R177" i="20" l="1"/>
  <c r="P177" i="20"/>
  <c r="T177" i="20" s="1"/>
  <c r="U177" i="20" s="1"/>
  <c r="M178" i="20" s="1"/>
  <c r="J99" i="13"/>
  <c r="Q99" i="13" s="1"/>
  <c r="P99" i="13" s="1"/>
  <c r="R99" i="13" s="1"/>
  <c r="T99" i="13" s="1"/>
  <c r="M100" i="13" s="1"/>
  <c r="N302" i="20"/>
  <c r="Y303" i="20"/>
  <c r="O102" i="17"/>
  <c r="S102" i="17" s="1"/>
  <c r="L103" i="17" s="1"/>
  <c r="N103" i="17" s="1"/>
  <c r="O97" i="16"/>
  <c r="S97" i="16" s="1"/>
  <c r="L98" i="16" s="1"/>
  <c r="P93" i="15"/>
  <c r="R93" i="15" s="1"/>
  <c r="T93" i="15" s="1"/>
  <c r="M94" i="15" s="1"/>
  <c r="J96" i="14"/>
  <c r="Q178" i="20" l="1"/>
  <c r="R178" i="20" s="1"/>
  <c r="O178" i="20"/>
  <c r="S178" i="20" s="1"/>
  <c r="K103" i="17"/>
  <c r="J103" i="17" s="1"/>
  <c r="Y304" i="20"/>
  <c r="N303" i="20"/>
  <c r="O99" i="13"/>
  <c r="S99" i="13" s="1"/>
  <c r="L100" i="13" s="1"/>
  <c r="Q96" i="14"/>
  <c r="P96" i="14" s="1"/>
  <c r="R96" i="14" s="1"/>
  <c r="T96" i="14" s="1"/>
  <c r="M97" i="14" s="1"/>
  <c r="K98" i="16"/>
  <c r="N98" i="16"/>
  <c r="O93" i="15"/>
  <c r="S93" i="15" s="1"/>
  <c r="L94" i="15" s="1"/>
  <c r="P178" i="20" l="1"/>
  <c r="T178" i="20" s="1"/>
  <c r="U178" i="20" s="1"/>
  <c r="M179" i="20" s="1"/>
  <c r="Y305" i="20"/>
  <c r="N304" i="20"/>
  <c r="N100" i="13"/>
  <c r="K100" i="13"/>
  <c r="O96" i="14"/>
  <c r="S96" i="14" s="1"/>
  <c r="L97" i="14" s="1"/>
  <c r="N94" i="15"/>
  <c r="K94" i="15"/>
  <c r="Q103" i="17"/>
  <c r="P103" i="17" s="1"/>
  <c r="R103" i="17" s="1"/>
  <c r="T103" i="17" s="1"/>
  <c r="M104" i="17" s="1"/>
  <c r="J98" i="16"/>
  <c r="Q179" i="20" l="1"/>
  <c r="O179" i="20"/>
  <c r="S179" i="20" s="1"/>
  <c r="J94" i="15"/>
  <c r="Q94" i="15" s="1"/>
  <c r="P94" i="15" s="1"/>
  <c r="R94" i="15" s="1"/>
  <c r="T94" i="15" s="1"/>
  <c r="M95" i="15" s="1"/>
  <c r="Y306" i="20"/>
  <c r="N305" i="20"/>
  <c r="J100" i="13"/>
  <c r="Q100" i="13" s="1"/>
  <c r="P100" i="13" s="1"/>
  <c r="R100" i="13" s="1"/>
  <c r="T100" i="13" s="1"/>
  <c r="M101" i="13" s="1"/>
  <c r="O103" i="17"/>
  <c r="S103" i="17" s="1"/>
  <c r="L104" i="17" s="1"/>
  <c r="N104" i="17" s="1"/>
  <c r="Q98" i="16"/>
  <c r="K97" i="14"/>
  <c r="N97" i="14"/>
  <c r="R179" i="20" l="1"/>
  <c r="P179" i="20"/>
  <c r="T179" i="20" s="1"/>
  <c r="U179" i="20" s="1"/>
  <c r="M180" i="20" s="1"/>
  <c r="Y307" i="20"/>
  <c r="N306" i="20"/>
  <c r="K104" i="17"/>
  <c r="J104" i="17" s="1"/>
  <c r="Q104" i="17" s="1"/>
  <c r="P104" i="17" s="1"/>
  <c r="R104" i="17" s="1"/>
  <c r="T104" i="17" s="1"/>
  <c r="M105" i="17" s="1"/>
  <c r="O100" i="13"/>
  <c r="S100" i="13" s="1"/>
  <c r="L101" i="13" s="1"/>
  <c r="O94" i="15"/>
  <c r="S94" i="15" s="1"/>
  <c r="L95" i="15" s="1"/>
  <c r="N95" i="15" s="1"/>
  <c r="P98" i="16"/>
  <c r="R98" i="16" s="1"/>
  <c r="T98" i="16" s="1"/>
  <c r="M99" i="16" s="1"/>
  <c r="J97" i="14"/>
  <c r="Q180" i="20" l="1"/>
  <c r="R180" i="20" s="1"/>
  <c r="O180" i="20"/>
  <c r="S180" i="20" s="1"/>
  <c r="P180" i="20"/>
  <c r="Y308" i="20"/>
  <c r="N307" i="20"/>
  <c r="K95" i="15"/>
  <c r="J95" i="15" s="1"/>
  <c r="Q95" i="15" s="1"/>
  <c r="P95" i="15" s="1"/>
  <c r="O95" i="15" s="1"/>
  <c r="S95" i="15" s="1"/>
  <c r="L96" i="15" s="1"/>
  <c r="O98" i="16"/>
  <c r="S98" i="16" s="1"/>
  <c r="L99" i="16" s="1"/>
  <c r="N99" i="16" s="1"/>
  <c r="O104" i="17"/>
  <c r="S104" i="17" s="1"/>
  <c r="L105" i="17" s="1"/>
  <c r="K105" i="17" s="1"/>
  <c r="K101" i="13"/>
  <c r="N101" i="13"/>
  <c r="Q97" i="14"/>
  <c r="P97" i="14" s="1"/>
  <c r="R97" i="14" s="1"/>
  <c r="T97" i="14" s="1"/>
  <c r="M98" i="14" s="1"/>
  <c r="T180" i="20" l="1"/>
  <c r="U180" i="20" s="1"/>
  <c r="M181" i="20" s="1"/>
  <c r="K99" i="16"/>
  <c r="J99" i="16" s="1"/>
  <c r="Q99" i="16" s="1"/>
  <c r="P99" i="16" s="1"/>
  <c r="R99" i="16" s="1"/>
  <c r="T99" i="16" s="1"/>
  <c r="M100" i="16" s="1"/>
  <c r="Y309" i="20"/>
  <c r="N308" i="20"/>
  <c r="N105" i="17"/>
  <c r="J105" i="17" s="1"/>
  <c r="J101" i="13"/>
  <c r="N96" i="15"/>
  <c r="O97" i="14"/>
  <c r="S97" i="14" s="1"/>
  <c r="L98" i="14" s="1"/>
  <c r="R95" i="15"/>
  <c r="T95" i="15" s="1"/>
  <c r="M96" i="15" s="1"/>
  <c r="K96" i="15" s="1"/>
  <c r="O181" i="20" l="1"/>
  <c r="S181" i="20" s="1"/>
  <c r="Q181" i="20"/>
  <c r="J96" i="15"/>
  <c r="Q96" i="15" s="1"/>
  <c r="Y310" i="20"/>
  <c r="N309" i="20"/>
  <c r="O99" i="16"/>
  <c r="S99" i="16" s="1"/>
  <c r="L100" i="16" s="1"/>
  <c r="K100" i="16" s="1"/>
  <c r="Q101" i="13"/>
  <c r="N98" i="14"/>
  <c r="K98" i="14"/>
  <c r="Q105" i="17"/>
  <c r="P105" i="17" s="1"/>
  <c r="R181" i="20" l="1"/>
  <c r="P181" i="20"/>
  <c r="T181" i="20" s="1"/>
  <c r="U181" i="20" s="1"/>
  <c r="M182" i="20" s="1"/>
  <c r="N100" i="16"/>
  <c r="J100" i="16" s="1"/>
  <c r="Q100" i="16" s="1"/>
  <c r="J98" i="14"/>
  <c r="Q98" i="14" s="1"/>
  <c r="P98" i="14" s="1"/>
  <c r="R98" i="14" s="1"/>
  <c r="T98" i="14" s="1"/>
  <c r="M99" i="14" s="1"/>
  <c r="Y311" i="20"/>
  <c r="N310" i="20"/>
  <c r="R105" i="17"/>
  <c r="T105" i="17" s="1"/>
  <c r="M106" i="17" s="1"/>
  <c r="O105" i="17"/>
  <c r="S105" i="17" s="1"/>
  <c r="L106" i="17" s="1"/>
  <c r="N106" i="17" s="1"/>
  <c r="P101" i="13"/>
  <c r="R101" i="13" s="1"/>
  <c r="T101" i="13" s="1"/>
  <c r="M102" i="13" s="1"/>
  <c r="P96" i="15"/>
  <c r="R96" i="15" s="1"/>
  <c r="T96" i="15" s="1"/>
  <c r="M97" i="15" s="1"/>
  <c r="O182" i="20" l="1"/>
  <c r="S182" i="20" s="1"/>
  <c r="Q182" i="20"/>
  <c r="K106" i="17"/>
  <c r="J106" i="17" s="1"/>
  <c r="Q106" i="17" s="1"/>
  <c r="P106" i="17" s="1"/>
  <c r="Y312" i="20"/>
  <c r="N311" i="20"/>
  <c r="O98" i="14"/>
  <c r="S98" i="14" s="1"/>
  <c r="L99" i="14" s="1"/>
  <c r="N99" i="14" s="1"/>
  <c r="O101" i="13"/>
  <c r="S101" i="13" s="1"/>
  <c r="L102" i="13" s="1"/>
  <c r="P100" i="16"/>
  <c r="R100" i="16" s="1"/>
  <c r="T100" i="16" s="1"/>
  <c r="M101" i="16" s="1"/>
  <c r="O96" i="15"/>
  <c r="S96" i="15" s="1"/>
  <c r="L97" i="15" s="1"/>
  <c r="R182" i="20" l="1"/>
  <c r="P182" i="20"/>
  <c r="T182" i="20" s="1"/>
  <c r="U182" i="20" s="1"/>
  <c r="M183" i="20" s="1"/>
  <c r="Y313" i="20"/>
  <c r="N312" i="20"/>
  <c r="K99" i="14"/>
  <c r="J99" i="14" s="1"/>
  <c r="Q99" i="14" s="1"/>
  <c r="P99" i="14" s="1"/>
  <c r="K102" i="13"/>
  <c r="N102" i="13"/>
  <c r="R106" i="17"/>
  <c r="T106" i="17" s="1"/>
  <c r="M107" i="17" s="1"/>
  <c r="O106" i="17"/>
  <c r="S106" i="17" s="1"/>
  <c r="L107" i="17" s="1"/>
  <c r="K97" i="15"/>
  <c r="N97" i="15"/>
  <c r="O100" i="16"/>
  <c r="S100" i="16" s="1"/>
  <c r="L101" i="16" s="1"/>
  <c r="Q183" i="20" l="1"/>
  <c r="P183" i="20" s="1"/>
  <c r="O183" i="20"/>
  <c r="S183" i="20" s="1"/>
  <c r="N313" i="20"/>
  <c r="Y314" i="20"/>
  <c r="J102" i="13"/>
  <c r="R99" i="14"/>
  <c r="T99" i="14" s="1"/>
  <c r="M100" i="14" s="1"/>
  <c r="O99" i="14"/>
  <c r="S99" i="14" s="1"/>
  <c r="L100" i="14" s="1"/>
  <c r="N107" i="17"/>
  <c r="K107" i="17"/>
  <c r="K101" i="16"/>
  <c r="N101" i="16"/>
  <c r="J97" i="15"/>
  <c r="T183" i="20" l="1"/>
  <c r="U183" i="20" s="1"/>
  <c r="V183" i="20"/>
  <c r="R183" i="20" s="1"/>
  <c r="M184" i="20"/>
  <c r="Q184" i="20"/>
  <c r="R184" i="20" s="1"/>
  <c r="O184" i="20"/>
  <c r="S184" i="20" s="1"/>
  <c r="Y315" i="20"/>
  <c r="N314" i="20"/>
  <c r="Q102" i="13"/>
  <c r="P102" i="13" s="1"/>
  <c r="Q97" i="15"/>
  <c r="P97" i="15" s="1"/>
  <c r="R97" i="15" s="1"/>
  <c r="T97" i="15" s="1"/>
  <c r="M98" i="15" s="1"/>
  <c r="N100" i="14"/>
  <c r="K100" i="14"/>
  <c r="J101" i="16"/>
  <c r="J107" i="17"/>
  <c r="P184" i="20" l="1"/>
  <c r="T184" i="20" s="1"/>
  <c r="U184" i="20" s="1"/>
  <c r="M185" i="20" s="1"/>
  <c r="J100" i="14"/>
  <c r="Q100" i="14" s="1"/>
  <c r="N315" i="20"/>
  <c r="Y316" i="20"/>
  <c r="R102" i="13"/>
  <c r="T102" i="13" s="1"/>
  <c r="M103" i="13" s="1"/>
  <c r="O102" i="13"/>
  <c r="S102" i="13" s="1"/>
  <c r="L103" i="13" s="1"/>
  <c r="N103" i="13" s="1"/>
  <c r="Q107" i="17"/>
  <c r="P107" i="17" s="1"/>
  <c r="R107" i="17" s="1"/>
  <c r="T107" i="17" s="1"/>
  <c r="M108" i="17" s="1"/>
  <c r="Q101" i="16"/>
  <c r="P101" i="16" s="1"/>
  <c r="R101" i="16" s="1"/>
  <c r="T101" i="16" s="1"/>
  <c r="M102" i="16" s="1"/>
  <c r="O97" i="15"/>
  <c r="S97" i="15" s="1"/>
  <c r="L98" i="15" s="1"/>
  <c r="Q185" i="20" l="1"/>
  <c r="R185" i="20" s="1"/>
  <c r="O185" i="20"/>
  <c r="S185" i="20" s="1"/>
  <c r="Y317" i="20"/>
  <c r="N316" i="20"/>
  <c r="K103" i="13"/>
  <c r="J103" i="13" s="1"/>
  <c r="O107" i="17"/>
  <c r="S107" i="17" s="1"/>
  <c r="L108" i="17" s="1"/>
  <c r="K108" i="17" s="1"/>
  <c r="O101" i="16"/>
  <c r="S101" i="16" s="1"/>
  <c r="L102" i="16" s="1"/>
  <c r="N102" i="16" s="1"/>
  <c r="P100" i="14"/>
  <c r="R100" i="14" s="1"/>
  <c r="T100" i="14" s="1"/>
  <c r="M101" i="14" s="1"/>
  <c r="N98" i="15"/>
  <c r="K98" i="15"/>
  <c r="P185" i="20" l="1"/>
  <c r="T185" i="20"/>
  <c r="U185" i="20" s="1"/>
  <c r="M186" i="20" s="1"/>
  <c r="O186" i="20" s="1"/>
  <c r="S186" i="20" s="1"/>
  <c r="N108" i="17"/>
  <c r="J108" i="17" s="1"/>
  <c r="Y318" i="20"/>
  <c r="N317" i="20"/>
  <c r="K102" i="16"/>
  <c r="J102" i="16" s="1"/>
  <c r="Q102" i="16" s="1"/>
  <c r="Q103" i="13"/>
  <c r="P103" i="13" s="1"/>
  <c r="R103" i="13" s="1"/>
  <c r="T103" i="13" s="1"/>
  <c r="M104" i="13" s="1"/>
  <c r="J98" i="15"/>
  <c r="O100" i="14"/>
  <c r="S100" i="14" s="1"/>
  <c r="L101" i="14" s="1"/>
  <c r="Q186" i="20" l="1"/>
  <c r="R186" i="20" s="1"/>
  <c r="Y319" i="20"/>
  <c r="N318" i="20"/>
  <c r="P102" i="16"/>
  <c r="R102" i="16" s="1"/>
  <c r="T102" i="16" s="1"/>
  <c r="M103" i="16" s="1"/>
  <c r="O103" i="13"/>
  <c r="S103" i="13" s="1"/>
  <c r="L104" i="13" s="1"/>
  <c r="N101" i="14"/>
  <c r="K101" i="14"/>
  <c r="Q108" i="17"/>
  <c r="P108" i="17" s="1"/>
  <c r="R108" i="17" s="1"/>
  <c r="T108" i="17" s="1"/>
  <c r="M109" i="17" s="1"/>
  <c r="Q98" i="15"/>
  <c r="P98" i="15" s="1"/>
  <c r="R98" i="15" s="1"/>
  <c r="T98" i="15" s="1"/>
  <c r="M99" i="15" s="1"/>
  <c r="P186" i="20" l="1"/>
  <c r="T186" i="20" s="1"/>
  <c r="U186" i="20" s="1"/>
  <c r="M187" i="20" s="1"/>
  <c r="Q187" i="20" s="1"/>
  <c r="R187" i="20" s="1"/>
  <c r="J101" i="14"/>
  <c r="Q101" i="14" s="1"/>
  <c r="P101" i="14" s="1"/>
  <c r="O101" i="14" s="1"/>
  <c r="S101" i="14" s="1"/>
  <c r="L102" i="14" s="1"/>
  <c r="N319" i="20"/>
  <c r="Y320" i="20"/>
  <c r="P187" i="20"/>
  <c r="O98" i="15"/>
  <c r="S98" i="15" s="1"/>
  <c r="L99" i="15" s="1"/>
  <c r="K99" i="15" s="1"/>
  <c r="K104" i="13"/>
  <c r="N104" i="13"/>
  <c r="O102" i="16"/>
  <c r="S102" i="16" s="1"/>
  <c r="L103" i="16" s="1"/>
  <c r="O108" i="17"/>
  <c r="S108" i="17" s="1"/>
  <c r="L109" i="17" s="1"/>
  <c r="O187" i="20" l="1"/>
  <c r="S187" i="20" s="1"/>
  <c r="T187" i="20" s="1"/>
  <c r="U187" i="20" s="1"/>
  <c r="M188" i="20" s="1"/>
  <c r="Q188" i="20" s="1"/>
  <c r="R188" i="20" s="1"/>
  <c r="Y321" i="20"/>
  <c r="N320" i="20"/>
  <c r="N99" i="15"/>
  <c r="J99" i="15" s="1"/>
  <c r="Q99" i="15" s="1"/>
  <c r="P99" i="15" s="1"/>
  <c r="R99" i="15" s="1"/>
  <c r="T99" i="15" s="1"/>
  <c r="M100" i="15" s="1"/>
  <c r="R101" i="14"/>
  <c r="T101" i="14" s="1"/>
  <c r="M102" i="14" s="1"/>
  <c r="K102" i="14" s="1"/>
  <c r="K103" i="16"/>
  <c r="N103" i="16"/>
  <c r="J104" i="13"/>
  <c r="N102" i="14"/>
  <c r="N109" i="17"/>
  <c r="K109" i="17"/>
  <c r="O188" i="20" l="1"/>
  <c r="S188" i="20" s="1"/>
  <c r="P188" i="20"/>
  <c r="Y322" i="20"/>
  <c r="N321" i="20"/>
  <c r="J102" i="14"/>
  <c r="Q102" i="14" s="1"/>
  <c r="P102" i="14" s="1"/>
  <c r="O99" i="15"/>
  <c r="S99" i="15" s="1"/>
  <c r="L100" i="15" s="1"/>
  <c r="N100" i="15" s="1"/>
  <c r="J109" i="17"/>
  <c r="Q109" i="17" s="1"/>
  <c r="Q104" i="13"/>
  <c r="P104" i="13" s="1"/>
  <c r="R104" i="13" s="1"/>
  <c r="T104" i="13" s="1"/>
  <c r="M105" i="13" s="1"/>
  <c r="J103" i="16"/>
  <c r="T188" i="20" l="1"/>
  <c r="U188" i="20" s="1"/>
  <c r="M189" i="20" s="1"/>
  <c r="K100" i="15"/>
  <c r="J100" i="15" s="1"/>
  <c r="Q100" i="15" s="1"/>
  <c r="P100" i="15" s="1"/>
  <c r="N322" i="20"/>
  <c r="Y323" i="20"/>
  <c r="Q103" i="16"/>
  <c r="P103" i="16" s="1"/>
  <c r="R103" i="16" s="1"/>
  <c r="T103" i="16" s="1"/>
  <c r="M104" i="16" s="1"/>
  <c r="P109" i="17"/>
  <c r="R109" i="17" s="1"/>
  <c r="T109" i="17" s="1"/>
  <c r="M110" i="17" s="1"/>
  <c r="O104" i="13"/>
  <c r="S104" i="13" s="1"/>
  <c r="L105" i="13" s="1"/>
  <c r="O102" i="14"/>
  <c r="S102" i="14" s="1"/>
  <c r="L103" i="14" s="1"/>
  <c r="R102" i="14"/>
  <c r="T102" i="14" s="1"/>
  <c r="M103" i="14" s="1"/>
  <c r="O189" i="20" l="1"/>
  <c r="S189" i="20" s="1"/>
  <c r="Q189" i="20"/>
  <c r="R189" i="20" s="1"/>
  <c r="N323" i="20"/>
  <c r="Y324" i="20"/>
  <c r="O103" i="16"/>
  <c r="S103" i="16" s="1"/>
  <c r="L104" i="16" s="1"/>
  <c r="N104" i="16" s="1"/>
  <c r="K105" i="13"/>
  <c r="N105" i="13"/>
  <c r="O109" i="17"/>
  <c r="S109" i="17" s="1"/>
  <c r="L110" i="17" s="1"/>
  <c r="R100" i="15"/>
  <c r="T100" i="15" s="1"/>
  <c r="M101" i="15" s="1"/>
  <c r="O100" i="15"/>
  <c r="S100" i="15" s="1"/>
  <c r="L101" i="15" s="1"/>
  <c r="N103" i="14"/>
  <c r="K103" i="14"/>
  <c r="P189" i="20" l="1"/>
  <c r="T189" i="20" s="1"/>
  <c r="U189" i="20" s="1"/>
  <c r="M190" i="20" s="1"/>
  <c r="Y325" i="20"/>
  <c r="N324" i="20"/>
  <c r="K104" i="16"/>
  <c r="J104" i="16" s="1"/>
  <c r="Q104" i="16" s="1"/>
  <c r="P104" i="16" s="1"/>
  <c r="R104" i="16" s="1"/>
  <c r="T104" i="16" s="1"/>
  <c r="M105" i="16" s="1"/>
  <c r="J105" i="13"/>
  <c r="Q105" i="13" s="1"/>
  <c r="P105" i="13" s="1"/>
  <c r="R105" i="13" s="1"/>
  <c r="T105" i="13" s="1"/>
  <c r="M106" i="13" s="1"/>
  <c r="N110" i="17"/>
  <c r="K110" i="17"/>
  <c r="J103" i="14"/>
  <c r="K101" i="15"/>
  <c r="N101" i="15"/>
  <c r="Q190" i="20" l="1"/>
  <c r="R190" i="20" s="1"/>
  <c r="O190" i="20"/>
  <c r="S190" i="20" s="1"/>
  <c r="Y326" i="20"/>
  <c r="N325" i="20"/>
  <c r="J110" i="17"/>
  <c r="Q110" i="17" s="1"/>
  <c r="P110" i="17" s="1"/>
  <c r="O105" i="13"/>
  <c r="S105" i="13" s="1"/>
  <c r="L106" i="13" s="1"/>
  <c r="O104" i="16"/>
  <c r="S104" i="16" s="1"/>
  <c r="L105" i="16" s="1"/>
  <c r="J101" i="15"/>
  <c r="Q103" i="14"/>
  <c r="P190" i="20" l="1"/>
  <c r="T190" i="20" s="1"/>
  <c r="U190" i="20" s="1"/>
  <c r="M191" i="20" s="1"/>
  <c r="Y327" i="20"/>
  <c r="N326" i="20"/>
  <c r="P103" i="14"/>
  <c r="R103" i="14" s="1"/>
  <c r="T103" i="14" s="1"/>
  <c r="M104" i="14" s="1"/>
  <c r="O110" i="17"/>
  <c r="S110" i="17" s="1"/>
  <c r="L111" i="17" s="1"/>
  <c r="R110" i="17"/>
  <c r="T110" i="17" s="1"/>
  <c r="M111" i="17" s="1"/>
  <c r="K105" i="16"/>
  <c r="N105" i="16"/>
  <c r="N106" i="13"/>
  <c r="K106" i="13"/>
  <c r="Q101" i="15"/>
  <c r="P101" i="15" s="1"/>
  <c r="R101" i="15" s="1"/>
  <c r="T101" i="15" s="1"/>
  <c r="M102" i="15" s="1"/>
  <c r="O191" i="20" l="1"/>
  <c r="S191" i="20" s="1"/>
  <c r="Q191" i="20"/>
  <c r="R191" i="20" s="1"/>
  <c r="Y328" i="20"/>
  <c r="N327" i="20"/>
  <c r="J105" i="16"/>
  <c r="Q105" i="16" s="1"/>
  <c r="P105" i="16" s="1"/>
  <c r="R105" i="16" s="1"/>
  <c r="T105" i="16" s="1"/>
  <c r="M106" i="16" s="1"/>
  <c r="O103" i="14"/>
  <c r="S103" i="14" s="1"/>
  <c r="L104" i="14" s="1"/>
  <c r="J106" i="13"/>
  <c r="K111" i="17"/>
  <c r="N111" i="17"/>
  <c r="O101" i="15"/>
  <c r="S101" i="15" s="1"/>
  <c r="L102" i="15" s="1"/>
  <c r="P191" i="20" l="1"/>
  <c r="T191" i="20" s="1"/>
  <c r="U191" i="20" s="1"/>
  <c r="M192" i="20" s="1"/>
  <c r="Y329" i="20"/>
  <c r="N328" i="20"/>
  <c r="K104" i="14"/>
  <c r="N104" i="14"/>
  <c r="J111" i="17"/>
  <c r="O105" i="16"/>
  <c r="S105" i="16" s="1"/>
  <c r="L106" i="16" s="1"/>
  <c r="Q106" i="13"/>
  <c r="P106" i="13" s="1"/>
  <c r="R106" i="13" s="1"/>
  <c r="T106" i="13" s="1"/>
  <c r="M107" i="13" s="1"/>
  <c r="K102" i="15"/>
  <c r="N102" i="15"/>
  <c r="O192" i="20" l="1"/>
  <c r="S192" i="20" s="1"/>
  <c r="Q192" i="20"/>
  <c r="R192" i="20" s="1"/>
  <c r="Y330" i="20"/>
  <c r="N329" i="20"/>
  <c r="J104" i="14"/>
  <c r="Q104" i="14" s="1"/>
  <c r="P104" i="14" s="1"/>
  <c r="R104" i="14" s="1"/>
  <c r="T104" i="14" s="1"/>
  <c r="M105" i="14" s="1"/>
  <c r="J102" i="15"/>
  <c r="Q102" i="15" s="1"/>
  <c r="O106" i="13"/>
  <c r="S106" i="13" s="1"/>
  <c r="L107" i="13" s="1"/>
  <c r="N106" i="16"/>
  <c r="K106" i="16"/>
  <c r="Q111" i="17"/>
  <c r="P111" i="17" s="1"/>
  <c r="R111" i="17" s="1"/>
  <c r="T111" i="17" s="1"/>
  <c r="M112" i="17" s="1"/>
  <c r="P192" i="20" l="1"/>
  <c r="T192" i="20" s="1"/>
  <c r="U192" i="20" s="1"/>
  <c r="M193" i="20" s="1"/>
  <c r="Q193" i="20" s="1"/>
  <c r="R193" i="20" s="1"/>
  <c r="O193" i="20"/>
  <c r="S193" i="20" s="1"/>
  <c r="N330" i="20"/>
  <c r="Y331" i="20"/>
  <c r="J106" i="16"/>
  <c r="Q106" i="16" s="1"/>
  <c r="P106" i="16" s="1"/>
  <c r="R106" i="16" s="1"/>
  <c r="T106" i="16" s="1"/>
  <c r="M107" i="16" s="1"/>
  <c r="O104" i="14"/>
  <c r="S104" i="14" s="1"/>
  <c r="L105" i="14" s="1"/>
  <c r="N105" i="14" s="1"/>
  <c r="O111" i="17"/>
  <c r="S111" i="17" s="1"/>
  <c r="L112" i="17" s="1"/>
  <c r="N112" i="17" s="1"/>
  <c r="P102" i="15"/>
  <c r="K107" i="13"/>
  <c r="N107" i="13"/>
  <c r="P193" i="20" l="1"/>
  <c r="T193" i="20" s="1"/>
  <c r="U193" i="20" s="1"/>
  <c r="M194" i="20" s="1"/>
  <c r="O194" i="20" s="1"/>
  <c r="S194" i="20" s="1"/>
  <c r="Q194" i="20"/>
  <c r="R194" i="20" s="1"/>
  <c r="Y332" i="20"/>
  <c r="N331" i="20"/>
  <c r="K112" i="17"/>
  <c r="J112" i="17" s="1"/>
  <c r="Q112" i="17" s="1"/>
  <c r="P112" i="17" s="1"/>
  <c r="R112" i="17" s="1"/>
  <c r="T112" i="17" s="1"/>
  <c r="M113" i="17" s="1"/>
  <c r="K105" i="14"/>
  <c r="J105" i="14" s="1"/>
  <c r="Q105" i="14" s="1"/>
  <c r="J107" i="13"/>
  <c r="Q107" i="13" s="1"/>
  <c r="O102" i="15"/>
  <c r="S102" i="15" s="1"/>
  <c r="L103" i="15" s="1"/>
  <c r="R102" i="15"/>
  <c r="T102" i="15" s="1"/>
  <c r="M103" i="15" s="1"/>
  <c r="O106" i="16"/>
  <c r="S106" i="16" s="1"/>
  <c r="L107" i="16" s="1"/>
  <c r="P194" i="20" l="1"/>
  <c r="T194" i="20" s="1"/>
  <c r="U194" i="20" s="1"/>
  <c r="M195" i="20" s="1"/>
  <c r="O112" i="17"/>
  <c r="S112" i="17" s="1"/>
  <c r="L113" i="17" s="1"/>
  <c r="N113" i="17" s="1"/>
  <c r="Y333" i="20"/>
  <c r="N332" i="20"/>
  <c r="P105" i="14"/>
  <c r="R105" i="14" s="1"/>
  <c r="T105" i="14" s="1"/>
  <c r="M106" i="14" s="1"/>
  <c r="P107" i="13"/>
  <c r="R107" i="13" s="1"/>
  <c r="T107" i="13" s="1"/>
  <c r="M108" i="13" s="1"/>
  <c r="N107" i="16"/>
  <c r="K107" i="16"/>
  <c r="K103" i="15"/>
  <c r="N103" i="15"/>
  <c r="O195" i="20" l="1"/>
  <c r="S195" i="20" s="1"/>
  <c r="Q195" i="20"/>
  <c r="P195" i="20" s="1"/>
  <c r="K113" i="17"/>
  <c r="J113" i="17" s="1"/>
  <c r="Q113" i="17" s="1"/>
  <c r="P113" i="17" s="1"/>
  <c r="R113" i="17" s="1"/>
  <c r="T113" i="17" s="1"/>
  <c r="M114" i="17" s="1"/>
  <c r="Y334" i="20"/>
  <c r="N333" i="20"/>
  <c r="O107" i="13"/>
  <c r="S107" i="13" s="1"/>
  <c r="L108" i="13" s="1"/>
  <c r="O105" i="14"/>
  <c r="S105" i="14" s="1"/>
  <c r="L106" i="14" s="1"/>
  <c r="K106" i="14" s="1"/>
  <c r="J107" i="16"/>
  <c r="Q107" i="16" s="1"/>
  <c r="P107" i="16" s="1"/>
  <c r="J103" i="15"/>
  <c r="Q103" i="15" s="1"/>
  <c r="P103" i="15" s="1"/>
  <c r="O103" i="15" s="1"/>
  <c r="S103" i="15" s="1"/>
  <c r="L104" i="15" s="1"/>
  <c r="T195" i="20" l="1"/>
  <c r="U195" i="20" s="1"/>
  <c r="V195" i="20" s="1"/>
  <c r="R195" i="20" s="1"/>
  <c r="Y335" i="20"/>
  <c r="N334" i="20"/>
  <c r="N106" i="14"/>
  <c r="J106" i="14" s="1"/>
  <c r="Q106" i="14" s="1"/>
  <c r="P106" i="14" s="1"/>
  <c r="R106" i="14" s="1"/>
  <c r="T106" i="14" s="1"/>
  <c r="M107" i="14" s="1"/>
  <c r="N108" i="13"/>
  <c r="K108" i="13"/>
  <c r="R103" i="15"/>
  <c r="T103" i="15" s="1"/>
  <c r="M104" i="15" s="1"/>
  <c r="K104" i="15" s="1"/>
  <c r="O107" i="16"/>
  <c r="S107" i="16" s="1"/>
  <c r="L108" i="16" s="1"/>
  <c r="R107" i="16"/>
  <c r="T107" i="16" s="1"/>
  <c r="M108" i="16" s="1"/>
  <c r="O113" i="17"/>
  <c r="S113" i="17" s="1"/>
  <c r="L114" i="17" s="1"/>
  <c r="N104" i="15"/>
  <c r="M196" i="20" l="1"/>
  <c r="J108" i="13"/>
  <c r="Q108" i="13" s="1"/>
  <c r="P108" i="13" s="1"/>
  <c r="R108" i="13" s="1"/>
  <c r="T108" i="13" s="1"/>
  <c r="M109" i="13" s="1"/>
  <c r="N335" i="20"/>
  <c r="Y336" i="20"/>
  <c r="J104" i="15"/>
  <c r="Q104" i="15" s="1"/>
  <c r="K108" i="16"/>
  <c r="N108" i="16"/>
  <c r="O106" i="14"/>
  <c r="S106" i="14" s="1"/>
  <c r="L107" i="14" s="1"/>
  <c r="K114" i="17"/>
  <c r="N114" i="17"/>
  <c r="O196" i="20" l="1"/>
  <c r="S196" i="20" s="1"/>
  <c r="Q196" i="20"/>
  <c r="O108" i="13"/>
  <c r="S108" i="13" s="1"/>
  <c r="L109" i="13" s="1"/>
  <c r="N109" i="13" s="1"/>
  <c r="Y337" i="20"/>
  <c r="N336" i="20"/>
  <c r="J108" i="16"/>
  <c r="Q108" i="16" s="1"/>
  <c r="P108" i="16" s="1"/>
  <c r="R108" i="16" s="1"/>
  <c r="T108" i="16" s="1"/>
  <c r="M109" i="16" s="1"/>
  <c r="P104" i="15"/>
  <c r="R104" i="15" s="1"/>
  <c r="T104" i="15" s="1"/>
  <c r="M105" i="15" s="1"/>
  <c r="J114" i="17"/>
  <c r="K107" i="14"/>
  <c r="N107" i="14"/>
  <c r="R196" i="20" l="1"/>
  <c r="P196" i="20"/>
  <c r="T196" i="20" s="1"/>
  <c r="U196" i="20" s="1"/>
  <c r="M197" i="20" s="1"/>
  <c r="K109" i="13"/>
  <c r="J109" i="13" s="1"/>
  <c r="Q109" i="13" s="1"/>
  <c r="P109" i="13" s="1"/>
  <c r="R109" i="13" s="1"/>
  <c r="T109" i="13" s="1"/>
  <c r="M110" i="13" s="1"/>
  <c r="Y338" i="20"/>
  <c r="N337" i="20"/>
  <c r="O108" i="16"/>
  <c r="S108" i="16" s="1"/>
  <c r="L109" i="16" s="1"/>
  <c r="Q114" i="17"/>
  <c r="P114" i="17" s="1"/>
  <c r="J107" i="14"/>
  <c r="O104" i="15"/>
  <c r="S104" i="15" s="1"/>
  <c r="L105" i="15" s="1"/>
  <c r="O197" i="20" l="1"/>
  <c r="S197" i="20" s="1"/>
  <c r="Q197" i="20"/>
  <c r="O109" i="13"/>
  <c r="S109" i="13" s="1"/>
  <c r="L110" i="13" s="1"/>
  <c r="K110" i="13" s="1"/>
  <c r="Y339" i="20"/>
  <c r="N338" i="20"/>
  <c r="R114" i="17"/>
  <c r="T114" i="17" s="1"/>
  <c r="M115" i="17" s="1"/>
  <c r="O114" i="17"/>
  <c r="S114" i="17" s="1"/>
  <c r="L115" i="17" s="1"/>
  <c r="N109" i="16"/>
  <c r="K109" i="16"/>
  <c r="Q107" i="14"/>
  <c r="P107" i="14" s="1"/>
  <c r="R107" i="14" s="1"/>
  <c r="T107" i="14" s="1"/>
  <c r="M108" i="14" s="1"/>
  <c r="N105" i="15"/>
  <c r="K105" i="15"/>
  <c r="R197" i="20" l="1"/>
  <c r="P197" i="20"/>
  <c r="T197" i="20" s="1"/>
  <c r="U197" i="20" s="1"/>
  <c r="M198" i="20" s="1"/>
  <c r="N110" i="13"/>
  <c r="J110" i="13" s="1"/>
  <c r="Q110" i="13" s="1"/>
  <c r="P110" i="13" s="1"/>
  <c r="R110" i="13" s="1"/>
  <c r="T110" i="13" s="1"/>
  <c r="M111" i="13" s="1"/>
  <c r="Y340" i="20"/>
  <c r="N339" i="20"/>
  <c r="K115" i="17"/>
  <c r="J109" i="16"/>
  <c r="Q109" i="16" s="1"/>
  <c r="P109" i="16" s="1"/>
  <c r="R109" i="16" s="1"/>
  <c r="T109" i="16" s="1"/>
  <c r="M110" i="16" s="1"/>
  <c r="N115" i="17"/>
  <c r="J105" i="15"/>
  <c r="Q105" i="15" s="1"/>
  <c r="O107" i="14"/>
  <c r="S107" i="14" s="1"/>
  <c r="L108" i="14" s="1"/>
  <c r="K108" i="14" s="1"/>
  <c r="J115" i="17" l="1"/>
  <c r="Q115" i="17" s="1"/>
  <c r="P115" i="17" s="1"/>
  <c r="O198" i="20"/>
  <c r="S198" i="20" s="1"/>
  <c r="Q198" i="20"/>
  <c r="O110" i="13"/>
  <c r="S110" i="13" s="1"/>
  <c r="L111" i="13" s="1"/>
  <c r="K111" i="13" s="1"/>
  <c r="Y341" i="20"/>
  <c r="N340" i="20"/>
  <c r="O109" i="16"/>
  <c r="S109" i="16" s="1"/>
  <c r="L110" i="16" s="1"/>
  <c r="K110" i="16" s="1"/>
  <c r="P105" i="15"/>
  <c r="R105" i="15" s="1"/>
  <c r="T105" i="15" s="1"/>
  <c r="M106" i="15" s="1"/>
  <c r="N108" i="14"/>
  <c r="J108" i="14" s="1"/>
  <c r="Q108" i="14" s="1"/>
  <c r="P108" i="14" s="1"/>
  <c r="O108" i="14" s="1"/>
  <c r="S108" i="14" s="1"/>
  <c r="L109" i="14" s="1"/>
  <c r="R198" i="20" l="1"/>
  <c r="P198" i="20"/>
  <c r="T198" i="20" s="1"/>
  <c r="U198" i="20" s="1"/>
  <c r="M199" i="20" s="1"/>
  <c r="N111" i="13"/>
  <c r="J111" i="13" s="1"/>
  <c r="Q111" i="13" s="1"/>
  <c r="P111" i="13" s="1"/>
  <c r="R111" i="13" s="1"/>
  <c r="T111" i="13" s="1"/>
  <c r="M112" i="13" s="1"/>
  <c r="Y342" i="20"/>
  <c r="N341" i="20"/>
  <c r="N110" i="16"/>
  <c r="J110" i="16" s="1"/>
  <c r="O105" i="15"/>
  <c r="S105" i="15" s="1"/>
  <c r="L106" i="15" s="1"/>
  <c r="R108" i="14"/>
  <c r="T108" i="14" s="1"/>
  <c r="M109" i="14" s="1"/>
  <c r="K109" i="14" s="1"/>
  <c r="N109" i="14"/>
  <c r="R115" i="17"/>
  <c r="T115" i="17" s="1"/>
  <c r="M116" i="17" s="1"/>
  <c r="O115" i="17"/>
  <c r="S115" i="17" s="1"/>
  <c r="L116" i="17" s="1"/>
  <c r="O199" i="20" l="1"/>
  <c r="S199" i="20" s="1"/>
  <c r="Q199" i="20"/>
  <c r="R199" i="20" s="1"/>
  <c r="N342" i="20"/>
  <c r="Y343" i="20"/>
  <c r="J109" i="14"/>
  <c r="Q109" i="14" s="1"/>
  <c r="P109" i="14" s="1"/>
  <c r="R109" i="14" s="1"/>
  <c r="T109" i="14" s="1"/>
  <c r="M110" i="14" s="1"/>
  <c r="O111" i="13"/>
  <c r="S111" i="13" s="1"/>
  <c r="L112" i="13" s="1"/>
  <c r="N112" i="13" s="1"/>
  <c r="N106" i="15"/>
  <c r="K106" i="15"/>
  <c r="Q110" i="16"/>
  <c r="P110" i="16" s="1"/>
  <c r="R110" i="16" s="1"/>
  <c r="T110" i="16" s="1"/>
  <c r="M111" i="16" s="1"/>
  <c r="K116" i="17"/>
  <c r="N116" i="17"/>
  <c r="P199" i="20" l="1"/>
  <c r="T199" i="20" s="1"/>
  <c r="U199" i="20" s="1"/>
  <c r="M200" i="20" s="1"/>
  <c r="Q200" i="20" s="1"/>
  <c r="R200" i="20" s="1"/>
  <c r="P200" i="20"/>
  <c r="O200" i="20"/>
  <c r="S200" i="20" s="1"/>
  <c r="Y344" i="20"/>
  <c r="N343" i="20"/>
  <c r="K112" i="13"/>
  <c r="J112" i="13" s="1"/>
  <c r="Q112" i="13" s="1"/>
  <c r="P112" i="13" s="1"/>
  <c r="J106" i="15"/>
  <c r="Q106" i="15" s="1"/>
  <c r="O109" i="14"/>
  <c r="S109" i="14" s="1"/>
  <c r="L110" i="14" s="1"/>
  <c r="K110" i="14" s="1"/>
  <c r="O110" i="16"/>
  <c r="S110" i="16" s="1"/>
  <c r="L111" i="16" s="1"/>
  <c r="J116" i="17"/>
  <c r="T200" i="20" l="1"/>
  <c r="U200" i="20" s="1"/>
  <c r="M201" i="20" s="1"/>
  <c r="O201" i="20" s="1"/>
  <c r="S201" i="20" s="1"/>
  <c r="N110" i="14"/>
  <c r="J110" i="14" s="1"/>
  <c r="Y345" i="20"/>
  <c r="N344" i="20"/>
  <c r="P106" i="15"/>
  <c r="R106" i="15" s="1"/>
  <c r="T106" i="15" s="1"/>
  <c r="M107" i="15" s="1"/>
  <c r="R112" i="13"/>
  <c r="T112" i="13" s="1"/>
  <c r="M113" i="13" s="1"/>
  <c r="O112" i="13"/>
  <c r="S112" i="13" s="1"/>
  <c r="L113" i="13" s="1"/>
  <c r="N111" i="16"/>
  <c r="K111" i="16"/>
  <c r="Q116" i="17"/>
  <c r="P116" i="17" s="1"/>
  <c r="R116" i="17" s="1"/>
  <c r="T116" i="17" s="1"/>
  <c r="M117" i="17" s="1"/>
  <c r="Q201" i="20" l="1"/>
  <c r="R201" i="20" s="1"/>
  <c r="O106" i="15"/>
  <c r="S106" i="15" s="1"/>
  <c r="L107" i="15" s="1"/>
  <c r="K107" i="15" s="1"/>
  <c r="Y346" i="20"/>
  <c r="N345" i="20"/>
  <c r="J111" i="16"/>
  <c r="Q111" i="16" s="1"/>
  <c r="P111" i="16" s="1"/>
  <c r="R111" i="16" s="1"/>
  <c r="T111" i="16" s="1"/>
  <c r="M112" i="16" s="1"/>
  <c r="N113" i="13"/>
  <c r="K113" i="13"/>
  <c r="Q110" i="14"/>
  <c r="P110" i="14" s="1"/>
  <c r="R110" i="14" s="1"/>
  <c r="T110" i="14" s="1"/>
  <c r="M111" i="14" s="1"/>
  <c r="O116" i="17"/>
  <c r="S116" i="17" s="1"/>
  <c r="L117" i="17" s="1"/>
  <c r="P201" i="20" l="1"/>
  <c r="T201" i="20" s="1"/>
  <c r="U201" i="20" s="1"/>
  <c r="M202" i="20" s="1"/>
  <c r="N107" i="15"/>
  <c r="J107" i="15" s="1"/>
  <c r="Q107" i="15" s="1"/>
  <c r="N346" i="20"/>
  <c r="Y347" i="20"/>
  <c r="O111" i="16"/>
  <c r="S111" i="16" s="1"/>
  <c r="L112" i="16" s="1"/>
  <c r="K112" i="16" s="1"/>
  <c r="J113" i="13"/>
  <c r="Q113" i="13" s="1"/>
  <c r="P113" i="13" s="1"/>
  <c r="R113" i="13" s="1"/>
  <c r="T113" i="13" s="1"/>
  <c r="M114" i="13" s="1"/>
  <c r="O110" i="14"/>
  <c r="S110" i="14" s="1"/>
  <c r="L111" i="14" s="1"/>
  <c r="K111" i="14" s="1"/>
  <c r="N117" i="17"/>
  <c r="K117" i="17"/>
  <c r="O202" i="20" l="1"/>
  <c r="S202" i="20" s="1"/>
  <c r="Q202" i="20"/>
  <c r="Y348" i="20"/>
  <c r="N347" i="20"/>
  <c r="N112" i="16"/>
  <c r="J112" i="16" s="1"/>
  <c r="J117" i="17"/>
  <c r="Q117" i="17" s="1"/>
  <c r="P117" i="17" s="1"/>
  <c r="R117" i="17" s="1"/>
  <c r="T117" i="17" s="1"/>
  <c r="M118" i="17" s="1"/>
  <c r="O113" i="13"/>
  <c r="S113" i="13" s="1"/>
  <c r="L114" i="13" s="1"/>
  <c r="N114" i="13" s="1"/>
  <c r="N111" i="14"/>
  <c r="J111" i="14" s="1"/>
  <c r="P107" i="15"/>
  <c r="R107" i="15" s="1"/>
  <c r="T107" i="15" s="1"/>
  <c r="M108" i="15" s="1"/>
  <c r="R202" i="20" l="1"/>
  <c r="P202" i="20"/>
  <c r="T202" i="20" s="1"/>
  <c r="U202" i="20" s="1"/>
  <c r="M203" i="20" s="1"/>
  <c r="K114" i="13"/>
  <c r="J114" i="13" s="1"/>
  <c r="Q114" i="13" s="1"/>
  <c r="P114" i="13" s="1"/>
  <c r="R114" i="13" s="1"/>
  <c r="T114" i="13" s="1"/>
  <c r="M115" i="13" s="1"/>
  <c r="N348" i="20"/>
  <c r="Y349" i="20"/>
  <c r="O107" i="15"/>
  <c r="S107" i="15" s="1"/>
  <c r="L108" i="15" s="1"/>
  <c r="O117" i="17"/>
  <c r="S117" i="17" s="1"/>
  <c r="L118" i="17" s="1"/>
  <c r="N118" i="17" s="1"/>
  <c r="Q112" i="16"/>
  <c r="P112" i="16" s="1"/>
  <c r="R112" i="16" s="1"/>
  <c r="T112" i="16" s="1"/>
  <c r="M113" i="16" s="1"/>
  <c r="Q111" i="14"/>
  <c r="P111" i="14" s="1"/>
  <c r="R111" i="14" s="1"/>
  <c r="T111" i="14" s="1"/>
  <c r="M112" i="14" s="1"/>
  <c r="Q203" i="20" l="1"/>
  <c r="O203" i="20"/>
  <c r="S203" i="20" s="1"/>
  <c r="N349" i="20"/>
  <c r="Y350" i="20"/>
  <c r="O114" i="13"/>
  <c r="S114" i="13" s="1"/>
  <c r="L115" i="13" s="1"/>
  <c r="K115" i="13" s="1"/>
  <c r="K118" i="17"/>
  <c r="J118" i="17" s="1"/>
  <c r="Q118" i="17" s="1"/>
  <c r="P118" i="17" s="1"/>
  <c r="R118" i="17" s="1"/>
  <c r="T118" i="17" s="1"/>
  <c r="M119" i="17" s="1"/>
  <c r="O112" i="16"/>
  <c r="S112" i="16" s="1"/>
  <c r="L113" i="16" s="1"/>
  <c r="K113" i="16" s="1"/>
  <c r="K108" i="15"/>
  <c r="N108" i="15"/>
  <c r="O111" i="14"/>
  <c r="S111" i="14" s="1"/>
  <c r="L112" i="14" s="1"/>
  <c r="R203" i="20" l="1"/>
  <c r="P203" i="20"/>
  <c r="T203" i="20" s="1"/>
  <c r="U203" i="20" s="1"/>
  <c r="M204" i="20" s="1"/>
  <c r="N350" i="20"/>
  <c r="Y351" i="20"/>
  <c r="N115" i="13"/>
  <c r="J115" i="13" s="1"/>
  <c r="N113" i="16"/>
  <c r="J113" i="16" s="1"/>
  <c r="O118" i="17"/>
  <c r="S118" i="17" s="1"/>
  <c r="L119" i="17" s="1"/>
  <c r="N119" i="17" s="1"/>
  <c r="J108" i="15"/>
  <c r="N112" i="14"/>
  <c r="K112" i="14"/>
  <c r="O204" i="20" l="1"/>
  <c r="S204" i="20" s="1"/>
  <c r="Q204" i="20"/>
  <c r="N351" i="20"/>
  <c r="Y352" i="20"/>
  <c r="K119" i="17"/>
  <c r="J119" i="17" s="1"/>
  <c r="Q113" i="16"/>
  <c r="P113" i="16" s="1"/>
  <c r="R113" i="16" s="1"/>
  <c r="T113" i="16" s="1"/>
  <c r="M114" i="16" s="1"/>
  <c r="Q108" i="15"/>
  <c r="P108" i="15" s="1"/>
  <c r="R108" i="15" s="1"/>
  <c r="T108" i="15" s="1"/>
  <c r="M109" i="15" s="1"/>
  <c r="J112" i="14"/>
  <c r="Q112" i="14" s="1"/>
  <c r="Q115" i="13"/>
  <c r="P115" i="13" s="1"/>
  <c r="R115" i="13" s="1"/>
  <c r="T115" i="13" s="1"/>
  <c r="M116" i="13" s="1"/>
  <c r="R204" i="20" l="1"/>
  <c r="P204" i="20"/>
  <c r="T204" i="20" s="1"/>
  <c r="U204" i="20" s="1"/>
  <c r="M205" i="20" s="1"/>
  <c r="N352" i="20"/>
  <c r="Y353" i="20"/>
  <c r="P112" i="14"/>
  <c r="R112" i="14" s="1"/>
  <c r="T112" i="14" s="1"/>
  <c r="M113" i="14" s="1"/>
  <c r="O115" i="13"/>
  <c r="S115" i="13" s="1"/>
  <c r="L116" i="13" s="1"/>
  <c r="O108" i="15"/>
  <c r="S108" i="15" s="1"/>
  <c r="L109" i="15" s="1"/>
  <c r="O113" i="16"/>
  <c r="S113" i="16" s="1"/>
  <c r="L114" i="16" s="1"/>
  <c r="Q119" i="17"/>
  <c r="P119" i="17" s="1"/>
  <c r="Q205" i="20" l="1"/>
  <c r="O205" i="20"/>
  <c r="S205" i="20" s="1"/>
  <c r="N353" i="20"/>
  <c r="Y354" i="20"/>
  <c r="K114" i="16"/>
  <c r="N114" i="16"/>
  <c r="N109" i="15"/>
  <c r="K109" i="15"/>
  <c r="N116" i="13"/>
  <c r="K116" i="13"/>
  <c r="O112" i="14"/>
  <c r="S112" i="14" s="1"/>
  <c r="L113" i="14" s="1"/>
  <c r="R119" i="17"/>
  <c r="T119" i="17" s="1"/>
  <c r="M120" i="17" s="1"/>
  <c r="O119" i="17"/>
  <c r="S119" i="17" s="1"/>
  <c r="L120" i="17" s="1"/>
  <c r="R205" i="20" l="1"/>
  <c r="P205" i="20"/>
  <c r="T205" i="20" s="1"/>
  <c r="U205" i="20" s="1"/>
  <c r="M206" i="20" s="1"/>
  <c r="J109" i="15"/>
  <c r="Q109" i="15" s="1"/>
  <c r="P109" i="15" s="1"/>
  <c r="R109" i="15" s="1"/>
  <c r="T109" i="15" s="1"/>
  <c r="M110" i="15" s="1"/>
  <c r="Y355" i="20"/>
  <c r="N354" i="20"/>
  <c r="J116" i="13"/>
  <c r="Q116" i="13" s="1"/>
  <c r="P116" i="13" s="1"/>
  <c r="R116" i="13" s="1"/>
  <c r="T116" i="13" s="1"/>
  <c r="M117" i="13" s="1"/>
  <c r="N113" i="14"/>
  <c r="K113" i="14"/>
  <c r="J114" i="16"/>
  <c r="N120" i="17"/>
  <c r="K120" i="17"/>
  <c r="Q206" i="20" l="1"/>
  <c r="R206" i="20" s="1"/>
  <c r="O206" i="20"/>
  <c r="S206" i="20" s="1"/>
  <c r="P206" i="20"/>
  <c r="T206" i="20" s="1"/>
  <c r="U206" i="20" s="1"/>
  <c r="M207" i="20" s="1"/>
  <c r="Y356" i="20"/>
  <c r="N355" i="20"/>
  <c r="J113" i="14"/>
  <c r="Q113" i="14" s="1"/>
  <c r="P113" i="14" s="1"/>
  <c r="R113" i="14" s="1"/>
  <c r="T113" i="14" s="1"/>
  <c r="M114" i="14" s="1"/>
  <c r="J120" i="17"/>
  <c r="Q120" i="17" s="1"/>
  <c r="Q114" i="16"/>
  <c r="P114" i="16" s="1"/>
  <c r="R114" i="16" s="1"/>
  <c r="T114" i="16" s="1"/>
  <c r="M115" i="16" s="1"/>
  <c r="O116" i="13"/>
  <c r="S116" i="13" s="1"/>
  <c r="L117" i="13" s="1"/>
  <c r="O109" i="15"/>
  <c r="S109" i="15" s="1"/>
  <c r="L110" i="15" s="1"/>
  <c r="Q207" i="20" l="1"/>
  <c r="O207" i="20"/>
  <c r="S207" i="20" s="1"/>
  <c r="P207" i="20"/>
  <c r="T207" i="20" s="1"/>
  <c r="U207" i="20" s="1"/>
  <c r="O113" i="14"/>
  <c r="S113" i="14" s="1"/>
  <c r="L114" i="14" s="1"/>
  <c r="N114" i="14" s="1"/>
  <c r="Y357" i="20"/>
  <c r="N356" i="20"/>
  <c r="K110" i="15"/>
  <c r="N110" i="15"/>
  <c r="N117" i="13"/>
  <c r="K117" i="13"/>
  <c r="O114" i="16"/>
  <c r="S114" i="16" s="1"/>
  <c r="L115" i="16" s="1"/>
  <c r="P120" i="17"/>
  <c r="R120" i="17" s="1"/>
  <c r="T120" i="17" s="1"/>
  <c r="M121" i="17" s="1"/>
  <c r="V207" i="20" l="1"/>
  <c r="R207" i="20" s="1"/>
  <c r="M208" i="20"/>
  <c r="K114" i="14"/>
  <c r="J114" i="14" s="1"/>
  <c r="Q114" i="14" s="1"/>
  <c r="P114" i="14" s="1"/>
  <c r="R114" i="14" s="1"/>
  <c r="T114" i="14" s="1"/>
  <c r="M115" i="14" s="1"/>
  <c r="J117" i="13"/>
  <c r="Q117" i="13" s="1"/>
  <c r="P117" i="13" s="1"/>
  <c r="R117" i="13" s="1"/>
  <c r="T117" i="13" s="1"/>
  <c r="M118" i="13" s="1"/>
  <c r="Y358" i="20"/>
  <c r="N357" i="20"/>
  <c r="K115" i="16"/>
  <c r="N115" i="16"/>
  <c r="J110" i="15"/>
  <c r="O120" i="17"/>
  <c r="S120" i="17" s="1"/>
  <c r="L121" i="17" s="1"/>
  <c r="O208" i="20" l="1"/>
  <c r="S208" i="20" s="1"/>
  <c r="Q208" i="20"/>
  <c r="R208" i="20" s="1"/>
  <c r="Y359" i="20"/>
  <c r="N358" i="20"/>
  <c r="O117" i="13"/>
  <c r="S117" i="13" s="1"/>
  <c r="L118" i="13" s="1"/>
  <c r="K118" i="13" s="1"/>
  <c r="O114" i="14"/>
  <c r="S114" i="14" s="1"/>
  <c r="L115" i="14" s="1"/>
  <c r="N115" i="14" s="1"/>
  <c r="Q110" i="15"/>
  <c r="P110" i="15" s="1"/>
  <c r="R110" i="15" s="1"/>
  <c r="T110" i="15" s="1"/>
  <c r="M111" i="15" s="1"/>
  <c r="J115" i="16"/>
  <c r="N121" i="17"/>
  <c r="K121" i="17"/>
  <c r="P208" i="20" l="1"/>
  <c r="T208" i="20" s="1"/>
  <c r="U208" i="20" s="1"/>
  <c r="M209" i="20" s="1"/>
  <c r="N359" i="20"/>
  <c r="Y360" i="20"/>
  <c r="N118" i="13"/>
  <c r="J118" i="13" s="1"/>
  <c r="Q118" i="13" s="1"/>
  <c r="P118" i="13" s="1"/>
  <c r="R118" i="13" s="1"/>
  <c r="T118" i="13" s="1"/>
  <c r="M119" i="13" s="1"/>
  <c r="K115" i="14"/>
  <c r="J115" i="14" s="1"/>
  <c r="Q115" i="14" s="1"/>
  <c r="P115" i="14" s="1"/>
  <c r="R115" i="14" s="1"/>
  <c r="T115" i="14" s="1"/>
  <c r="M116" i="14" s="1"/>
  <c r="O110" i="15"/>
  <c r="S110" i="15" s="1"/>
  <c r="L111" i="15" s="1"/>
  <c r="K111" i="15" s="1"/>
  <c r="J121" i="17"/>
  <c r="Q121" i="17" s="1"/>
  <c r="P121" i="17" s="1"/>
  <c r="R121" i="17" s="1"/>
  <c r="T121" i="17" s="1"/>
  <c r="M122" i="17" s="1"/>
  <c r="Q115" i="16"/>
  <c r="P115" i="16" s="1"/>
  <c r="Q209" i="20" l="1"/>
  <c r="O209" i="20"/>
  <c r="S209" i="20" s="1"/>
  <c r="Y361" i="20"/>
  <c r="N360" i="20"/>
  <c r="N111" i="15"/>
  <c r="J111" i="15" s="1"/>
  <c r="R115" i="16"/>
  <c r="T115" i="16" s="1"/>
  <c r="M116" i="16" s="1"/>
  <c r="O115" i="16"/>
  <c r="S115" i="16" s="1"/>
  <c r="L116" i="16" s="1"/>
  <c r="O121" i="17"/>
  <c r="S121" i="17" s="1"/>
  <c r="L122" i="17" s="1"/>
  <c r="N122" i="17" s="1"/>
  <c r="O118" i="13"/>
  <c r="S118" i="13" s="1"/>
  <c r="L119" i="13" s="1"/>
  <c r="O115" i="14"/>
  <c r="S115" i="14" s="1"/>
  <c r="L116" i="14" s="1"/>
  <c r="R209" i="20" l="1"/>
  <c r="P209" i="20"/>
  <c r="T209" i="20" s="1"/>
  <c r="U209" i="20" s="1"/>
  <c r="M210" i="20" s="1"/>
  <c r="K116" i="16"/>
  <c r="Y362" i="20"/>
  <c r="N361" i="20"/>
  <c r="K122" i="17"/>
  <c r="J122" i="17" s="1"/>
  <c r="N116" i="16"/>
  <c r="N119" i="13"/>
  <c r="K119" i="13"/>
  <c r="Q111" i="15"/>
  <c r="P111" i="15" s="1"/>
  <c r="R111" i="15" s="1"/>
  <c r="T111" i="15" s="1"/>
  <c r="M112" i="15" s="1"/>
  <c r="K116" i="14"/>
  <c r="N116" i="14"/>
  <c r="J116" i="16" l="1"/>
  <c r="Q116" i="16" s="1"/>
  <c r="P116" i="16" s="1"/>
  <c r="R116" i="16" s="1"/>
  <c r="T116" i="16" s="1"/>
  <c r="M117" i="16" s="1"/>
  <c r="Q210" i="20"/>
  <c r="O210" i="20"/>
  <c r="S210" i="20" s="1"/>
  <c r="J119" i="13"/>
  <c r="Q119" i="13" s="1"/>
  <c r="P119" i="13" s="1"/>
  <c r="R119" i="13" s="1"/>
  <c r="T119" i="13" s="1"/>
  <c r="M120" i="13" s="1"/>
  <c r="N362" i="20"/>
  <c r="Y363" i="20"/>
  <c r="O111" i="15"/>
  <c r="S111" i="15" s="1"/>
  <c r="L112" i="15" s="1"/>
  <c r="J116" i="14"/>
  <c r="Q122" i="17"/>
  <c r="O116" i="16" l="1"/>
  <c r="S116" i="16" s="1"/>
  <c r="L117" i="16" s="1"/>
  <c r="N117" i="16" s="1"/>
  <c r="R210" i="20"/>
  <c r="P210" i="20"/>
  <c r="T210" i="20" s="1"/>
  <c r="U210" i="20" s="1"/>
  <c r="M211" i="20" s="1"/>
  <c r="N363" i="20"/>
  <c r="Y364" i="20"/>
  <c r="Q116" i="14"/>
  <c r="P116" i="14" s="1"/>
  <c r="O119" i="13"/>
  <c r="S119" i="13" s="1"/>
  <c r="L120" i="13" s="1"/>
  <c r="K112" i="15"/>
  <c r="N112" i="15"/>
  <c r="P122" i="17"/>
  <c r="R122" i="17" s="1"/>
  <c r="T122" i="17" s="1"/>
  <c r="M123" i="17" s="1"/>
  <c r="K117" i="16" l="1"/>
  <c r="J117" i="16" s="1"/>
  <c r="Q117" i="16" s="1"/>
  <c r="P117" i="16" s="1"/>
  <c r="O117" i="16" s="1"/>
  <c r="S117" i="16" s="1"/>
  <c r="L118" i="16" s="1"/>
  <c r="Q211" i="20"/>
  <c r="O211" i="20"/>
  <c r="S211" i="20" s="1"/>
  <c r="Y365" i="20"/>
  <c r="N364" i="20"/>
  <c r="O116" i="14"/>
  <c r="S116" i="14" s="1"/>
  <c r="L117" i="14" s="1"/>
  <c r="N117" i="14" s="1"/>
  <c r="R116" i="14"/>
  <c r="T116" i="14" s="1"/>
  <c r="M117" i="14" s="1"/>
  <c r="J112" i="15"/>
  <c r="N120" i="13"/>
  <c r="K120" i="13"/>
  <c r="O122" i="17"/>
  <c r="S122" i="17" s="1"/>
  <c r="L123" i="17" s="1"/>
  <c r="R211" i="20" l="1"/>
  <c r="P211" i="20"/>
  <c r="T211" i="20" s="1"/>
  <c r="U211" i="20" s="1"/>
  <c r="M212" i="20" s="1"/>
  <c r="Y366" i="20"/>
  <c r="N365" i="20"/>
  <c r="K117" i="14"/>
  <c r="J117" i="14" s="1"/>
  <c r="Q117" i="14" s="1"/>
  <c r="P117" i="14" s="1"/>
  <c r="R117" i="14" s="1"/>
  <c r="T117" i="14" s="1"/>
  <c r="M118" i="14" s="1"/>
  <c r="R117" i="16"/>
  <c r="T117" i="16" s="1"/>
  <c r="M118" i="16" s="1"/>
  <c r="K118" i="16" s="1"/>
  <c r="J120" i="13"/>
  <c r="Q120" i="13" s="1"/>
  <c r="P120" i="13" s="1"/>
  <c r="R120" i="13" s="1"/>
  <c r="T120" i="13" s="1"/>
  <c r="M121" i="13" s="1"/>
  <c r="Q112" i="15"/>
  <c r="N118" i="16"/>
  <c r="N123" i="17"/>
  <c r="K123" i="17"/>
  <c r="Q212" i="20" l="1"/>
  <c r="O212" i="20"/>
  <c r="S212" i="20" s="1"/>
  <c r="N366" i="20"/>
  <c r="Y367" i="20"/>
  <c r="J118" i="16"/>
  <c r="Q118" i="16" s="1"/>
  <c r="P118" i="16" s="1"/>
  <c r="R118" i="16" s="1"/>
  <c r="T118" i="16" s="1"/>
  <c r="M119" i="16" s="1"/>
  <c r="O117" i="14"/>
  <c r="S117" i="14" s="1"/>
  <c r="L118" i="14" s="1"/>
  <c r="K118" i="14" s="1"/>
  <c r="J123" i="17"/>
  <c r="Q123" i="17" s="1"/>
  <c r="P123" i="17" s="1"/>
  <c r="R123" i="17" s="1"/>
  <c r="T123" i="17" s="1"/>
  <c r="M124" i="17" s="1"/>
  <c r="P112" i="15"/>
  <c r="R112" i="15" s="1"/>
  <c r="T112" i="15" s="1"/>
  <c r="M113" i="15" s="1"/>
  <c r="O120" i="13"/>
  <c r="S120" i="13" s="1"/>
  <c r="L121" i="13" s="1"/>
  <c r="R212" i="20" l="1"/>
  <c r="P212" i="20"/>
  <c r="T212" i="20" s="1"/>
  <c r="U212" i="20" s="1"/>
  <c r="M213" i="20" s="1"/>
  <c r="Y368" i="20"/>
  <c r="N367" i="20"/>
  <c r="N118" i="14"/>
  <c r="J118" i="14" s="1"/>
  <c r="Q118" i="14" s="1"/>
  <c r="P118" i="14" s="1"/>
  <c r="O112" i="15"/>
  <c r="S112" i="15" s="1"/>
  <c r="L113" i="15" s="1"/>
  <c r="N113" i="15" s="1"/>
  <c r="N121" i="13"/>
  <c r="K121" i="13"/>
  <c r="O118" i="16"/>
  <c r="S118" i="16" s="1"/>
  <c r="L119" i="16" s="1"/>
  <c r="K119" i="16" s="1"/>
  <c r="O123" i="17"/>
  <c r="S123" i="17" s="1"/>
  <c r="L124" i="17" s="1"/>
  <c r="O213" i="20" l="1"/>
  <c r="S213" i="20" s="1"/>
  <c r="Q213" i="20"/>
  <c r="R213" i="20" s="1"/>
  <c r="N368" i="20"/>
  <c r="Y369" i="20"/>
  <c r="J121" i="13"/>
  <c r="Q121" i="13" s="1"/>
  <c r="K113" i="15"/>
  <c r="J113" i="15" s="1"/>
  <c r="O118" i="14"/>
  <c r="S118" i="14" s="1"/>
  <c r="L119" i="14" s="1"/>
  <c r="N119" i="14" s="1"/>
  <c r="R118" i="14"/>
  <c r="T118" i="14" s="1"/>
  <c r="M119" i="14" s="1"/>
  <c r="N119" i="16"/>
  <c r="J119" i="16" s="1"/>
  <c r="Q119" i="16" s="1"/>
  <c r="K124" i="17"/>
  <c r="N124" i="17"/>
  <c r="P213" i="20" l="1"/>
  <c r="T213" i="20" s="1"/>
  <c r="U213" i="20" s="1"/>
  <c r="M214" i="20" s="1"/>
  <c r="Y370" i="20"/>
  <c r="N369" i="20"/>
  <c r="K119" i="14"/>
  <c r="J119" i="14" s="1"/>
  <c r="Q119" i="14" s="1"/>
  <c r="P119" i="14" s="1"/>
  <c r="R119" i="14" s="1"/>
  <c r="T119" i="14" s="1"/>
  <c r="M120" i="14" s="1"/>
  <c r="P121" i="13"/>
  <c r="R121" i="13" s="1"/>
  <c r="T121" i="13" s="1"/>
  <c r="M122" i="13" s="1"/>
  <c r="Q113" i="15"/>
  <c r="P113" i="15" s="1"/>
  <c r="P119" i="16"/>
  <c r="R119" i="16" s="1"/>
  <c r="T119" i="16" s="1"/>
  <c r="M120" i="16" s="1"/>
  <c r="J124" i="17"/>
  <c r="O214" i="20" l="1"/>
  <c r="S214" i="20" s="1"/>
  <c r="Q214" i="20"/>
  <c r="R214" i="20" s="1"/>
  <c r="P214" i="20"/>
  <c r="T214" i="20" s="1"/>
  <c r="U214" i="20" s="1"/>
  <c r="M215" i="20" s="1"/>
  <c r="Y371" i="20"/>
  <c r="N370" i="20"/>
  <c r="O119" i="14"/>
  <c r="S119" i="14" s="1"/>
  <c r="L120" i="14" s="1"/>
  <c r="N120" i="14" s="1"/>
  <c r="R113" i="15"/>
  <c r="T113" i="15" s="1"/>
  <c r="M114" i="15" s="1"/>
  <c r="O113" i="15"/>
  <c r="S113" i="15" s="1"/>
  <c r="L114" i="15" s="1"/>
  <c r="O121" i="13"/>
  <c r="S121" i="13" s="1"/>
  <c r="L122" i="13" s="1"/>
  <c r="Q124" i="17"/>
  <c r="P124" i="17" s="1"/>
  <c r="R124" i="17" s="1"/>
  <c r="T124" i="17" s="1"/>
  <c r="M125" i="17" s="1"/>
  <c r="O119" i="16"/>
  <c r="S119" i="16" s="1"/>
  <c r="L120" i="16" s="1"/>
  <c r="Q215" i="20" l="1"/>
  <c r="R215" i="20" s="1"/>
  <c r="O215" i="20"/>
  <c r="S215" i="20" s="1"/>
  <c r="P215" i="20"/>
  <c r="T215" i="20" s="1"/>
  <c r="U215" i="20" s="1"/>
  <c r="M216" i="20" s="1"/>
  <c r="Y372" i="20"/>
  <c r="N371" i="20"/>
  <c r="K120" i="14"/>
  <c r="J120" i="14" s="1"/>
  <c r="Q120" i="14" s="1"/>
  <c r="P120" i="14" s="1"/>
  <c r="R120" i="14" s="1"/>
  <c r="T120" i="14" s="1"/>
  <c r="M121" i="14" s="1"/>
  <c r="N114" i="15"/>
  <c r="K114" i="15"/>
  <c r="N122" i="13"/>
  <c r="K122" i="13"/>
  <c r="N120" i="16"/>
  <c r="K120" i="16"/>
  <c r="O124" i="17"/>
  <c r="S124" i="17" s="1"/>
  <c r="L125" i="17" s="1"/>
  <c r="Q216" i="20" l="1"/>
  <c r="R216" i="20" s="1"/>
  <c r="O216" i="20"/>
  <c r="S216" i="20" s="1"/>
  <c r="P216" i="20"/>
  <c r="J120" i="16"/>
  <c r="Q120" i="16" s="1"/>
  <c r="Y373" i="20"/>
  <c r="N372" i="20"/>
  <c r="J114" i="15"/>
  <c r="Q114" i="15" s="1"/>
  <c r="P114" i="15" s="1"/>
  <c r="R114" i="15" s="1"/>
  <c r="T114" i="15" s="1"/>
  <c r="M115" i="15" s="1"/>
  <c r="J122" i="13"/>
  <c r="O120" i="14"/>
  <c r="S120" i="14" s="1"/>
  <c r="L121" i="14" s="1"/>
  <c r="N125" i="17"/>
  <c r="K125" i="17"/>
  <c r="T216" i="20" l="1"/>
  <c r="U216" i="20" s="1"/>
  <c r="M217" i="20" s="1"/>
  <c r="N373" i="20"/>
  <c r="Y374" i="20"/>
  <c r="N374" i="20" s="1"/>
  <c r="J125" i="17"/>
  <c r="Q125" i="17" s="1"/>
  <c r="O114" i="15"/>
  <c r="S114" i="15" s="1"/>
  <c r="L115" i="15" s="1"/>
  <c r="Q122" i="13"/>
  <c r="P122" i="13" s="1"/>
  <c r="K121" i="14"/>
  <c r="N121" i="14"/>
  <c r="P120" i="16"/>
  <c r="R120" i="16" s="1"/>
  <c r="T120" i="16" s="1"/>
  <c r="M121" i="16" s="1"/>
  <c r="Q217" i="20" l="1"/>
  <c r="R217" i="20" s="1"/>
  <c r="O217" i="20"/>
  <c r="S217" i="20" s="1"/>
  <c r="P217" i="20"/>
  <c r="T217" i="20" s="1"/>
  <c r="U217" i="20" s="1"/>
  <c r="M218" i="20" s="1"/>
  <c r="O122" i="13"/>
  <c r="S122" i="13" s="1"/>
  <c r="L123" i="13" s="1"/>
  <c r="R122" i="13"/>
  <c r="T122" i="13" s="1"/>
  <c r="M123" i="13" s="1"/>
  <c r="K115" i="15"/>
  <c r="N115" i="15"/>
  <c r="P125" i="17"/>
  <c r="R125" i="17" s="1"/>
  <c r="T125" i="17" s="1"/>
  <c r="M126" i="17" s="1"/>
  <c r="J121" i="14"/>
  <c r="O120" i="16"/>
  <c r="S120" i="16" s="1"/>
  <c r="L121" i="16" s="1"/>
  <c r="Q218" i="20" l="1"/>
  <c r="R218" i="20" s="1"/>
  <c r="O218" i="20"/>
  <c r="S218" i="20" s="1"/>
  <c r="P218" i="20"/>
  <c r="T218" i="20" s="1"/>
  <c r="U218" i="20" s="1"/>
  <c r="M219" i="20" s="1"/>
  <c r="J115" i="15"/>
  <c r="N123" i="13"/>
  <c r="K123" i="13"/>
  <c r="O125" i="17"/>
  <c r="S125" i="17" s="1"/>
  <c r="L126" i="17" s="1"/>
  <c r="Q121" i="14"/>
  <c r="P121" i="14" s="1"/>
  <c r="R121" i="14" s="1"/>
  <c r="T121" i="14" s="1"/>
  <c r="M122" i="14" s="1"/>
  <c r="K121" i="16"/>
  <c r="N121" i="16"/>
  <c r="Q219" i="20" l="1"/>
  <c r="P219" i="20"/>
  <c r="O219" i="20"/>
  <c r="S219" i="20" s="1"/>
  <c r="O121" i="14"/>
  <c r="S121" i="14" s="1"/>
  <c r="L122" i="14" s="1"/>
  <c r="N122" i="14" s="1"/>
  <c r="N126" i="17"/>
  <c r="K126" i="17"/>
  <c r="J123" i="13"/>
  <c r="Q115" i="15"/>
  <c r="P115" i="15" s="1"/>
  <c r="R115" i="15" s="1"/>
  <c r="T115" i="15" s="1"/>
  <c r="M116" i="15" s="1"/>
  <c r="J121" i="16"/>
  <c r="T219" i="20" l="1"/>
  <c r="U219" i="20" s="1"/>
  <c r="J126" i="17"/>
  <c r="Q126" i="17" s="1"/>
  <c r="P126" i="17" s="1"/>
  <c r="O126" i="17" s="1"/>
  <c r="S126" i="17" s="1"/>
  <c r="L127" i="17" s="1"/>
  <c r="K122" i="14"/>
  <c r="J122" i="14" s="1"/>
  <c r="Q122" i="14" s="1"/>
  <c r="P122" i="14" s="1"/>
  <c r="R122" i="14" s="1"/>
  <c r="T122" i="14" s="1"/>
  <c r="M123" i="14" s="1"/>
  <c r="O115" i="15"/>
  <c r="S115" i="15" s="1"/>
  <c r="L116" i="15" s="1"/>
  <c r="N116" i="15" s="1"/>
  <c r="Q123" i="13"/>
  <c r="P123" i="13" s="1"/>
  <c r="R123" i="13" s="1"/>
  <c r="T123" i="13" s="1"/>
  <c r="M124" i="13" s="1"/>
  <c r="Q121" i="16"/>
  <c r="P121" i="16" s="1"/>
  <c r="R121" i="16" s="1"/>
  <c r="T121" i="16" s="1"/>
  <c r="M122" i="16" s="1"/>
  <c r="M220" i="20" l="1"/>
  <c r="V219" i="20"/>
  <c r="R219" i="20" s="1"/>
  <c r="K116" i="15"/>
  <c r="J116" i="15" s="1"/>
  <c r="Q116" i="15" s="1"/>
  <c r="P116" i="15" s="1"/>
  <c r="R116" i="15" s="1"/>
  <c r="T116" i="15" s="1"/>
  <c r="M117" i="15" s="1"/>
  <c r="O123" i="13"/>
  <c r="S123" i="13" s="1"/>
  <c r="L124" i="13" s="1"/>
  <c r="K124" i="13" s="1"/>
  <c r="O121" i="16"/>
  <c r="S121" i="16" s="1"/>
  <c r="L122" i="16" s="1"/>
  <c r="N122" i="16" s="1"/>
  <c r="N127" i="17"/>
  <c r="R126" i="17"/>
  <c r="T126" i="17" s="1"/>
  <c r="M127" i="17" s="1"/>
  <c r="K127" i="17" s="1"/>
  <c r="O122" i="14"/>
  <c r="S122" i="14" s="1"/>
  <c r="L123" i="14" s="1"/>
  <c r="O220" i="20" l="1"/>
  <c r="S220" i="20" s="1"/>
  <c r="Q220" i="20"/>
  <c r="N124" i="13"/>
  <c r="J124" i="13" s="1"/>
  <c r="J127" i="17"/>
  <c r="Q127" i="17" s="1"/>
  <c r="P127" i="17" s="1"/>
  <c r="R127" i="17" s="1"/>
  <c r="T127" i="17" s="1"/>
  <c r="M128" i="17" s="1"/>
  <c r="O116" i="15"/>
  <c r="S116" i="15" s="1"/>
  <c r="L117" i="15" s="1"/>
  <c r="K117" i="15" s="1"/>
  <c r="K122" i="16"/>
  <c r="J122" i="16" s="1"/>
  <c r="Q122" i="16" s="1"/>
  <c r="K123" i="14"/>
  <c r="N123" i="14"/>
  <c r="R220" i="20" l="1"/>
  <c r="P220" i="20"/>
  <c r="T220" i="20" s="1"/>
  <c r="U220" i="20" s="1"/>
  <c r="M221" i="20" s="1"/>
  <c r="O127" i="17"/>
  <c r="S127" i="17" s="1"/>
  <c r="L128" i="17" s="1"/>
  <c r="N128" i="17" s="1"/>
  <c r="N117" i="15"/>
  <c r="J117" i="15" s="1"/>
  <c r="Q117" i="15" s="1"/>
  <c r="P117" i="15" s="1"/>
  <c r="R117" i="15" s="1"/>
  <c r="T117" i="15" s="1"/>
  <c r="M118" i="15" s="1"/>
  <c r="P122" i="16"/>
  <c r="O122" i="16" s="1"/>
  <c r="S122" i="16" s="1"/>
  <c r="L123" i="16" s="1"/>
  <c r="N123" i="16" s="1"/>
  <c r="Q124" i="13"/>
  <c r="P124" i="13" s="1"/>
  <c r="R124" i="13" s="1"/>
  <c r="T124" i="13" s="1"/>
  <c r="M125" i="13" s="1"/>
  <c r="J123" i="14"/>
  <c r="O221" i="20" l="1"/>
  <c r="S221" i="20" s="1"/>
  <c r="Q221" i="20"/>
  <c r="R221" i="20" s="1"/>
  <c r="P221" i="20"/>
  <c r="T221" i="20" s="1"/>
  <c r="U221" i="20" s="1"/>
  <c r="M222" i="20" s="1"/>
  <c r="Q222" i="20"/>
  <c r="R222" i="20" s="1"/>
  <c r="O222" i="20"/>
  <c r="S222" i="20" s="1"/>
  <c r="K128" i="17"/>
  <c r="J128" i="17" s="1"/>
  <c r="Q128" i="17" s="1"/>
  <c r="O124" i="13"/>
  <c r="S124" i="13" s="1"/>
  <c r="L125" i="13" s="1"/>
  <c r="N125" i="13" s="1"/>
  <c r="O117" i="15"/>
  <c r="S117" i="15" s="1"/>
  <c r="L118" i="15" s="1"/>
  <c r="K118" i="15" s="1"/>
  <c r="R122" i="16"/>
  <c r="T122" i="16" s="1"/>
  <c r="M123" i="16" s="1"/>
  <c r="K123" i="16" s="1"/>
  <c r="J123" i="16" s="1"/>
  <c r="Q123" i="14"/>
  <c r="P123" i="14" s="1"/>
  <c r="R123" i="14" s="1"/>
  <c r="T123" i="14" s="1"/>
  <c r="M124" i="14" s="1"/>
  <c r="K125" i="13" l="1"/>
  <c r="J125" i="13" s="1"/>
  <c r="N118" i="15"/>
  <c r="J118" i="15" s="1"/>
  <c r="Q118" i="15" s="1"/>
  <c r="P118" i="15" s="1"/>
  <c r="R118" i="15" s="1"/>
  <c r="T118" i="15" s="1"/>
  <c r="M119" i="15" s="1"/>
  <c r="P222" i="20"/>
  <c r="T222" i="20" s="1"/>
  <c r="U222" i="20" s="1"/>
  <c r="M223" i="20" s="1"/>
  <c r="P128" i="17"/>
  <c r="R128" i="17" s="1"/>
  <c r="T128" i="17" s="1"/>
  <c r="M129" i="17" s="1"/>
  <c r="Q123" i="16"/>
  <c r="P123" i="16" s="1"/>
  <c r="R123" i="16" s="1"/>
  <c r="T123" i="16" s="1"/>
  <c r="M124" i="16" s="1"/>
  <c r="O123" i="14"/>
  <c r="S123" i="14" s="1"/>
  <c r="L124" i="14" s="1"/>
  <c r="O223" i="20" l="1"/>
  <c r="S223" i="20" s="1"/>
  <c r="Q223" i="20"/>
  <c r="R223" i="20" s="1"/>
  <c r="O128" i="17"/>
  <c r="S128" i="17" s="1"/>
  <c r="L129" i="17" s="1"/>
  <c r="K129" i="17" s="1"/>
  <c r="O118" i="15"/>
  <c r="S118" i="15" s="1"/>
  <c r="L119" i="15" s="1"/>
  <c r="K119" i="15" s="1"/>
  <c r="Q125" i="13"/>
  <c r="P125" i="13" s="1"/>
  <c r="R125" i="13" s="1"/>
  <c r="T125" i="13" s="1"/>
  <c r="M126" i="13" s="1"/>
  <c r="K124" i="14"/>
  <c r="N124" i="14"/>
  <c r="O123" i="16"/>
  <c r="S123" i="16" s="1"/>
  <c r="L124" i="16" s="1"/>
  <c r="N129" i="17" l="1"/>
  <c r="J129" i="17" s="1"/>
  <c r="P223" i="20"/>
  <c r="T223" i="20" s="1"/>
  <c r="U223" i="20" s="1"/>
  <c r="M224" i="20" s="1"/>
  <c r="N119" i="15"/>
  <c r="J119" i="15" s="1"/>
  <c r="J124" i="14"/>
  <c r="Q124" i="14" s="1"/>
  <c r="P124" i="14" s="1"/>
  <c r="R124" i="14" s="1"/>
  <c r="T124" i="14" s="1"/>
  <c r="M125" i="14" s="1"/>
  <c r="O125" i="13"/>
  <c r="S125" i="13" s="1"/>
  <c r="L126" i="13" s="1"/>
  <c r="N124" i="16"/>
  <c r="K124" i="16"/>
  <c r="O224" i="20" l="1"/>
  <c r="S224" i="20" s="1"/>
  <c r="Q224" i="20"/>
  <c r="R224" i="20" s="1"/>
  <c r="K126" i="13"/>
  <c r="N126" i="13"/>
  <c r="Q129" i="17"/>
  <c r="P129" i="17" s="1"/>
  <c r="R129" i="17" s="1"/>
  <c r="T129" i="17" s="1"/>
  <c r="M130" i="17" s="1"/>
  <c r="O124" i="14"/>
  <c r="S124" i="14" s="1"/>
  <c r="L125" i="14" s="1"/>
  <c r="J124" i="16"/>
  <c r="Q119" i="15"/>
  <c r="P224" i="20" l="1"/>
  <c r="T224" i="20" s="1"/>
  <c r="U224" i="20" s="1"/>
  <c r="M225" i="20" s="1"/>
  <c r="O225" i="20" s="1"/>
  <c r="S225" i="20" s="1"/>
  <c r="P119" i="15"/>
  <c r="R119" i="15" s="1"/>
  <c r="T119" i="15" s="1"/>
  <c r="M120" i="15" s="1"/>
  <c r="J126" i="13"/>
  <c r="K125" i="14"/>
  <c r="N125" i="14"/>
  <c r="O129" i="17"/>
  <c r="S129" i="17" s="1"/>
  <c r="L130" i="17" s="1"/>
  <c r="Q124" i="16"/>
  <c r="Q225" i="20" l="1"/>
  <c r="R225" i="20" s="1"/>
  <c r="P225" i="20"/>
  <c r="T225" i="20" s="1"/>
  <c r="U225" i="20" s="1"/>
  <c r="M226" i="20" s="1"/>
  <c r="O119" i="15"/>
  <c r="S119" i="15" s="1"/>
  <c r="L120" i="15" s="1"/>
  <c r="Q126" i="13"/>
  <c r="P126" i="13" s="1"/>
  <c r="R126" i="13" s="1"/>
  <c r="T126" i="13" s="1"/>
  <c r="M127" i="13" s="1"/>
  <c r="P124" i="16"/>
  <c r="R124" i="16" s="1"/>
  <c r="T124" i="16" s="1"/>
  <c r="M125" i="16" s="1"/>
  <c r="K130" i="17"/>
  <c r="N130" i="17"/>
  <c r="J125" i="14"/>
  <c r="O226" i="20" l="1"/>
  <c r="S226" i="20" s="1"/>
  <c r="Q226" i="20"/>
  <c r="R226" i="20" s="1"/>
  <c r="O126" i="13"/>
  <c r="S126" i="13" s="1"/>
  <c r="L127" i="13" s="1"/>
  <c r="N127" i="13" s="1"/>
  <c r="K120" i="15"/>
  <c r="N120" i="15"/>
  <c r="Q125" i="14"/>
  <c r="J130" i="17"/>
  <c r="O124" i="16"/>
  <c r="S124" i="16" s="1"/>
  <c r="L125" i="16" s="1"/>
  <c r="P226" i="20" l="1"/>
  <c r="T226" i="20" s="1"/>
  <c r="U226" i="20" s="1"/>
  <c r="M227" i="20" s="1"/>
  <c r="O227" i="20" s="1"/>
  <c r="S227" i="20" s="1"/>
  <c r="Q227" i="20"/>
  <c r="R227" i="20" s="1"/>
  <c r="K127" i="13"/>
  <c r="J127" i="13" s="1"/>
  <c r="Q127" i="13" s="1"/>
  <c r="P127" i="13" s="1"/>
  <c r="R127" i="13" s="1"/>
  <c r="T127" i="13" s="1"/>
  <c r="M128" i="13" s="1"/>
  <c r="J120" i="15"/>
  <c r="Q120" i="15" s="1"/>
  <c r="N125" i="16"/>
  <c r="K125" i="16"/>
  <c r="Q130" i="17"/>
  <c r="P130" i="17" s="1"/>
  <c r="R130" i="17" s="1"/>
  <c r="T130" i="17" s="1"/>
  <c r="M131" i="17" s="1"/>
  <c r="P125" i="14"/>
  <c r="R125" i="14" s="1"/>
  <c r="T125" i="14" s="1"/>
  <c r="M126" i="14" s="1"/>
  <c r="P227" i="20" l="1"/>
  <c r="T227" i="20" s="1"/>
  <c r="U227" i="20" s="1"/>
  <c r="M228" i="20" s="1"/>
  <c r="O228" i="20" s="1"/>
  <c r="S228" i="20" s="1"/>
  <c r="P120" i="15"/>
  <c r="R120" i="15" s="1"/>
  <c r="T120" i="15" s="1"/>
  <c r="M121" i="15" s="1"/>
  <c r="J125" i="16"/>
  <c r="Q125" i="16" s="1"/>
  <c r="O127" i="13"/>
  <c r="S127" i="13" s="1"/>
  <c r="L128" i="13" s="1"/>
  <c r="N128" i="13" s="1"/>
  <c r="O130" i="17"/>
  <c r="S130" i="17" s="1"/>
  <c r="L131" i="17" s="1"/>
  <c r="O125" i="14"/>
  <c r="S125" i="14" s="1"/>
  <c r="L126" i="14" s="1"/>
  <c r="Q228" i="20" l="1"/>
  <c r="R228" i="20" s="1"/>
  <c r="O120" i="15"/>
  <c r="S120" i="15" s="1"/>
  <c r="L121" i="15" s="1"/>
  <c r="K121" i="15" s="1"/>
  <c r="K128" i="13"/>
  <c r="J128" i="13" s="1"/>
  <c r="Q128" i="13" s="1"/>
  <c r="N126" i="14"/>
  <c r="K126" i="14"/>
  <c r="P125" i="16"/>
  <c r="R125" i="16" s="1"/>
  <c r="T125" i="16" s="1"/>
  <c r="M126" i="16" s="1"/>
  <c r="N131" i="17"/>
  <c r="K131" i="17"/>
  <c r="P228" i="20" l="1"/>
  <c r="T228" i="20" s="1"/>
  <c r="U228" i="20" s="1"/>
  <c r="M229" i="20" s="1"/>
  <c r="N121" i="15"/>
  <c r="J121" i="15" s="1"/>
  <c r="J126" i="14"/>
  <c r="Q126" i="14" s="1"/>
  <c r="J131" i="17"/>
  <c r="Q131" i="17" s="1"/>
  <c r="P131" i="17" s="1"/>
  <c r="R131" i="17" s="1"/>
  <c r="T131" i="17" s="1"/>
  <c r="M132" i="17" s="1"/>
  <c r="P128" i="13"/>
  <c r="R128" i="13" s="1"/>
  <c r="T128" i="13" s="1"/>
  <c r="M129" i="13" s="1"/>
  <c r="O125" i="16"/>
  <c r="S125" i="16" s="1"/>
  <c r="L126" i="16" s="1"/>
  <c r="Q229" i="20" l="1"/>
  <c r="R229" i="20" s="1"/>
  <c r="P229" i="20"/>
  <c r="O229" i="20"/>
  <c r="S229" i="20" s="1"/>
  <c r="Q121" i="15"/>
  <c r="P121" i="15" s="1"/>
  <c r="O128" i="13"/>
  <c r="S128" i="13" s="1"/>
  <c r="L129" i="13" s="1"/>
  <c r="P126" i="14"/>
  <c r="R126" i="14" s="1"/>
  <c r="T126" i="14" s="1"/>
  <c r="M127" i="14" s="1"/>
  <c r="K126" i="16"/>
  <c r="N126" i="16"/>
  <c r="O131" i="17"/>
  <c r="S131" i="17" s="1"/>
  <c r="L132" i="17" s="1"/>
  <c r="T229" i="20" l="1"/>
  <c r="U229" i="20" s="1"/>
  <c r="M230" i="20" s="1"/>
  <c r="O121" i="15"/>
  <c r="S121" i="15" s="1"/>
  <c r="L122" i="15" s="1"/>
  <c r="N122" i="15" s="1"/>
  <c r="R121" i="15"/>
  <c r="T121" i="15" s="1"/>
  <c r="M122" i="15" s="1"/>
  <c r="N129" i="13"/>
  <c r="K129" i="13"/>
  <c r="N132" i="17"/>
  <c r="K132" i="17"/>
  <c r="J126" i="16"/>
  <c r="O126" i="14"/>
  <c r="S126" i="14" s="1"/>
  <c r="L127" i="14" s="1"/>
  <c r="O230" i="20" l="1"/>
  <c r="S230" i="20" s="1"/>
  <c r="Q230" i="20"/>
  <c r="R230" i="20" s="1"/>
  <c r="P230" i="20"/>
  <c r="T230" i="20" s="1"/>
  <c r="U230" i="20" s="1"/>
  <c r="M231" i="20" s="1"/>
  <c r="K122" i="15"/>
  <c r="J122" i="15" s="1"/>
  <c r="Q122" i="15" s="1"/>
  <c r="P122" i="15" s="1"/>
  <c r="R122" i="15" s="1"/>
  <c r="T122" i="15" s="1"/>
  <c r="M123" i="15" s="1"/>
  <c r="J129" i="13"/>
  <c r="Q129" i="13" s="1"/>
  <c r="P129" i="13" s="1"/>
  <c r="R129" i="13" s="1"/>
  <c r="T129" i="13" s="1"/>
  <c r="M130" i="13" s="1"/>
  <c r="J132" i="17"/>
  <c r="Q132" i="17" s="1"/>
  <c r="Q126" i="16"/>
  <c r="P126" i="16" s="1"/>
  <c r="R126" i="16" s="1"/>
  <c r="T126" i="16" s="1"/>
  <c r="M127" i="16" s="1"/>
  <c r="K127" i="14"/>
  <c r="N127" i="14"/>
  <c r="O231" i="20" l="1"/>
  <c r="S231" i="20" s="1"/>
  <c r="Q231" i="20"/>
  <c r="P231" i="20" s="1"/>
  <c r="T231" i="20" s="1"/>
  <c r="U231" i="20" s="1"/>
  <c r="P132" i="17"/>
  <c r="R132" i="17" s="1"/>
  <c r="T132" i="17" s="1"/>
  <c r="M133" i="17" s="1"/>
  <c r="O126" i="16"/>
  <c r="S126" i="16" s="1"/>
  <c r="L127" i="16" s="1"/>
  <c r="K127" i="16" s="1"/>
  <c r="J127" i="14"/>
  <c r="Q127" i="14" s="1"/>
  <c r="O129" i="13"/>
  <c r="S129" i="13" s="1"/>
  <c r="L130" i="13" s="1"/>
  <c r="O122" i="15"/>
  <c r="S122" i="15" s="1"/>
  <c r="L123" i="15" s="1"/>
  <c r="M232" i="20" l="1"/>
  <c r="V231" i="20"/>
  <c r="R231" i="20" s="1"/>
  <c r="O132" i="17"/>
  <c r="S132" i="17" s="1"/>
  <c r="L133" i="17" s="1"/>
  <c r="N133" i="17" s="1"/>
  <c r="N127" i="16"/>
  <c r="J127" i="16" s="1"/>
  <c r="Q127" i="16" s="1"/>
  <c r="P127" i="16" s="1"/>
  <c r="R127" i="16" s="1"/>
  <c r="T127" i="16" s="1"/>
  <c r="M128" i="16" s="1"/>
  <c r="P127" i="14"/>
  <c r="K130" i="13"/>
  <c r="N130" i="13"/>
  <c r="K123" i="15"/>
  <c r="N123" i="15"/>
  <c r="O232" i="20" l="1"/>
  <c r="S232" i="20" s="1"/>
  <c r="Q232" i="20"/>
  <c r="R232" i="20" s="1"/>
  <c r="P232" i="20"/>
  <c r="K133" i="17"/>
  <c r="J133" i="17" s="1"/>
  <c r="Q133" i="17" s="1"/>
  <c r="O127" i="14"/>
  <c r="S127" i="14" s="1"/>
  <c r="L128" i="14" s="1"/>
  <c r="R127" i="14"/>
  <c r="T127" i="14" s="1"/>
  <c r="M128" i="14" s="1"/>
  <c r="J123" i="15"/>
  <c r="Q123" i="15" s="1"/>
  <c r="P123" i="15" s="1"/>
  <c r="R123" i="15" s="1"/>
  <c r="T123" i="15" s="1"/>
  <c r="M124" i="15" s="1"/>
  <c r="J130" i="13"/>
  <c r="O127" i="16"/>
  <c r="S127" i="16" s="1"/>
  <c r="L128" i="16" s="1"/>
  <c r="T232" i="20" l="1"/>
  <c r="U232" i="20" s="1"/>
  <c r="M233" i="20" s="1"/>
  <c r="Q233" i="20"/>
  <c r="R233" i="20" s="1"/>
  <c r="O233" i="20"/>
  <c r="S233" i="20" s="1"/>
  <c r="N128" i="14"/>
  <c r="K128" i="14"/>
  <c r="Q130" i="13"/>
  <c r="P130" i="13" s="1"/>
  <c r="R130" i="13" s="1"/>
  <c r="T130" i="13" s="1"/>
  <c r="M131" i="13" s="1"/>
  <c r="O123" i="15"/>
  <c r="S123" i="15" s="1"/>
  <c r="L124" i="15" s="1"/>
  <c r="N128" i="16"/>
  <c r="K128" i="16"/>
  <c r="P133" i="17"/>
  <c r="R133" i="17" s="1"/>
  <c r="T133" i="17" s="1"/>
  <c r="M134" i="17" s="1"/>
  <c r="P233" i="20" l="1"/>
  <c r="T233" i="20" s="1"/>
  <c r="U233" i="20" s="1"/>
  <c r="M234" i="20" s="1"/>
  <c r="Q234" i="20"/>
  <c r="R234" i="20" s="1"/>
  <c r="O234" i="20"/>
  <c r="S234" i="20" s="1"/>
  <c r="P234" i="20"/>
  <c r="T234" i="20" s="1"/>
  <c r="U234" i="20" s="1"/>
  <c r="M235" i="20" s="1"/>
  <c r="O235" i="20" s="1"/>
  <c r="S235" i="20" s="1"/>
  <c r="J128" i="16"/>
  <c r="Q128" i="16" s="1"/>
  <c r="P128" i="16" s="1"/>
  <c r="R128" i="16" s="1"/>
  <c r="T128" i="16" s="1"/>
  <c r="M129" i="16" s="1"/>
  <c r="J128" i="14"/>
  <c r="Q128" i="14" s="1"/>
  <c r="O130" i="13"/>
  <c r="S130" i="13" s="1"/>
  <c r="L131" i="13" s="1"/>
  <c r="N131" i="13" s="1"/>
  <c r="O133" i="17"/>
  <c r="S133" i="17" s="1"/>
  <c r="L134" i="17" s="1"/>
  <c r="N124" i="15"/>
  <c r="K124" i="15"/>
  <c r="Q235" i="20" l="1"/>
  <c r="R235" i="20" s="1"/>
  <c r="P235" i="20"/>
  <c r="T235" i="20" s="1"/>
  <c r="U235" i="20" s="1"/>
  <c r="M236" i="20" s="1"/>
  <c r="K131" i="13"/>
  <c r="J131" i="13" s="1"/>
  <c r="Q131" i="13" s="1"/>
  <c r="P131" i="13" s="1"/>
  <c r="P128" i="14"/>
  <c r="R128" i="14" s="1"/>
  <c r="T128" i="14" s="1"/>
  <c r="M129" i="14" s="1"/>
  <c r="J124" i="15"/>
  <c r="Q124" i="15" s="1"/>
  <c r="P124" i="15" s="1"/>
  <c r="R124" i="15" s="1"/>
  <c r="T124" i="15" s="1"/>
  <c r="M125" i="15" s="1"/>
  <c r="O128" i="16"/>
  <c r="S128" i="16" s="1"/>
  <c r="L129" i="16" s="1"/>
  <c r="K134" i="17"/>
  <c r="N134" i="17"/>
  <c r="O236" i="20" l="1"/>
  <c r="S236" i="20" s="1"/>
  <c r="Q236" i="20"/>
  <c r="R236" i="20" s="1"/>
  <c r="O128" i="14"/>
  <c r="S128" i="14" s="1"/>
  <c r="L129" i="14" s="1"/>
  <c r="N129" i="14" s="1"/>
  <c r="R131" i="13"/>
  <c r="T131" i="13" s="1"/>
  <c r="M132" i="13" s="1"/>
  <c r="O131" i="13"/>
  <c r="S131" i="13" s="1"/>
  <c r="L132" i="13" s="1"/>
  <c r="O124" i="15"/>
  <c r="S124" i="15" s="1"/>
  <c r="L125" i="15" s="1"/>
  <c r="J134" i="17"/>
  <c r="N129" i="16"/>
  <c r="K129" i="16"/>
  <c r="P236" i="20" l="1"/>
  <c r="T236" i="20" s="1"/>
  <c r="U236" i="20" s="1"/>
  <c r="M237" i="20" s="1"/>
  <c r="K129" i="14"/>
  <c r="J129" i="14" s="1"/>
  <c r="N132" i="13"/>
  <c r="K132" i="13"/>
  <c r="J129" i="16"/>
  <c r="Q129" i="16" s="1"/>
  <c r="P129" i="16" s="1"/>
  <c r="R129" i="16" s="1"/>
  <c r="T129" i="16" s="1"/>
  <c r="M130" i="16" s="1"/>
  <c r="N125" i="15"/>
  <c r="K125" i="15"/>
  <c r="Q134" i="17"/>
  <c r="O237" i="20" l="1"/>
  <c r="S237" i="20" s="1"/>
  <c r="Q237" i="20"/>
  <c r="R237" i="20" s="1"/>
  <c r="J132" i="13"/>
  <c r="Q132" i="13" s="1"/>
  <c r="P132" i="13" s="1"/>
  <c r="J125" i="15"/>
  <c r="Q125" i="15" s="1"/>
  <c r="P125" i="15" s="1"/>
  <c r="O125" i="15" s="1"/>
  <c r="S125" i="15" s="1"/>
  <c r="L126" i="15" s="1"/>
  <c r="O129" i="16"/>
  <c r="S129" i="16" s="1"/>
  <c r="L130" i="16" s="1"/>
  <c r="P134" i="17"/>
  <c r="R134" i="17" s="1"/>
  <c r="T134" i="17" s="1"/>
  <c r="M135" i="17" s="1"/>
  <c r="Q129" i="14"/>
  <c r="P129" i="14" s="1"/>
  <c r="P237" i="20" l="1"/>
  <c r="T237" i="20" s="1"/>
  <c r="U237" i="20" s="1"/>
  <c r="M238" i="20" s="1"/>
  <c r="R125" i="15"/>
  <c r="T125" i="15" s="1"/>
  <c r="M126" i="15" s="1"/>
  <c r="K126" i="15" s="1"/>
  <c r="O132" i="13"/>
  <c r="S132" i="13" s="1"/>
  <c r="L133" i="13" s="1"/>
  <c r="R132" i="13"/>
  <c r="T132" i="13" s="1"/>
  <c r="M133" i="13" s="1"/>
  <c r="N126" i="15"/>
  <c r="R129" i="14"/>
  <c r="T129" i="14" s="1"/>
  <c r="M130" i="14" s="1"/>
  <c r="O129" i="14"/>
  <c r="S129" i="14" s="1"/>
  <c r="L130" i="14" s="1"/>
  <c r="K130" i="16"/>
  <c r="N130" i="16"/>
  <c r="O134" i="17"/>
  <c r="S134" i="17" s="1"/>
  <c r="L135" i="17" s="1"/>
  <c r="J126" i="15" l="1"/>
  <c r="Q126" i="15" s="1"/>
  <c r="P126" i="15" s="1"/>
  <c r="R126" i="15" s="1"/>
  <c r="T126" i="15" s="1"/>
  <c r="M127" i="15" s="1"/>
  <c r="O238" i="20"/>
  <c r="S238" i="20" s="1"/>
  <c r="Q238" i="20"/>
  <c r="R238" i="20" s="1"/>
  <c r="N133" i="13"/>
  <c r="K133" i="13"/>
  <c r="N130" i="14"/>
  <c r="K130" i="14"/>
  <c r="J130" i="16"/>
  <c r="N135" i="17"/>
  <c r="K135" i="17"/>
  <c r="P238" i="20" l="1"/>
  <c r="T238" i="20" s="1"/>
  <c r="U238" i="20" s="1"/>
  <c r="M239" i="20" s="1"/>
  <c r="J130" i="14"/>
  <c r="Q130" i="14" s="1"/>
  <c r="P130" i="14" s="1"/>
  <c r="R130" i="14" s="1"/>
  <c r="T130" i="14" s="1"/>
  <c r="M131" i="14" s="1"/>
  <c r="J133" i="13"/>
  <c r="Q133" i="13" s="1"/>
  <c r="P133" i="13" s="1"/>
  <c r="J135" i="17"/>
  <c r="Q135" i="17" s="1"/>
  <c r="P135" i="17" s="1"/>
  <c r="R135" i="17" s="1"/>
  <c r="T135" i="17" s="1"/>
  <c r="M136" i="17" s="1"/>
  <c r="O126" i="15"/>
  <c r="S126" i="15" s="1"/>
  <c r="L127" i="15" s="1"/>
  <c r="Q130" i="16"/>
  <c r="P130" i="16" s="1"/>
  <c r="R130" i="16" s="1"/>
  <c r="T130" i="16" s="1"/>
  <c r="M131" i="16" s="1"/>
  <c r="O239" i="20" l="1"/>
  <c r="S239" i="20" s="1"/>
  <c r="Q239" i="20"/>
  <c r="R239" i="20" s="1"/>
  <c r="O133" i="13"/>
  <c r="S133" i="13" s="1"/>
  <c r="L134" i="13" s="1"/>
  <c r="R133" i="13"/>
  <c r="T133" i="13" s="1"/>
  <c r="M134" i="13" s="1"/>
  <c r="O135" i="17"/>
  <c r="S135" i="17" s="1"/>
  <c r="L136" i="17" s="1"/>
  <c r="N136" i="17" s="1"/>
  <c r="O130" i="16"/>
  <c r="S130" i="16" s="1"/>
  <c r="L131" i="16" s="1"/>
  <c r="K131" i="16" s="1"/>
  <c r="O130" i="14"/>
  <c r="S130" i="14" s="1"/>
  <c r="L131" i="14" s="1"/>
  <c r="K127" i="15"/>
  <c r="N127" i="15"/>
  <c r="K136" i="17" l="1"/>
  <c r="J136" i="17" s="1"/>
  <c r="P239" i="20"/>
  <c r="T239" i="20" s="1"/>
  <c r="U239" i="20" s="1"/>
  <c r="M240" i="20" s="1"/>
  <c r="N131" i="16"/>
  <c r="J131" i="16" s="1"/>
  <c r="K134" i="13"/>
  <c r="N134" i="13"/>
  <c r="K131" i="14"/>
  <c r="N131" i="14"/>
  <c r="J127" i="15"/>
  <c r="O240" i="20" l="1"/>
  <c r="S240" i="20" s="1"/>
  <c r="Q240" i="20"/>
  <c r="R240" i="20" s="1"/>
  <c r="J134" i="13"/>
  <c r="Q131" i="16"/>
  <c r="P131" i="16" s="1"/>
  <c r="R131" i="16" s="1"/>
  <c r="T131" i="16" s="1"/>
  <c r="M132" i="16" s="1"/>
  <c r="Q127" i="15"/>
  <c r="Q136" i="17"/>
  <c r="P136" i="17" s="1"/>
  <c r="J131" i="14"/>
  <c r="P240" i="20" l="1"/>
  <c r="T240" i="20" s="1"/>
  <c r="U240" i="20" s="1"/>
  <c r="M241" i="20" s="1"/>
  <c r="O241" i="20" s="1"/>
  <c r="S241" i="20" s="1"/>
  <c r="Q134" i="13"/>
  <c r="P134" i="13" s="1"/>
  <c r="R134" i="13" s="1"/>
  <c r="T134" i="13" s="1"/>
  <c r="M135" i="13" s="1"/>
  <c r="R136" i="17"/>
  <c r="T136" i="17" s="1"/>
  <c r="M137" i="17" s="1"/>
  <c r="O136" i="17"/>
  <c r="S136" i="17" s="1"/>
  <c r="L137" i="17" s="1"/>
  <c r="Q131" i="14"/>
  <c r="P131" i="14" s="1"/>
  <c r="R131" i="14" s="1"/>
  <c r="T131" i="14" s="1"/>
  <c r="M132" i="14" s="1"/>
  <c r="O131" i="16"/>
  <c r="S131" i="16" s="1"/>
  <c r="L132" i="16" s="1"/>
  <c r="P127" i="15"/>
  <c r="R127" i="15" s="1"/>
  <c r="T127" i="15" s="1"/>
  <c r="M128" i="15" s="1"/>
  <c r="Q241" i="20" l="1"/>
  <c r="R241" i="20" s="1"/>
  <c r="O134" i="13"/>
  <c r="S134" i="13" s="1"/>
  <c r="L135" i="13" s="1"/>
  <c r="N135" i="13" s="1"/>
  <c r="O131" i="14"/>
  <c r="S131" i="14" s="1"/>
  <c r="L132" i="14" s="1"/>
  <c r="K137" i="17"/>
  <c r="N137" i="17"/>
  <c r="O127" i="15"/>
  <c r="S127" i="15" s="1"/>
  <c r="L128" i="15" s="1"/>
  <c r="N132" i="16"/>
  <c r="K132" i="16"/>
  <c r="P241" i="20" l="1"/>
  <c r="T241" i="20" s="1"/>
  <c r="U241" i="20" s="1"/>
  <c r="M242" i="20" s="1"/>
  <c r="O242" i="20" s="1"/>
  <c r="S242" i="20" s="1"/>
  <c r="Q242" i="20"/>
  <c r="R242" i="20" s="1"/>
  <c r="K135" i="13"/>
  <c r="J135" i="13" s="1"/>
  <c r="Q135" i="13" s="1"/>
  <c r="J132" i="16"/>
  <c r="Q132" i="16" s="1"/>
  <c r="P132" i="16" s="1"/>
  <c r="J137" i="17"/>
  <c r="N128" i="15"/>
  <c r="K128" i="15"/>
  <c r="K132" i="14"/>
  <c r="N132" i="14"/>
  <c r="P242" i="20" l="1"/>
  <c r="T242" i="20" s="1"/>
  <c r="U242" i="20" s="1"/>
  <c r="M243" i="20" s="1"/>
  <c r="J128" i="15"/>
  <c r="Q128" i="15" s="1"/>
  <c r="P128" i="15" s="1"/>
  <c r="P135" i="13"/>
  <c r="R135" i="13" s="1"/>
  <c r="T135" i="13" s="1"/>
  <c r="M136" i="13" s="1"/>
  <c r="R132" i="16"/>
  <c r="T132" i="16" s="1"/>
  <c r="M133" i="16" s="1"/>
  <c r="O132" i="16"/>
  <c r="S132" i="16" s="1"/>
  <c r="L133" i="16" s="1"/>
  <c r="J132" i="14"/>
  <c r="Q137" i="17"/>
  <c r="P137" i="17" s="1"/>
  <c r="O243" i="20" l="1"/>
  <c r="S243" i="20" s="1"/>
  <c r="Q243" i="20"/>
  <c r="P243" i="20"/>
  <c r="T243" i="20" s="1"/>
  <c r="U243" i="20" s="1"/>
  <c r="O135" i="13"/>
  <c r="S135" i="13" s="1"/>
  <c r="L136" i="13" s="1"/>
  <c r="O128" i="15"/>
  <c r="S128" i="15" s="1"/>
  <c r="L129" i="15" s="1"/>
  <c r="R128" i="15"/>
  <c r="T128" i="15" s="1"/>
  <c r="M129" i="15" s="1"/>
  <c r="R137" i="17"/>
  <c r="T137" i="17" s="1"/>
  <c r="M138" i="17" s="1"/>
  <c r="O137" i="17"/>
  <c r="S137" i="17" s="1"/>
  <c r="L138" i="17" s="1"/>
  <c r="Q132" i="14"/>
  <c r="P132" i="14" s="1"/>
  <c r="R132" i="14" s="1"/>
  <c r="T132" i="14" s="1"/>
  <c r="M133" i="14" s="1"/>
  <c r="N133" i="16"/>
  <c r="K133" i="16"/>
  <c r="M244" i="20" l="1"/>
  <c r="V243" i="20"/>
  <c r="R243" i="20" s="1"/>
  <c r="J133" i="16"/>
  <c r="Q133" i="16" s="1"/>
  <c r="P133" i="16" s="1"/>
  <c r="R133" i="16" s="1"/>
  <c r="T133" i="16" s="1"/>
  <c r="M134" i="16" s="1"/>
  <c r="O132" i="14"/>
  <c r="S132" i="14" s="1"/>
  <c r="L133" i="14" s="1"/>
  <c r="K133" i="14" s="1"/>
  <c r="K136" i="13"/>
  <c r="N136" i="13"/>
  <c r="N138" i="17"/>
  <c r="K138" i="17"/>
  <c r="K129" i="15"/>
  <c r="N129" i="15"/>
  <c r="O244" i="20" l="1"/>
  <c r="S244" i="20" s="1"/>
  <c r="Q244" i="20"/>
  <c r="R244" i="20" s="1"/>
  <c r="N133" i="14"/>
  <c r="J133" i="14" s="1"/>
  <c r="J136" i="13"/>
  <c r="J138" i="17"/>
  <c r="O133" i="16"/>
  <c r="S133" i="16" s="1"/>
  <c r="L134" i="16" s="1"/>
  <c r="J129" i="15"/>
  <c r="P244" i="20" l="1"/>
  <c r="T244" i="20" s="1"/>
  <c r="U244" i="20" s="1"/>
  <c r="M245" i="20" s="1"/>
  <c r="Q136" i="13"/>
  <c r="P136" i="13" s="1"/>
  <c r="N134" i="16"/>
  <c r="K134" i="16"/>
  <c r="Q133" i="14"/>
  <c r="P133" i="14" s="1"/>
  <c r="Q129" i="15"/>
  <c r="P129" i="15" s="1"/>
  <c r="R129" i="15" s="1"/>
  <c r="T129" i="15" s="1"/>
  <c r="M130" i="15" s="1"/>
  <c r="Q138" i="17"/>
  <c r="P138" i="17" s="1"/>
  <c r="R138" i="17" s="1"/>
  <c r="T138" i="17" s="1"/>
  <c r="M139" i="17" s="1"/>
  <c r="J134" i="16" l="1"/>
  <c r="Q134" i="16" s="1"/>
  <c r="P134" i="16" s="1"/>
  <c r="R134" i="16" s="1"/>
  <c r="T134" i="16" s="1"/>
  <c r="M135" i="16" s="1"/>
  <c r="Q245" i="20"/>
  <c r="R245" i="20" s="1"/>
  <c r="O245" i="20"/>
  <c r="S245" i="20" s="1"/>
  <c r="P245" i="20"/>
  <c r="R136" i="13"/>
  <c r="T136" i="13" s="1"/>
  <c r="M137" i="13" s="1"/>
  <c r="O136" i="13"/>
  <c r="S136" i="13" s="1"/>
  <c r="L137" i="13" s="1"/>
  <c r="O129" i="15"/>
  <c r="S129" i="15" s="1"/>
  <c r="L130" i="15" s="1"/>
  <c r="K130" i="15" s="1"/>
  <c r="R133" i="14"/>
  <c r="T133" i="14" s="1"/>
  <c r="M134" i="14" s="1"/>
  <c r="O133" i="14"/>
  <c r="S133" i="14" s="1"/>
  <c r="L134" i="14" s="1"/>
  <c r="O138" i="17"/>
  <c r="S138" i="17" s="1"/>
  <c r="L139" i="17" s="1"/>
  <c r="T245" i="20" l="1"/>
  <c r="U245" i="20" s="1"/>
  <c r="M246" i="20" s="1"/>
  <c r="O246" i="20" s="1"/>
  <c r="S246" i="20" s="1"/>
  <c r="N130" i="15"/>
  <c r="J130" i="15" s="1"/>
  <c r="N137" i="13"/>
  <c r="K137" i="13"/>
  <c r="K134" i="14"/>
  <c r="N134" i="14"/>
  <c r="N139" i="17"/>
  <c r="K139" i="17"/>
  <c r="O134" i="16"/>
  <c r="S134" i="16" s="1"/>
  <c r="L135" i="16" s="1"/>
  <c r="Q246" i="20" l="1"/>
  <c r="R246" i="20" s="1"/>
  <c r="J137" i="13"/>
  <c r="Q137" i="13" s="1"/>
  <c r="P137" i="13" s="1"/>
  <c r="R137" i="13" s="1"/>
  <c r="T137" i="13" s="1"/>
  <c r="M138" i="13" s="1"/>
  <c r="J139" i="17"/>
  <c r="Q139" i="17" s="1"/>
  <c r="P139" i="17" s="1"/>
  <c r="R139" i="17" s="1"/>
  <c r="T139" i="17" s="1"/>
  <c r="M140" i="17" s="1"/>
  <c r="K135" i="16"/>
  <c r="N135" i="16"/>
  <c r="Q130" i="15"/>
  <c r="P130" i="15" s="1"/>
  <c r="R130" i="15" s="1"/>
  <c r="T130" i="15" s="1"/>
  <c r="M131" i="15" s="1"/>
  <c r="J134" i="14"/>
  <c r="P246" i="20" l="1"/>
  <c r="T246" i="20" s="1"/>
  <c r="U246" i="20" s="1"/>
  <c r="M247" i="20" s="1"/>
  <c r="O247" i="20" s="1"/>
  <c r="S247" i="20" s="1"/>
  <c r="O139" i="17"/>
  <c r="S139" i="17" s="1"/>
  <c r="L140" i="17" s="1"/>
  <c r="K140" i="17" s="1"/>
  <c r="O137" i="13"/>
  <c r="S137" i="13" s="1"/>
  <c r="L138" i="13" s="1"/>
  <c r="Q134" i="14"/>
  <c r="O130" i="15"/>
  <c r="S130" i="15" s="1"/>
  <c r="L131" i="15" s="1"/>
  <c r="J135" i="16"/>
  <c r="Q247" i="20" l="1"/>
  <c r="R247" i="20" s="1"/>
  <c r="N140" i="17"/>
  <c r="J140" i="17" s="1"/>
  <c r="K138" i="13"/>
  <c r="N138" i="13"/>
  <c r="P134" i="14"/>
  <c r="R134" i="14" s="1"/>
  <c r="T134" i="14" s="1"/>
  <c r="M135" i="14" s="1"/>
  <c r="Q135" i="16"/>
  <c r="K131" i="15"/>
  <c r="N131" i="15"/>
  <c r="P247" i="20" l="1"/>
  <c r="T247" i="20" s="1"/>
  <c r="U247" i="20" s="1"/>
  <c r="M248" i="20" s="1"/>
  <c r="P135" i="16"/>
  <c r="R135" i="16" s="1"/>
  <c r="T135" i="16" s="1"/>
  <c r="M136" i="16" s="1"/>
  <c r="J138" i="13"/>
  <c r="Q140" i="17"/>
  <c r="P140" i="17" s="1"/>
  <c r="R140" i="17" s="1"/>
  <c r="T140" i="17" s="1"/>
  <c r="M141" i="17" s="1"/>
  <c r="J131" i="15"/>
  <c r="O134" i="14"/>
  <c r="S134" i="14" s="1"/>
  <c r="L135" i="14" s="1"/>
  <c r="O248" i="20" l="1"/>
  <c r="S248" i="20" s="1"/>
  <c r="Q248" i="20"/>
  <c r="Q138" i="13"/>
  <c r="P138" i="13" s="1"/>
  <c r="R138" i="13" s="1"/>
  <c r="T138" i="13" s="1"/>
  <c r="M139" i="13" s="1"/>
  <c r="O135" i="16"/>
  <c r="S135" i="16" s="1"/>
  <c r="L136" i="16" s="1"/>
  <c r="K135" i="14"/>
  <c r="N135" i="14"/>
  <c r="O140" i="17"/>
  <c r="S140" i="17" s="1"/>
  <c r="L141" i="17" s="1"/>
  <c r="Q131" i="15"/>
  <c r="R248" i="20" l="1"/>
  <c r="P248" i="20"/>
  <c r="T248" i="20" s="1"/>
  <c r="U248" i="20" s="1"/>
  <c r="M249" i="20" s="1"/>
  <c r="O138" i="13"/>
  <c r="S138" i="13" s="1"/>
  <c r="L139" i="13" s="1"/>
  <c r="K139" i="13" s="1"/>
  <c r="N136" i="16"/>
  <c r="K136" i="16"/>
  <c r="P131" i="15"/>
  <c r="R131" i="15" s="1"/>
  <c r="T131" i="15" s="1"/>
  <c r="M132" i="15" s="1"/>
  <c r="K141" i="17"/>
  <c r="N141" i="17"/>
  <c r="J135" i="14"/>
  <c r="O249" i="20" l="1"/>
  <c r="S249" i="20" s="1"/>
  <c r="Q249" i="20"/>
  <c r="J136" i="16"/>
  <c r="Q136" i="16" s="1"/>
  <c r="N139" i="13"/>
  <c r="J139" i="13" s="1"/>
  <c r="Q135" i="14"/>
  <c r="O131" i="15"/>
  <c r="S131" i="15" s="1"/>
  <c r="L132" i="15" s="1"/>
  <c r="J141" i="17"/>
  <c r="R249" i="20" l="1"/>
  <c r="P249" i="20"/>
  <c r="T249" i="20" s="1"/>
  <c r="U249" i="20" s="1"/>
  <c r="M250" i="20" s="1"/>
  <c r="P136" i="16"/>
  <c r="R136" i="16" s="1"/>
  <c r="T136" i="16" s="1"/>
  <c r="M137" i="16" s="1"/>
  <c r="Q139" i="13"/>
  <c r="P139" i="13" s="1"/>
  <c r="R139" i="13" s="1"/>
  <c r="T139" i="13" s="1"/>
  <c r="M140" i="13" s="1"/>
  <c r="P135" i="14"/>
  <c r="R135" i="14" s="1"/>
  <c r="T135" i="14" s="1"/>
  <c r="M136" i="14" s="1"/>
  <c r="N132" i="15"/>
  <c r="K132" i="15"/>
  <c r="Q141" i="17"/>
  <c r="O250" i="20" l="1"/>
  <c r="S250" i="20" s="1"/>
  <c r="Q250" i="20"/>
  <c r="O136" i="16"/>
  <c r="S136" i="16" s="1"/>
  <c r="L137" i="16" s="1"/>
  <c r="K137" i="16" s="1"/>
  <c r="O139" i="13"/>
  <c r="S139" i="13" s="1"/>
  <c r="L140" i="13" s="1"/>
  <c r="K140" i="13" s="1"/>
  <c r="J132" i="15"/>
  <c r="Q132" i="15" s="1"/>
  <c r="P132" i="15" s="1"/>
  <c r="R132" i="15" s="1"/>
  <c r="T132" i="15" s="1"/>
  <c r="M133" i="15" s="1"/>
  <c r="P141" i="17"/>
  <c r="R141" i="17" s="1"/>
  <c r="T141" i="17" s="1"/>
  <c r="M142" i="17" s="1"/>
  <c r="O135" i="14"/>
  <c r="S135" i="14" s="1"/>
  <c r="L136" i="14" s="1"/>
  <c r="N137" i="16" l="1"/>
  <c r="J137" i="16" s="1"/>
  <c r="R250" i="20"/>
  <c r="P250" i="20"/>
  <c r="T250" i="20" s="1"/>
  <c r="U250" i="20" s="1"/>
  <c r="M251" i="20" s="1"/>
  <c r="N140" i="13"/>
  <c r="J140" i="13" s="1"/>
  <c r="O141" i="17"/>
  <c r="S141" i="17" s="1"/>
  <c r="L142" i="17" s="1"/>
  <c r="K136" i="14"/>
  <c r="N136" i="14"/>
  <c r="O132" i="15"/>
  <c r="S132" i="15" s="1"/>
  <c r="L133" i="15" s="1"/>
  <c r="O251" i="20" l="1"/>
  <c r="S251" i="20" s="1"/>
  <c r="Q251" i="20"/>
  <c r="Q137" i="16"/>
  <c r="P137" i="16" s="1"/>
  <c r="R137" i="16" s="1"/>
  <c r="T137" i="16" s="1"/>
  <c r="M138" i="16" s="1"/>
  <c r="Q140" i="13"/>
  <c r="P140" i="13" s="1"/>
  <c r="N142" i="17"/>
  <c r="K142" i="17"/>
  <c r="N133" i="15"/>
  <c r="K133" i="15"/>
  <c r="J136" i="14"/>
  <c r="R251" i="20" l="1"/>
  <c r="P251" i="20"/>
  <c r="T251" i="20" s="1"/>
  <c r="U251" i="20" s="1"/>
  <c r="M252" i="20" s="1"/>
  <c r="J142" i="17"/>
  <c r="Q142" i="17" s="1"/>
  <c r="J133" i="15"/>
  <c r="Q133" i="15" s="1"/>
  <c r="P133" i="15" s="1"/>
  <c r="R133" i="15" s="1"/>
  <c r="T133" i="15" s="1"/>
  <c r="M134" i="15" s="1"/>
  <c r="O137" i="16"/>
  <c r="S137" i="16" s="1"/>
  <c r="L138" i="16" s="1"/>
  <c r="N138" i="16" s="1"/>
  <c r="R140" i="13"/>
  <c r="T140" i="13" s="1"/>
  <c r="M141" i="13" s="1"/>
  <c r="O140" i="13"/>
  <c r="S140" i="13" s="1"/>
  <c r="L141" i="13" s="1"/>
  <c r="Q136" i="14"/>
  <c r="P136" i="14" s="1"/>
  <c r="R136" i="14" s="1"/>
  <c r="T136" i="14" s="1"/>
  <c r="M137" i="14" s="1"/>
  <c r="O252" i="20" l="1"/>
  <c r="S252" i="20" s="1"/>
  <c r="Q252" i="20"/>
  <c r="P142" i="17"/>
  <c r="R142" i="17" s="1"/>
  <c r="T142" i="17" s="1"/>
  <c r="M143" i="17" s="1"/>
  <c r="K138" i="16"/>
  <c r="J138" i="16" s="1"/>
  <c r="Q138" i="16" s="1"/>
  <c r="P138" i="16" s="1"/>
  <c r="R138" i="16" s="1"/>
  <c r="T138" i="16" s="1"/>
  <c r="M139" i="16" s="1"/>
  <c r="K141" i="13"/>
  <c r="N141" i="13"/>
  <c r="O136" i="14"/>
  <c r="S136" i="14" s="1"/>
  <c r="L137" i="14" s="1"/>
  <c r="N137" i="14" s="1"/>
  <c r="O133" i="15"/>
  <c r="S133" i="15" s="1"/>
  <c r="L134" i="15" s="1"/>
  <c r="O142" i="17" l="1"/>
  <c r="S142" i="17" s="1"/>
  <c r="L143" i="17" s="1"/>
  <c r="K143" i="17" s="1"/>
  <c r="R252" i="20"/>
  <c r="P252" i="20"/>
  <c r="T252" i="20" s="1"/>
  <c r="U252" i="20" s="1"/>
  <c r="M253" i="20" s="1"/>
  <c r="O138" i="16"/>
  <c r="S138" i="16" s="1"/>
  <c r="L139" i="16" s="1"/>
  <c r="K137" i="14"/>
  <c r="J137" i="14" s="1"/>
  <c r="Q137" i="14" s="1"/>
  <c r="P137" i="14" s="1"/>
  <c r="R137" i="14" s="1"/>
  <c r="T137" i="14" s="1"/>
  <c r="M138" i="14" s="1"/>
  <c r="J141" i="13"/>
  <c r="N134" i="15"/>
  <c r="K134" i="15"/>
  <c r="N143" i="17" l="1"/>
  <c r="J143" i="17" s="1"/>
  <c r="O253" i="20"/>
  <c r="S253" i="20" s="1"/>
  <c r="Q253" i="20"/>
  <c r="R253" i="20" s="1"/>
  <c r="N139" i="16"/>
  <c r="K139" i="16"/>
  <c r="O137" i="14"/>
  <c r="S137" i="14" s="1"/>
  <c r="L138" i="14" s="1"/>
  <c r="K138" i="14" s="1"/>
  <c r="J134" i="15"/>
  <c r="Q134" i="15" s="1"/>
  <c r="Q141" i="13"/>
  <c r="P141" i="13" s="1"/>
  <c r="R141" i="13" s="1"/>
  <c r="T141" i="13" s="1"/>
  <c r="M142" i="13" s="1"/>
  <c r="J139" i="16" l="1"/>
  <c r="Q139" i="16" s="1"/>
  <c r="P139" i="16" s="1"/>
  <c r="R139" i="16" s="1"/>
  <c r="T139" i="16" s="1"/>
  <c r="M140" i="16" s="1"/>
  <c r="P253" i="20"/>
  <c r="T253" i="20" s="1"/>
  <c r="U253" i="20" s="1"/>
  <c r="M254" i="20" s="1"/>
  <c r="N138" i="14"/>
  <c r="J138" i="14" s="1"/>
  <c r="Q138" i="14" s="1"/>
  <c r="P134" i="15"/>
  <c r="R134" i="15" s="1"/>
  <c r="T134" i="15" s="1"/>
  <c r="M135" i="15" s="1"/>
  <c r="Q143" i="17"/>
  <c r="P143" i="17" s="1"/>
  <c r="O141" i="13"/>
  <c r="S141" i="13" s="1"/>
  <c r="L142" i="13" s="1"/>
  <c r="O139" i="16" l="1"/>
  <c r="S139" i="16" s="1"/>
  <c r="L140" i="16" s="1"/>
  <c r="N140" i="16" s="1"/>
  <c r="Q254" i="20"/>
  <c r="O254" i="20"/>
  <c r="S254" i="20" s="1"/>
  <c r="O134" i="15"/>
  <c r="S134" i="15" s="1"/>
  <c r="L135" i="15" s="1"/>
  <c r="O143" i="17"/>
  <c r="S143" i="17" s="1"/>
  <c r="L144" i="17" s="1"/>
  <c r="R143" i="17"/>
  <c r="T143" i="17" s="1"/>
  <c r="M144" i="17" s="1"/>
  <c r="K142" i="13"/>
  <c r="N142" i="13"/>
  <c r="P138" i="14"/>
  <c r="R138" i="14" s="1"/>
  <c r="T138" i="14" s="1"/>
  <c r="M139" i="14" s="1"/>
  <c r="K140" i="16" l="1"/>
  <c r="J140" i="16" s="1"/>
  <c r="Q140" i="16" s="1"/>
  <c r="P140" i="16" s="1"/>
  <c r="R140" i="16" s="1"/>
  <c r="T140" i="16" s="1"/>
  <c r="M141" i="16" s="1"/>
  <c r="R254" i="20"/>
  <c r="P254" i="20"/>
  <c r="T254" i="20" s="1"/>
  <c r="U254" i="20" s="1"/>
  <c r="M255" i="20" s="1"/>
  <c r="N135" i="15"/>
  <c r="K135" i="15"/>
  <c r="J142" i="13"/>
  <c r="N144" i="17"/>
  <c r="K144" i="17"/>
  <c r="O138" i="14"/>
  <c r="S138" i="14" s="1"/>
  <c r="L139" i="14" s="1"/>
  <c r="Q255" i="20" l="1"/>
  <c r="P255" i="20" s="1"/>
  <c r="O255" i="20"/>
  <c r="S255" i="20" s="1"/>
  <c r="J144" i="17"/>
  <c r="Q144" i="17" s="1"/>
  <c r="P144" i="17" s="1"/>
  <c r="J135" i="15"/>
  <c r="Q135" i="15" s="1"/>
  <c r="P135" i="15" s="1"/>
  <c r="R135" i="15" s="1"/>
  <c r="T135" i="15" s="1"/>
  <c r="M136" i="15" s="1"/>
  <c r="Q142" i="13"/>
  <c r="P142" i="13" s="1"/>
  <c r="R142" i="13" s="1"/>
  <c r="T142" i="13" s="1"/>
  <c r="M143" i="13" s="1"/>
  <c r="O140" i="16"/>
  <c r="S140" i="16" s="1"/>
  <c r="L141" i="16" s="1"/>
  <c r="K139" i="14"/>
  <c r="N139" i="14"/>
  <c r="T255" i="20" l="1"/>
  <c r="U255" i="20" s="1"/>
  <c r="O142" i="13"/>
  <c r="S142" i="13" s="1"/>
  <c r="L143" i="13" s="1"/>
  <c r="K143" i="13" s="1"/>
  <c r="O135" i="15"/>
  <c r="S135" i="15" s="1"/>
  <c r="L136" i="15" s="1"/>
  <c r="O144" i="17"/>
  <c r="S144" i="17" s="1"/>
  <c r="L145" i="17" s="1"/>
  <c r="R144" i="17"/>
  <c r="T144" i="17" s="1"/>
  <c r="M145" i="17" s="1"/>
  <c r="J139" i="14"/>
  <c r="Q139" i="14" s="1"/>
  <c r="P139" i="14" s="1"/>
  <c r="K141" i="16"/>
  <c r="N141" i="16"/>
  <c r="V255" i="20" l="1"/>
  <c r="R255" i="20" s="1"/>
  <c r="M256" i="20"/>
  <c r="N143" i="13"/>
  <c r="J143" i="13" s="1"/>
  <c r="N136" i="15"/>
  <c r="K136" i="15"/>
  <c r="N145" i="17"/>
  <c r="K145" i="17"/>
  <c r="R139" i="14"/>
  <c r="T139" i="14" s="1"/>
  <c r="M140" i="14" s="1"/>
  <c r="O139" i="14"/>
  <c r="S139" i="14" s="1"/>
  <c r="L140" i="14" s="1"/>
  <c r="J141" i="16"/>
  <c r="Q256" i="20" l="1"/>
  <c r="R256" i="20" s="1"/>
  <c r="O256" i="20"/>
  <c r="S256" i="20" s="1"/>
  <c r="P256" i="20"/>
  <c r="T256" i="20" s="1"/>
  <c r="U256" i="20" s="1"/>
  <c r="M257" i="20" s="1"/>
  <c r="J136" i="15"/>
  <c r="Q136" i="15" s="1"/>
  <c r="P136" i="15" s="1"/>
  <c r="R136" i="15" s="1"/>
  <c r="T136" i="15" s="1"/>
  <c r="M137" i="15" s="1"/>
  <c r="J145" i="17"/>
  <c r="Q145" i="17" s="1"/>
  <c r="P145" i="17" s="1"/>
  <c r="R145" i="17" s="1"/>
  <c r="T145" i="17" s="1"/>
  <c r="M146" i="17" s="1"/>
  <c r="Q143" i="13"/>
  <c r="P143" i="13" s="1"/>
  <c r="R143" i="13" s="1"/>
  <c r="T143" i="13" s="1"/>
  <c r="M144" i="13" s="1"/>
  <c r="N140" i="14"/>
  <c r="K140" i="14"/>
  <c r="Q141" i="16"/>
  <c r="Q257" i="20" l="1"/>
  <c r="R257" i="20" s="1"/>
  <c r="O257" i="20"/>
  <c r="S257" i="20" s="1"/>
  <c r="P257" i="20"/>
  <c r="T257" i="20" s="1"/>
  <c r="U257" i="20" s="1"/>
  <c r="M258" i="20" s="1"/>
  <c r="O136" i="15"/>
  <c r="S136" i="15" s="1"/>
  <c r="L137" i="15" s="1"/>
  <c r="O143" i="13"/>
  <c r="S143" i="13" s="1"/>
  <c r="L144" i="13" s="1"/>
  <c r="K144" i="13" s="1"/>
  <c r="O145" i="17"/>
  <c r="S145" i="17" s="1"/>
  <c r="L146" i="17" s="1"/>
  <c r="J140" i="14"/>
  <c r="Q140" i="14" s="1"/>
  <c r="P140" i="14" s="1"/>
  <c r="R140" i="14" s="1"/>
  <c r="T140" i="14" s="1"/>
  <c r="M141" i="14" s="1"/>
  <c r="P141" i="16"/>
  <c r="R141" i="16" s="1"/>
  <c r="T141" i="16" s="1"/>
  <c r="M142" i="16" s="1"/>
  <c r="O258" i="20" l="1"/>
  <c r="S258" i="20" s="1"/>
  <c r="Q258" i="20"/>
  <c r="R258" i="20" s="1"/>
  <c r="N144" i="13"/>
  <c r="J144" i="13" s="1"/>
  <c r="N137" i="15"/>
  <c r="K137" i="15"/>
  <c r="N146" i="17"/>
  <c r="K146" i="17"/>
  <c r="O140" i="14"/>
  <c r="S140" i="14" s="1"/>
  <c r="L141" i="14" s="1"/>
  <c r="O141" i="16"/>
  <c r="S141" i="16" s="1"/>
  <c r="L142" i="16" s="1"/>
  <c r="P258" i="20" l="1"/>
  <c r="T258" i="20" s="1"/>
  <c r="U258" i="20" s="1"/>
  <c r="M259" i="20" s="1"/>
  <c r="J137" i="15"/>
  <c r="Q137" i="15" s="1"/>
  <c r="P137" i="15" s="1"/>
  <c r="R137" i="15" s="1"/>
  <c r="T137" i="15" s="1"/>
  <c r="M138" i="15" s="1"/>
  <c r="J146" i="17"/>
  <c r="Q146" i="17" s="1"/>
  <c r="P146" i="17" s="1"/>
  <c r="Q144" i="13"/>
  <c r="P144" i="13" s="1"/>
  <c r="R144" i="13" s="1"/>
  <c r="T144" i="13" s="1"/>
  <c r="M145" i="13" s="1"/>
  <c r="K141" i="14"/>
  <c r="N141" i="14"/>
  <c r="K142" i="16"/>
  <c r="N142" i="16"/>
  <c r="O259" i="20" l="1"/>
  <c r="S259" i="20" s="1"/>
  <c r="Q259" i="20"/>
  <c r="R259" i="20" s="1"/>
  <c r="O137" i="15"/>
  <c r="S137" i="15" s="1"/>
  <c r="L138" i="15" s="1"/>
  <c r="R146" i="17"/>
  <c r="T146" i="17" s="1"/>
  <c r="M147" i="17" s="1"/>
  <c r="O146" i="17"/>
  <c r="S146" i="17" s="1"/>
  <c r="L147" i="17" s="1"/>
  <c r="N147" i="17" s="1"/>
  <c r="O144" i="13"/>
  <c r="S144" i="13" s="1"/>
  <c r="L145" i="13" s="1"/>
  <c r="K145" i="13" s="1"/>
  <c r="J142" i="16"/>
  <c r="Q142" i="16" s="1"/>
  <c r="P142" i="16" s="1"/>
  <c r="J141" i="14"/>
  <c r="P259" i="20" l="1"/>
  <c r="T259" i="20" s="1"/>
  <c r="U259" i="20" s="1"/>
  <c r="M260" i="20" s="1"/>
  <c r="N145" i="13"/>
  <c r="J145" i="13" s="1"/>
  <c r="K147" i="17"/>
  <c r="J147" i="17" s="1"/>
  <c r="K138" i="15"/>
  <c r="N138" i="15"/>
  <c r="R142" i="16"/>
  <c r="T142" i="16" s="1"/>
  <c r="M143" i="16" s="1"/>
  <c r="O142" i="16"/>
  <c r="S142" i="16" s="1"/>
  <c r="L143" i="16" s="1"/>
  <c r="Q141" i="14"/>
  <c r="P141" i="14" s="1"/>
  <c r="R141" i="14" s="1"/>
  <c r="T141" i="14" s="1"/>
  <c r="M142" i="14" s="1"/>
  <c r="Q260" i="20" l="1"/>
  <c r="R260" i="20" s="1"/>
  <c r="O260" i="20"/>
  <c r="S260" i="20" s="1"/>
  <c r="P260" i="20"/>
  <c r="T260" i="20" s="1"/>
  <c r="U260" i="20" s="1"/>
  <c r="M261" i="20" s="1"/>
  <c r="J138" i="15"/>
  <c r="O141" i="14"/>
  <c r="S141" i="14" s="1"/>
  <c r="L142" i="14" s="1"/>
  <c r="K142" i="14" s="1"/>
  <c r="Q145" i="13"/>
  <c r="P145" i="13" s="1"/>
  <c r="R145" i="13" s="1"/>
  <c r="T145" i="13" s="1"/>
  <c r="M146" i="13" s="1"/>
  <c r="Q147" i="17"/>
  <c r="P147" i="17" s="1"/>
  <c r="R147" i="17" s="1"/>
  <c r="T147" i="17" s="1"/>
  <c r="M148" i="17" s="1"/>
  <c r="K143" i="16"/>
  <c r="N143" i="16"/>
  <c r="Q261" i="20" l="1"/>
  <c r="R261" i="20" s="1"/>
  <c r="O261" i="20"/>
  <c r="S261" i="20" s="1"/>
  <c r="N142" i="14"/>
  <c r="J142" i="14" s="1"/>
  <c r="Q142" i="14" s="1"/>
  <c r="P142" i="14" s="1"/>
  <c r="R142" i="14" s="1"/>
  <c r="T142" i="14" s="1"/>
  <c r="M143" i="14" s="1"/>
  <c r="Q138" i="15"/>
  <c r="P138" i="15" s="1"/>
  <c r="R138" i="15" s="1"/>
  <c r="T138" i="15" s="1"/>
  <c r="M139" i="15" s="1"/>
  <c r="O145" i="13"/>
  <c r="S145" i="13" s="1"/>
  <c r="L146" i="13" s="1"/>
  <c r="K146" i="13" s="1"/>
  <c r="O147" i="17"/>
  <c r="S147" i="17" s="1"/>
  <c r="L148" i="17" s="1"/>
  <c r="N148" i="17" s="1"/>
  <c r="J143" i="16"/>
  <c r="P261" i="20" l="1"/>
  <c r="T261" i="20" s="1"/>
  <c r="U261" i="20" s="1"/>
  <c r="M262" i="20" s="1"/>
  <c r="Q262" i="20" s="1"/>
  <c r="R262" i="20" s="1"/>
  <c r="O262" i="20"/>
  <c r="S262" i="20" s="1"/>
  <c r="N146" i="13"/>
  <c r="J146" i="13" s="1"/>
  <c r="O138" i="15"/>
  <c r="S138" i="15" s="1"/>
  <c r="L139" i="15" s="1"/>
  <c r="N139" i="15" s="1"/>
  <c r="K148" i="17"/>
  <c r="J148" i="17" s="1"/>
  <c r="Q148" i="17" s="1"/>
  <c r="P148" i="17" s="1"/>
  <c r="O142" i="14"/>
  <c r="S142" i="14" s="1"/>
  <c r="L143" i="14" s="1"/>
  <c r="N143" i="14" s="1"/>
  <c r="Q143" i="16"/>
  <c r="P143" i="16" s="1"/>
  <c r="R143" i="16" s="1"/>
  <c r="T143" i="16" s="1"/>
  <c r="M144" i="16" s="1"/>
  <c r="P262" i="20" l="1"/>
  <c r="T262" i="20" s="1"/>
  <c r="U262" i="20" s="1"/>
  <c r="M263" i="20" s="1"/>
  <c r="Q263" i="20"/>
  <c r="R263" i="20" s="1"/>
  <c r="O263" i="20"/>
  <c r="S263" i="20" s="1"/>
  <c r="K139" i="15"/>
  <c r="J139" i="15" s="1"/>
  <c r="K143" i="14"/>
  <c r="J143" i="14" s="1"/>
  <c r="R148" i="17"/>
  <c r="T148" i="17" s="1"/>
  <c r="M149" i="17" s="1"/>
  <c r="O148" i="17"/>
  <c r="S148" i="17" s="1"/>
  <c r="L149" i="17" s="1"/>
  <c r="Q146" i="13"/>
  <c r="P146" i="13" s="1"/>
  <c r="R146" i="13" s="1"/>
  <c r="T146" i="13" s="1"/>
  <c r="M147" i="13" s="1"/>
  <c r="O143" i="16"/>
  <c r="S143" i="16" s="1"/>
  <c r="L144" i="16" s="1"/>
  <c r="P263" i="20" l="1"/>
  <c r="T263" i="20"/>
  <c r="U263" i="20" s="1"/>
  <c r="M264" i="20" s="1"/>
  <c r="Q139" i="15"/>
  <c r="P139" i="15" s="1"/>
  <c r="R139" i="15" s="1"/>
  <c r="T139" i="15" s="1"/>
  <c r="M140" i="15" s="1"/>
  <c r="O146" i="13"/>
  <c r="S146" i="13" s="1"/>
  <c r="L147" i="13" s="1"/>
  <c r="K147" i="13" s="1"/>
  <c r="K149" i="17"/>
  <c r="N149" i="17"/>
  <c r="Q143" i="14"/>
  <c r="P143" i="14" s="1"/>
  <c r="R143" i="14" s="1"/>
  <c r="T143" i="14" s="1"/>
  <c r="M144" i="14" s="1"/>
  <c r="N144" i="16"/>
  <c r="K144" i="16"/>
  <c r="Q264" i="20" l="1"/>
  <c r="R264" i="20" s="1"/>
  <c r="O264" i="20"/>
  <c r="S264" i="20" s="1"/>
  <c r="P264" i="20"/>
  <c r="T264" i="20" s="1"/>
  <c r="U264" i="20" s="1"/>
  <c r="M265" i="20" s="1"/>
  <c r="N147" i="13"/>
  <c r="J147" i="13" s="1"/>
  <c r="O139" i="15"/>
  <c r="S139" i="15" s="1"/>
  <c r="L140" i="15" s="1"/>
  <c r="J144" i="16"/>
  <c r="Q144" i="16" s="1"/>
  <c r="P144" i="16" s="1"/>
  <c r="J149" i="17"/>
  <c r="O143" i="14"/>
  <c r="S143" i="14" s="1"/>
  <c r="L144" i="14" s="1"/>
  <c r="Q265" i="20" l="1"/>
  <c r="R265" i="20" s="1"/>
  <c r="O265" i="20"/>
  <c r="S265" i="20" s="1"/>
  <c r="K140" i="15"/>
  <c r="N140" i="15"/>
  <c r="Q147" i="13"/>
  <c r="Q149" i="17"/>
  <c r="P149" i="17" s="1"/>
  <c r="R149" i="17" s="1"/>
  <c r="T149" i="17" s="1"/>
  <c r="M150" i="17" s="1"/>
  <c r="R144" i="16"/>
  <c r="T144" i="16" s="1"/>
  <c r="M145" i="16" s="1"/>
  <c r="O144" i="16"/>
  <c r="S144" i="16" s="1"/>
  <c r="L145" i="16" s="1"/>
  <c r="N144" i="14"/>
  <c r="K144" i="14"/>
  <c r="P265" i="20" l="1"/>
  <c r="T265" i="20" s="1"/>
  <c r="U265" i="20" s="1"/>
  <c r="M266" i="20" s="1"/>
  <c r="J140" i="15"/>
  <c r="J144" i="14"/>
  <c r="Q144" i="14" s="1"/>
  <c r="P144" i="14" s="1"/>
  <c r="P147" i="13"/>
  <c r="R147" i="13" s="1"/>
  <c r="T147" i="13" s="1"/>
  <c r="M148" i="13" s="1"/>
  <c r="O149" i="17"/>
  <c r="S149" i="17" s="1"/>
  <c r="L150" i="17" s="1"/>
  <c r="N145" i="16"/>
  <c r="K145" i="16"/>
  <c r="Q266" i="20" l="1"/>
  <c r="R266" i="20" s="1"/>
  <c r="O266" i="20"/>
  <c r="S266" i="20" s="1"/>
  <c r="Q140" i="15"/>
  <c r="P140" i="15" s="1"/>
  <c r="R140" i="15" s="1"/>
  <c r="T140" i="15" s="1"/>
  <c r="M141" i="15" s="1"/>
  <c r="J145" i="16"/>
  <c r="Q145" i="16" s="1"/>
  <c r="O147" i="13"/>
  <c r="S147" i="13" s="1"/>
  <c r="L148" i="13" s="1"/>
  <c r="N150" i="17"/>
  <c r="K150" i="17"/>
  <c r="O144" i="14"/>
  <c r="S144" i="14" s="1"/>
  <c r="L145" i="14" s="1"/>
  <c r="R144" i="14"/>
  <c r="T144" i="14" s="1"/>
  <c r="M145" i="14" s="1"/>
  <c r="P266" i="20" l="1"/>
  <c r="T266" i="20" s="1"/>
  <c r="U266" i="20" s="1"/>
  <c r="M267" i="20" s="1"/>
  <c r="O267" i="20" s="1"/>
  <c r="S267" i="20" s="1"/>
  <c r="J150" i="17"/>
  <c r="Q150" i="17" s="1"/>
  <c r="P150" i="17" s="1"/>
  <c r="R150" i="17" s="1"/>
  <c r="T150" i="17" s="1"/>
  <c r="M151" i="17" s="1"/>
  <c r="O140" i="15"/>
  <c r="S140" i="15" s="1"/>
  <c r="L141" i="15" s="1"/>
  <c r="K141" i="15" s="1"/>
  <c r="N148" i="13"/>
  <c r="K148" i="13"/>
  <c r="P145" i="16"/>
  <c r="R145" i="16" s="1"/>
  <c r="T145" i="16" s="1"/>
  <c r="M146" i="16" s="1"/>
  <c r="K145" i="14"/>
  <c r="N145" i="14"/>
  <c r="Q267" i="20" l="1"/>
  <c r="P267" i="20" s="1"/>
  <c r="T267" i="20"/>
  <c r="U267" i="20" s="1"/>
  <c r="V267" i="20" s="1"/>
  <c r="R267" i="20" s="1"/>
  <c r="N141" i="15"/>
  <c r="J141" i="15" s="1"/>
  <c r="Q141" i="15" s="1"/>
  <c r="P141" i="15" s="1"/>
  <c r="R141" i="15" s="1"/>
  <c r="T141" i="15" s="1"/>
  <c r="M142" i="15" s="1"/>
  <c r="J148" i="13"/>
  <c r="Q148" i="13" s="1"/>
  <c r="P148" i="13" s="1"/>
  <c r="R148" i="13" s="1"/>
  <c r="T148" i="13" s="1"/>
  <c r="M149" i="13" s="1"/>
  <c r="O150" i="17"/>
  <c r="S150" i="17" s="1"/>
  <c r="L151" i="17" s="1"/>
  <c r="O145" i="16"/>
  <c r="S145" i="16" s="1"/>
  <c r="L146" i="16" s="1"/>
  <c r="J145" i="14"/>
  <c r="M268" i="20" l="1"/>
  <c r="O268" i="20" s="1"/>
  <c r="S268" i="20" s="1"/>
  <c r="Q268" i="20"/>
  <c r="R268" i="20" s="1"/>
  <c r="P268" i="20"/>
  <c r="O141" i="15"/>
  <c r="S141" i="15" s="1"/>
  <c r="L142" i="15" s="1"/>
  <c r="K142" i="15" s="1"/>
  <c r="O148" i="13"/>
  <c r="S148" i="13" s="1"/>
  <c r="L149" i="13" s="1"/>
  <c r="K146" i="16"/>
  <c r="N146" i="16"/>
  <c r="K151" i="17"/>
  <c r="N151" i="17"/>
  <c r="Q145" i="14"/>
  <c r="P145" i="14" s="1"/>
  <c r="R145" i="14" s="1"/>
  <c r="T145" i="14" s="1"/>
  <c r="M146" i="14" s="1"/>
  <c r="T268" i="20" l="1"/>
  <c r="U268" i="20" s="1"/>
  <c r="M269" i="20" s="1"/>
  <c r="Q269" i="20" s="1"/>
  <c r="R269" i="20" s="1"/>
  <c r="N142" i="15"/>
  <c r="J142" i="15" s="1"/>
  <c r="Q142" i="15" s="1"/>
  <c r="P142" i="15" s="1"/>
  <c r="O145" i="14"/>
  <c r="S145" i="14" s="1"/>
  <c r="L146" i="14" s="1"/>
  <c r="K146" i="14" s="1"/>
  <c r="K149" i="13"/>
  <c r="N149" i="13"/>
  <c r="J151" i="17"/>
  <c r="J146" i="16"/>
  <c r="Q146" i="16" s="1"/>
  <c r="P146" i="16" s="1"/>
  <c r="R146" i="16" s="1"/>
  <c r="T146" i="16" s="1"/>
  <c r="M147" i="16" s="1"/>
  <c r="P269" i="20" l="1"/>
  <c r="O269" i="20"/>
  <c r="S269" i="20" s="1"/>
  <c r="R142" i="15"/>
  <c r="T142" i="15" s="1"/>
  <c r="M143" i="15" s="1"/>
  <c r="O142" i="15"/>
  <c r="S142" i="15" s="1"/>
  <c r="L143" i="15" s="1"/>
  <c r="N146" i="14"/>
  <c r="J146" i="14" s="1"/>
  <c r="J149" i="13"/>
  <c r="O146" i="16"/>
  <c r="S146" i="16" s="1"/>
  <c r="L147" i="16" s="1"/>
  <c r="N147" i="16" s="1"/>
  <c r="Q151" i="17"/>
  <c r="P151" i="17" s="1"/>
  <c r="R151" i="17" s="1"/>
  <c r="T151" i="17" s="1"/>
  <c r="M152" i="17" s="1"/>
  <c r="T269" i="20" l="1"/>
  <c r="U269" i="20" s="1"/>
  <c r="M270" i="20" s="1"/>
  <c r="K143" i="15"/>
  <c r="N143" i="15"/>
  <c r="K147" i="16"/>
  <c r="J147" i="16" s="1"/>
  <c r="O151" i="17"/>
  <c r="S151" i="17" s="1"/>
  <c r="L152" i="17" s="1"/>
  <c r="K152" i="17" s="1"/>
  <c r="Q149" i="13"/>
  <c r="P149" i="13" s="1"/>
  <c r="R149" i="13" s="1"/>
  <c r="T149" i="13" s="1"/>
  <c r="M150" i="13" s="1"/>
  <c r="Q146" i="14"/>
  <c r="Q270" i="20" l="1"/>
  <c r="R270" i="20" s="1"/>
  <c r="P270" i="20"/>
  <c r="O270" i="20"/>
  <c r="S270" i="20" s="1"/>
  <c r="J143" i="15"/>
  <c r="Q143" i="15" s="1"/>
  <c r="P143" i="15" s="1"/>
  <c r="R143" i="15" s="1"/>
  <c r="T143" i="15" s="1"/>
  <c r="M144" i="15" s="1"/>
  <c r="N152" i="17"/>
  <c r="J152" i="17" s="1"/>
  <c r="Q152" i="17" s="1"/>
  <c r="P152" i="17" s="1"/>
  <c r="O149" i="13"/>
  <c r="S149" i="13" s="1"/>
  <c r="L150" i="13" s="1"/>
  <c r="Q147" i="16"/>
  <c r="P146" i="14"/>
  <c r="R146" i="14" s="1"/>
  <c r="T146" i="14" s="1"/>
  <c r="M147" i="14" s="1"/>
  <c r="T270" i="20" l="1"/>
  <c r="U270" i="20" s="1"/>
  <c r="M271" i="20" s="1"/>
  <c r="O143" i="15"/>
  <c r="S143" i="15" s="1"/>
  <c r="L144" i="15" s="1"/>
  <c r="R152" i="17"/>
  <c r="T152" i="17" s="1"/>
  <c r="M153" i="17" s="1"/>
  <c r="O152" i="17"/>
  <c r="S152" i="17" s="1"/>
  <c r="L153" i="17" s="1"/>
  <c r="N153" i="17" s="1"/>
  <c r="K150" i="13"/>
  <c r="N150" i="13"/>
  <c r="O146" i="14"/>
  <c r="S146" i="14" s="1"/>
  <c r="L147" i="14" s="1"/>
  <c r="N147" i="14" s="1"/>
  <c r="P147" i="16"/>
  <c r="R147" i="16" s="1"/>
  <c r="T147" i="16" s="1"/>
  <c r="M148" i="16" s="1"/>
  <c r="O271" i="20" l="1"/>
  <c r="S271" i="20" s="1"/>
  <c r="Q271" i="20"/>
  <c r="R271" i="20" s="1"/>
  <c r="N144" i="15"/>
  <c r="K144" i="15"/>
  <c r="K153" i="17"/>
  <c r="J153" i="17" s="1"/>
  <c r="Q153" i="17" s="1"/>
  <c r="P153" i="17" s="1"/>
  <c r="O153" i="17" s="1"/>
  <c r="S153" i="17" s="1"/>
  <c r="L154" i="17" s="1"/>
  <c r="K147" i="14"/>
  <c r="J147" i="14" s="1"/>
  <c r="Q147" i="14" s="1"/>
  <c r="P147" i="14" s="1"/>
  <c r="R147" i="14" s="1"/>
  <c r="T147" i="14" s="1"/>
  <c r="M148" i="14" s="1"/>
  <c r="J150" i="13"/>
  <c r="O147" i="16"/>
  <c r="S147" i="16" s="1"/>
  <c r="L148" i="16" s="1"/>
  <c r="P271" i="20" l="1"/>
  <c r="T271" i="20" s="1"/>
  <c r="U271" i="20" s="1"/>
  <c r="M272" i="20" s="1"/>
  <c r="J144" i="15"/>
  <c r="Q144" i="15" s="1"/>
  <c r="P144" i="15" s="1"/>
  <c r="O144" i="15" s="1"/>
  <c r="S144" i="15" s="1"/>
  <c r="L145" i="15" s="1"/>
  <c r="N145" i="15" s="1"/>
  <c r="R153" i="17"/>
  <c r="T153" i="17" s="1"/>
  <c r="M154" i="17" s="1"/>
  <c r="K154" i="17" s="1"/>
  <c r="Q150" i="13"/>
  <c r="P150" i="13" s="1"/>
  <c r="R150" i="13" s="1"/>
  <c r="T150" i="13" s="1"/>
  <c r="M151" i="13" s="1"/>
  <c r="K148" i="16"/>
  <c r="N148" i="16"/>
  <c r="N154" i="17"/>
  <c r="O147" i="14"/>
  <c r="S147" i="14" s="1"/>
  <c r="L148" i="14" s="1"/>
  <c r="Q272" i="20" l="1"/>
  <c r="R272" i="20" s="1"/>
  <c r="O272" i="20"/>
  <c r="S272" i="20" s="1"/>
  <c r="P272" i="20"/>
  <c r="T272" i="20" s="1"/>
  <c r="U272" i="20" s="1"/>
  <c r="M273" i="20" s="1"/>
  <c r="R144" i="15"/>
  <c r="T144" i="15" s="1"/>
  <c r="M145" i="15" s="1"/>
  <c r="K145" i="15" s="1"/>
  <c r="J145" i="15" s="1"/>
  <c r="Q145" i="15" s="1"/>
  <c r="P145" i="15" s="1"/>
  <c r="R145" i="15" s="1"/>
  <c r="T145" i="15" s="1"/>
  <c r="M146" i="15" s="1"/>
  <c r="O150" i="13"/>
  <c r="S150" i="13" s="1"/>
  <c r="L151" i="13" s="1"/>
  <c r="J154" i="17"/>
  <c r="Q154" i="17" s="1"/>
  <c r="P154" i="17" s="1"/>
  <c r="R154" i="17" s="1"/>
  <c r="T154" i="17" s="1"/>
  <c r="M155" i="17" s="1"/>
  <c r="J148" i="16"/>
  <c r="K148" i="14"/>
  <c r="N148" i="14"/>
  <c r="Q273" i="20" l="1"/>
  <c r="R273" i="20" s="1"/>
  <c r="O273" i="20"/>
  <c r="S273" i="20" s="1"/>
  <c r="P273" i="20"/>
  <c r="O154" i="17"/>
  <c r="S154" i="17" s="1"/>
  <c r="L155" i="17" s="1"/>
  <c r="N155" i="17" s="1"/>
  <c r="N151" i="13"/>
  <c r="K151" i="13"/>
  <c r="O145" i="15"/>
  <c r="S145" i="15" s="1"/>
  <c r="L146" i="15" s="1"/>
  <c r="J148" i="14"/>
  <c r="Q148" i="14" s="1"/>
  <c r="P148" i="14" s="1"/>
  <c r="Q148" i="16"/>
  <c r="P148" i="16" s="1"/>
  <c r="R148" i="16" s="1"/>
  <c r="T148" i="16" s="1"/>
  <c r="M149" i="16" s="1"/>
  <c r="T273" i="20" l="1"/>
  <c r="U273" i="20" s="1"/>
  <c r="M274" i="20" s="1"/>
  <c r="K155" i="17"/>
  <c r="J155" i="17" s="1"/>
  <c r="Q155" i="17" s="1"/>
  <c r="P155" i="17" s="1"/>
  <c r="R155" i="17" s="1"/>
  <c r="T155" i="17" s="1"/>
  <c r="M156" i="17" s="1"/>
  <c r="O148" i="16"/>
  <c r="S148" i="16" s="1"/>
  <c r="L149" i="16" s="1"/>
  <c r="K149" i="16" s="1"/>
  <c r="J151" i="13"/>
  <c r="K146" i="15"/>
  <c r="N146" i="15"/>
  <c r="R148" i="14"/>
  <c r="T148" i="14" s="1"/>
  <c r="M149" i="14" s="1"/>
  <c r="O148" i="14"/>
  <c r="S148" i="14" s="1"/>
  <c r="L149" i="14" s="1"/>
  <c r="Q274" i="20" l="1"/>
  <c r="R274" i="20" s="1"/>
  <c r="O274" i="20"/>
  <c r="S274" i="20" s="1"/>
  <c r="P274" i="20"/>
  <c r="T274" i="20" s="1"/>
  <c r="U274" i="20" s="1"/>
  <c r="M275" i="20" s="1"/>
  <c r="N149" i="16"/>
  <c r="J149" i="16" s="1"/>
  <c r="O155" i="17"/>
  <c r="S155" i="17" s="1"/>
  <c r="L156" i="17" s="1"/>
  <c r="N156" i="17" s="1"/>
  <c r="Q151" i="13"/>
  <c r="J146" i="15"/>
  <c r="K149" i="14"/>
  <c r="N149" i="14"/>
  <c r="O275" i="20" l="1"/>
  <c r="S275" i="20" s="1"/>
  <c r="Q275" i="20"/>
  <c r="K156" i="17"/>
  <c r="J156" i="17" s="1"/>
  <c r="P151" i="13"/>
  <c r="R151" i="13" s="1"/>
  <c r="T151" i="13" s="1"/>
  <c r="M152" i="13" s="1"/>
  <c r="Q146" i="15"/>
  <c r="P146" i="15" s="1"/>
  <c r="R146" i="15" s="1"/>
  <c r="T146" i="15" s="1"/>
  <c r="M147" i="15" s="1"/>
  <c r="Q149" i="16"/>
  <c r="P149" i="16" s="1"/>
  <c r="R149" i="16" s="1"/>
  <c r="T149" i="16" s="1"/>
  <c r="M150" i="16" s="1"/>
  <c r="J149" i="14"/>
  <c r="R275" i="20" l="1"/>
  <c r="P275" i="20"/>
  <c r="T275" i="20" s="1"/>
  <c r="U275" i="20" s="1"/>
  <c r="M276" i="20" s="1"/>
  <c r="O149" i="16"/>
  <c r="S149" i="16" s="1"/>
  <c r="L150" i="16" s="1"/>
  <c r="N150" i="16" s="1"/>
  <c r="O151" i="13"/>
  <c r="S151" i="13" s="1"/>
  <c r="L152" i="13" s="1"/>
  <c r="O146" i="15"/>
  <c r="S146" i="15" s="1"/>
  <c r="L147" i="15" s="1"/>
  <c r="Q149" i="14"/>
  <c r="P149" i="14" s="1"/>
  <c r="R149" i="14" s="1"/>
  <c r="T149" i="14" s="1"/>
  <c r="M150" i="14" s="1"/>
  <c r="Q156" i="17"/>
  <c r="P156" i="17" s="1"/>
  <c r="R156" i="17" s="1"/>
  <c r="T156" i="17" s="1"/>
  <c r="M157" i="17" s="1"/>
  <c r="Q276" i="20" l="1"/>
  <c r="R276" i="20" s="1"/>
  <c r="O276" i="20"/>
  <c r="S276" i="20" s="1"/>
  <c r="P276" i="20"/>
  <c r="T276" i="20" s="1"/>
  <c r="U276" i="20" s="1"/>
  <c r="M277" i="20" s="1"/>
  <c r="K150" i="16"/>
  <c r="J150" i="16" s="1"/>
  <c r="Q150" i="16" s="1"/>
  <c r="P150" i="16" s="1"/>
  <c r="R150" i="16" s="1"/>
  <c r="T150" i="16" s="1"/>
  <c r="M151" i="16" s="1"/>
  <c r="N152" i="13"/>
  <c r="K152" i="13"/>
  <c r="O156" i="17"/>
  <c r="S156" i="17" s="1"/>
  <c r="L157" i="17" s="1"/>
  <c r="N157" i="17" s="1"/>
  <c r="N147" i="15"/>
  <c r="K147" i="15"/>
  <c r="O149" i="14"/>
  <c r="S149" i="14" s="1"/>
  <c r="L150" i="14" s="1"/>
  <c r="K150" i="14" s="1"/>
  <c r="Q277" i="20" l="1"/>
  <c r="R277" i="20" s="1"/>
  <c r="O277" i="20"/>
  <c r="S277" i="20" s="1"/>
  <c r="P277" i="20"/>
  <c r="O150" i="16"/>
  <c r="S150" i="16" s="1"/>
  <c r="L151" i="16" s="1"/>
  <c r="K151" i="16" s="1"/>
  <c r="J147" i="15"/>
  <c r="Q147" i="15" s="1"/>
  <c r="J152" i="13"/>
  <c r="Q152" i="13" s="1"/>
  <c r="P152" i="13" s="1"/>
  <c r="R152" i="13" s="1"/>
  <c r="T152" i="13" s="1"/>
  <c r="M153" i="13" s="1"/>
  <c r="K157" i="17"/>
  <c r="J157" i="17" s="1"/>
  <c r="Q157" i="17" s="1"/>
  <c r="N150" i="14"/>
  <c r="J150" i="14" s="1"/>
  <c r="N151" i="16" l="1"/>
  <c r="J151" i="16" s="1"/>
  <c r="T277" i="20"/>
  <c r="U277" i="20" s="1"/>
  <c r="M278" i="20" s="1"/>
  <c r="O152" i="13"/>
  <c r="S152" i="13" s="1"/>
  <c r="L153" i="13" s="1"/>
  <c r="P157" i="17"/>
  <c r="R157" i="17" s="1"/>
  <c r="T157" i="17" s="1"/>
  <c r="M158" i="17" s="1"/>
  <c r="P147" i="15"/>
  <c r="R147" i="15" s="1"/>
  <c r="T147" i="15" s="1"/>
  <c r="M148" i="15" s="1"/>
  <c r="Q150" i="14"/>
  <c r="Q278" i="20" l="1"/>
  <c r="R278" i="20" s="1"/>
  <c r="O278" i="20"/>
  <c r="S278" i="20" s="1"/>
  <c r="P278" i="20"/>
  <c r="T278" i="20" s="1"/>
  <c r="U278" i="20" s="1"/>
  <c r="M279" i="20" s="1"/>
  <c r="N153" i="13"/>
  <c r="K153" i="13"/>
  <c r="P150" i="14"/>
  <c r="R150" i="14" s="1"/>
  <c r="T150" i="14" s="1"/>
  <c r="M151" i="14" s="1"/>
  <c r="O147" i="15"/>
  <c r="S147" i="15" s="1"/>
  <c r="L148" i="15" s="1"/>
  <c r="O157" i="17"/>
  <c r="S157" i="17" s="1"/>
  <c r="L158" i="17" s="1"/>
  <c r="Q151" i="16"/>
  <c r="O279" i="20" l="1"/>
  <c r="S279" i="20" s="1"/>
  <c r="Q279" i="20"/>
  <c r="P279" i="20" s="1"/>
  <c r="T279" i="20" s="1"/>
  <c r="U279" i="20" s="1"/>
  <c r="J153" i="13"/>
  <c r="Q153" i="13" s="1"/>
  <c r="P153" i="13" s="1"/>
  <c r="R153" i="13" s="1"/>
  <c r="T153" i="13" s="1"/>
  <c r="M154" i="13" s="1"/>
  <c r="K158" i="17"/>
  <c r="N158" i="17"/>
  <c r="K148" i="15"/>
  <c r="N148" i="15"/>
  <c r="O150" i="14"/>
  <c r="S150" i="14" s="1"/>
  <c r="L151" i="14" s="1"/>
  <c r="P151" i="16"/>
  <c r="R151" i="16" s="1"/>
  <c r="T151" i="16" s="1"/>
  <c r="M152" i="16" s="1"/>
  <c r="V279" i="20" l="1"/>
  <c r="R279" i="20" s="1"/>
  <c r="M280" i="20"/>
  <c r="O280" i="20"/>
  <c r="S280" i="20" s="1"/>
  <c r="Q280" i="20"/>
  <c r="R280" i="20" s="1"/>
  <c r="O153" i="13"/>
  <c r="S153" i="13" s="1"/>
  <c r="L154" i="13" s="1"/>
  <c r="N154" i="13" s="1"/>
  <c r="K151" i="14"/>
  <c r="N151" i="14"/>
  <c r="J148" i="15"/>
  <c r="J158" i="17"/>
  <c r="Q158" i="17" s="1"/>
  <c r="P158" i="17" s="1"/>
  <c r="R158" i="17" s="1"/>
  <c r="T158" i="17" s="1"/>
  <c r="M159" i="17" s="1"/>
  <c r="O151" i="16"/>
  <c r="S151" i="16" s="1"/>
  <c r="L152" i="16" s="1"/>
  <c r="P280" i="20" l="1"/>
  <c r="T280" i="20" s="1"/>
  <c r="U280" i="20" s="1"/>
  <c r="M281" i="20" s="1"/>
  <c r="O281" i="20" s="1"/>
  <c r="S281" i="20" s="1"/>
  <c r="K154" i="13"/>
  <c r="J154" i="13" s="1"/>
  <c r="Q154" i="13" s="1"/>
  <c r="P154" i="13" s="1"/>
  <c r="R154" i="13" s="1"/>
  <c r="T154" i="13" s="1"/>
  <c r="M155" i="13" s="1"/>
  <c r="O158" i="17"/>
  <c r="S158" i="17" s="1"/>
  <c r="L159" i="17" s="1"/>
  <c r="N159" i="17" s="1"/>
  <c r="Q148" i="15"/>
  <c r="J151" i="14"/>
  <c r="Q151" i="14" s="1"/>
  <c r="N152" i="16"/>
  <c r="K152" i="16"/>
  <c r="Q281" i="20" l="1"/>
  <c r="R281" i="20" s="1"/>
  <c r="J152" i="16"/>
  <c r="Q152" i="16" s="1"/>
  <c r="P281" i="20"/>
  <c r="T281" i="20" s="1"/>
  <c r="U281" i="20" s="1"/>
  <c r="M282" i="20" s="1"/>
  <c r="K159" i="17"/>
  <c r="J159" i="17" s="1"/>
  <c r="Q159" i="17" s="1"/>
  <c r="P159" i="17" s="1"/>
  <c r="O154" i="13"/>
  <c r="S154" i="13" s="1"/>
  <c r="L155" i="13" s="1"/>
  <c r="P151" i="14"/>
  <c r="R151" i="14" s="1"/>
  <c r="T151" i="14" s="1"/>
  <c r="M152" i="14" s="1"/>
  <c r="P148" i="15"/>
  <c r="R148" i="15" s="1"/>
  <c r="T148" i="15" s="1"/>
  <c r="M149" i="15" s="1"/>
  <c r="O282" i="20" l="1"/>
  <c r="S282" i="20" s="1"/>
  <c r="Q282" i="20"/>
  <c r="R282" i="20" s="1"/>
  <c r="P282" i="20"/>
  <c r="N155" i="13"/>
  <c r="K155" i="13"/>
  <c r="O151" i="14"/>
  <c r="S151" i="14" s="1"/>
  <c r="L152" i="14" s="1"/>
  <c r="K152" i="14" s="1"/>
  <c r="O159" i="17"/>
  <c r="S159" i="17" s="1"/>
  <c r="L160" i="17" s="1"/>
  <c r="N160" i="17" s="1"/>
  <c r="R159" i="17"/>
  <c r="T159" i="17" s="1"/>
  <c r="M160" i="17" s="1"/>
  <c r="O148" i="15"/>
  <c r="S148" i="15" s="1"/>
  <c r="L149" i="15" s="1"/>
  <c r="P152" i="16"/>
  <c r="R152" i="16" s="1"/>
  <c r="T152" i="16" s="1"/>
  <c r="M153" i="16" s="1"/>
  <c r="T282" i="20" l="1"/>
  <c r="U282" i="20" s="1"/>
  <c r="M283" i="20" s="1"/>
  <c r="O283" i="20" s="1"/>
  <c r="S283" i="20" s="1"/>
  <c r="N152" i="14"/>
  <c r="J152" i="14" s="1"/>
  <c r="J155" i="13"/>
  <c r="Q155" i="13" s="1"/>
  <c r="P155" i="13" s="1"/>
  <c r="R155" i="13" s="1"/>
  <c r="T155" i="13" s="1"/>
  <c r="M156" i="13" s="1"/>
  <c r="K160" i="17"/>
  <c r="J160" i="17" s="1"/>
  <c r="N149" i="15"/>
  <c r="K149" i="15"/>
  <c r="O152" i="16"/>
  <c r="S152" i="16" s="1"/>
  <c r="L153" i="16" s="1"/>
  <c r="Q283" i="20" l="1"/>
  <c r="R283" i="20" s="1"/>
  <c r="P283" i="20"/>
  <c r="T283" i="20" s="1"/>
  <c r="U283" i="20" s="1"/>
  <c r="M284" i="20" s="1"/>
  <c r="O284" i="20" s="1"/>
  <c r="S284" i="20" s="1"/>
  <c r="J149" i="15"/>
  <c r="Q149" i="15" s="1"/>
  <c r="P149" i="15" s="1"/>
  <c r="R149" i="15" s="1"/>
  <c r="T149" i="15" s="1"/>
  <c r="M150" i="15" s="1"/>
  <c r="O155" i="13"/>
  <c r="S155" i="13" s="1"/>
  <c r="L156" i="13" s="1"/>
  <c r="K156" i="13" s="1"/>
  <c r="Q160" i="17"/>
  <c r="P160" i="17" s="1"/>
  <c r="K153" i="16"/>
  <c r="N153" i="16"/>
  <c r="Q152" i="14"/>
  <c r="Q284" i="20" l="1"/>
  <c r="R284" i="20" s="1"/>
  <c r="N156" i="13"/>
  <c r="J156" i="13" s="1"/>
  <c r="J153" i="16"/>
  <c r="Q153" i="16" s="1"/>
  <c r="P153" i="16" s="1"/>
  <c r="R153" i="16" s="1"/>
  <c r="T153" i="16" s="1"/>
  <c r="M154" i="16" s="1"/>
  <c r="O149" i="15"/>
  <c r="S149" i="15" s="1"/>
  <c r="L150" i="15" s="1"/>
  <c r="R160" i="17"/>
  <c r="T160" i="17" s="1"/>
  <c r="M161" i="17" s="1"/>
  <c r="O160" i="17"/>
  <c r="S160" i="17" s="1"/>
  <c r="L161" i="17" s="1"/>
  <c r="P152" i="14"/>
  <c r="R152" i="14" s="1"/>
  <c r="T152" i="14" s="1"/>
  <c r="M153" i="14" s="1"/>
  <c r="P284" i="20" l="1"/>
  <c r="T284" i="20" s="1"/>
  <c r="U284" i="20" s="1"/>
  <c r="M285" i="20" s="1"/>
  <c r="O153" i="16"/>
  <c r="S153" i="16" s="1"/>
  <c r="L154" i="16" s="1"/>
  <c r="N154" i="16" s="1"/>
  <c r="Q156" i="13"/>
  <c r="N150" i="15"/>
  <c r="K150" i="15"/>
  <c r="N161" i="17"/>
  <c r="K161" i="17"/>
  <c r="O152" i="14"/>
  <c r="S152" i="14" s="1"/>
  <c r="L153" i="14" s="1"/>
  <c r="O285" i="20" l="1"/>
  <c r="S285" i="20" s="1"/>
  <c r="Q285" i="20"/>
  <c r="R285" i="20" s="1"/>
  <c r="J150" i="15"/>
  <c r="Q150" i="15" s="1"/>
  <c r="P150" i="15" s="1"/>
  <c r="R150" i="15" s="1"/>
  <c r="T150" i="15" s="1"/>
  <c r="M151" i="15" s="1"/>
  <c r="J161" i="17"/>
  <c r="Q161" i="17" s="1"/>
  <c r="P161" i="17" s="1"/>
  <c r="R161" i="17" s="1"/>
  <c r="T161" i="17" s="1"/>
  <c r="M162" i="17" s="1"/>
  <c r="K154" i="16"/>
  <c r="J154" i="16" s="1"/>
  <c r="Q154" i="16" s="1"/>
  <c r="P154" i="16" s="1"/>
  <c r="P156" i="13"/>
  <c r="R156" i="13" s="1"/>
  <c r="T156" i="13" s="1"/>
  <c r="M157" i="13" s="1"/>
  <c r="N153" i="14"/>
  <c r="K153" i="14"/>
  <c r="P285" i="20" l="1"/>
  <c r="T285" i="20" s="1"/>
  <c r="U285" i="20" s="1"/>
  <c r="M286" i="20" s="1"/>
  <c r="J153" i="14"/>
  <c r="Q153" i="14" s="1"/>
  <c r="P153" i="14" s="1"/>
  <c r="R153" i="14" s="1"/>
  <c r="T153" i="14" s="1"/>
  <c r="M154" i="14" s="1"/>
  <c r="O156" i="13"/>
  <c r="S156" i="13" s="1"/>
  <c r="L157" i="13" s="1"/>
  <c r="O150" i="15"/>
  <c r="S150" i="15" s="1"/>
  <c r="L151" i="15" s="1"/>
  <c r="O161" i="17"/>
  <c r="S161" i="17" s="1"/>
  <c r="L162" i="17" s="1"/>
  <c r="K162" i="17" s="1"/>
  <c r="R154" i="16"/>
  <c r="T154" i="16" s="1"/>
  <c r="M155" i="16" s="1"/>
  <c r="O154" i="16"/>
  <c r="S154" i="16" s="1"/>
  <c r="L155" i="16" s="1"/>
  <c r="O286" i="20" l="1"/>
  <c r="S286" i="20" s="1"/>
  <c r="Q286" i="20"/>
  <c r="R286" i="20" s="1"/>
  <c r="O153" i="14"/>
  <c r="S153" i="14" s="1"/>
  <c r="L154" i="14" s="1"/>
  <c r="K154" i="14" s="1"/>
  <c r="N162" i="17"/>
  <c r="J162" i="17" s="1"/>
  <c r="N157" i="13"/>
  <c r="K157" i="13"/>
  <c r="N151" i="15"/>
  <c r="K151" i="15"/>
  <c r="K155" i="16"/>
  <c r="N155" i="16"/>
  <c r="P286" i="20" l="1"/>
  <c r="T286" i="20" s="1"/>
  <c r="U286" i="20" s="1"/>
  <c r="M287" i="20" s="1"/>
  <c r="J157" i="13"/>
  <c r="Q157" i="13" s="1"/>
  <c r="P157" i="13" s="1"/>
  <c r="O157" i="13" s="1"/>
  <c r="S157" i="13" s="1"/>
  <c r="L158" i="13" s="1"/>
  <c r="N154" i="14"/>
  <c r="J154" i="14" s="1"/>
  <c r="J151" i="15"/>
  <c r="Q151" i="15" s="1"/>
  <c r="P151" i="15" s="1"/>
  <c r="R151" i="15" s="1"/>
  <c r="T151" i="15" s="1"/>
  <c r="M152" i="15" s="1"/>
  <c r="Q162" i="17"/>
  <c r="P162" i="17" s="1"/>
  <c r="J155" i="16"/>
  <c r="O287" i="20" l="1"/>
  <c r="S287" i="20" s="1"/>
  <c r="Q287" i="20"/>
  <c r="R287" i="20" s="1"/>
  <c r="R157" i="13"/>
  <c r="T157" i="13" s="1"/>
  <c r="M158" i="13" s="1"/>
  <c r="K158" i="13" s="1"/>
  <c r="O162" i="17"/>
  <c r="S162" i="17" s="1"/>
  <c r="L163" i="17" s="1"/>
  <c r="R162" i="17"/>
  <c r="T162" i="17" s="1"/>
  <c r="M163" i="17" s="1"/>
  <c r="N158" i="13"/>
  <c r="O151" i="15"/>
  <c r="S151" i="15" s="1"/>
  <c r="L152" i="15" s="1"/>
  <c r="K152" i="15" s="1"/>
  <c r="Q155" i="16"/>
  <c r="P155" i="16" s="1"/>
  <c r="R155" i="16" s="1"/>
  <c r="T155" i="16" s="1"/>
  <c r="M156" i="16" s="1"/>
  <c r="Q154" i="14"/>
  <c r="P154" i="14" s="1"/>
  <c r="R154" i="14" s="1"/>
  <c r="T154" i="14" s="1"/>
  <c r="M155" i="14" s="1"/>
  <c r="P287" i="20" l="1"/>
  <c r="T287" i="20" s="1"/>
  <c r="U287" i="20" s="1"/>
  <c r="M288" i="20" s="1"/>
  <c r="J158" i="13"/>
  <c r="Q158" i="13" s="1"/>
  <c r="P158" i="13" s="1"/>
  <c r="R158" i="13" s="1"/>
  <c r="T158" i="13" s="1"/>
  <c r="M159" i="13" s="1"/>
  <c r="O154" i="14"/>
  <c r="S154" i="14" s="1"/>
  <c r="L155" i="14" s="1"/>
  <c r="K155" i="14" s="1"/>
  <c r="N152" i="15"/>
  <c r="J152" i="15" s="1"/>
  <c r="K163" i="17"/>
  <c r="N163" i="17"/>
  <c r="O155" i="16"/>
  <c r="S155" i="16" s="1"/>
  <c r="L156" i="16" s="1"/>
  <c r="O288" i="20" l="1"/>
  <c r="S288" i="20" s="1"/>
  <c r="Q288" i="20"/>
  <c r="R288" i="20" s="1"/>
  <c r="N155" i="14"/>
  <c r="J155" i="14" s="1"/>
  <c r="Q155" i="14" s="1"/>
  <c r="P155" i="14" s="1"/>
  <c r="R155" i="14" s="1"/>
  <c r="T155" i="14" s="1"/>
  <c r="M156" i="14" s="1"/>
  <c r="O158" i="13"/>
  <c r="S158" i="13" s="1"/>
  <c r="L159" i="13" s="1"/>
  <c r="K159" i="13" s="1"/>
  <c r="J163" i="17"/>
  <c r="Q163" i="17" s="1"/>
  <c r="P163" i="17" s="1"/>
  <c r="R163" i="17" s="1"/>
  <c r="T163" i="17" s="1"/>
  <c r="M164" i="17" s="1"/>
  <c r="Q152" i="15"/>
  <c r="P152" i="15" s="1"/>
  <c r="R152" i="15" s="1"/>
  <c r="T152" i="15" s="1"/>
  <c r="M153" i="15" s="1"/>
  <c r="N156" i="16"/>
  <c r="K156" i="16"/>
  <c r="P288" i="20" l="1"/>
  <c r="T288" i="20" s="1"/>
  <c r="U288" i="20" s="1"/>
  <c r="M289" i="20" s="1"/>
  <c r="O289" i="20" s="1"/>
  <c r="S289" i="20" s="1"/>
  <c r="N159" i="13"/>
  <c r="J159" i="13" s="1"/>
  <c r="J156" i="16"/>
  <c r="Q156" i="16" s="1"/>
  <c r="P156" i="16" s="1"/>
  <c r="R156" i="16" s="1"/>
  <c r="T156" i="16" s="1"/>
  <c r="M157" i="16" s="1"/>
  <c r="O152" i="15"/>
  <c r="S152" i="15" s="1"/>
  <c r="L153" i="15" s="1"/>
  <c r="N153" i="15" s="1"/>
  <c r="O163" i="17"/>
  <c r="S163" i="17" s="1"/>
  <c r="L164" i="17" s="1"/>
  <c r="O155" i="14"/>
  <c r="S155" i="14" s="1"/>
  <c r="L156" i="14" s="1"/>
  <c r="Q289" i="20" l="1"/>
  <c r="R289" i="20" s="1"/>
  <c r="P289" i="20"/>
  <c r="T289" i="20" s="1"/>
  <c r="U289" i="20" s="1"/>
  <c r="M290" i="20" s="1"/>
  <c r="O290" i="20" s="1"/>
  <c r="S290" i="20" s="1"/>
  <c r="K153" i="15"/>
  <c r="J153" i="15" s="1"/>
  <c r="Q153" i="15" s="1"/>
  <c r="P153" i="15" s="1"/>
  <c r="R153" i="15" s="1"/>
  <c r="T153" i="15" s="1"/>
  <c r="M154" i="15" s="1"/>
  <c r="Q159" i="13"/>
  <c r="P159" i="13" s="1"/>
  <c r="R159" i="13" s="1"/>
  <c r="T159" i="13" s="1"/>
  <c r="M160" i="13" s="1"/>
  <c r="N164" i="17"/>
  <c r="K164" i="17"/>
  <c r="O156" i="16"/>
  <c r="S156" i="16" s="1"/>
  <c r="L157" i="16" s="1"/>
  <c r="K157" i="16" s="1"/>
  <c r="N156" i="14"/>
  <c r="K156" i="14"/>
  <c r="Q290" i="20" l="1"/>
  <c r="R290" i="20" s="1"/>
  <c r="P290" i="20"/>
  <c r="T290" i="20" s="1"/>
  <c r="U290" i="20" s="1"/>
  <c r="M291" i="20" s="1"/>
  <c r="J164" i="17"/>
  <c r="Q164" i="17" s="1"/>
  <c r="P164" i="17" s="1"/>
  <c r="R164" i="17" s="1"/>
  <c r="T164" i="17" s="1"/>
  <c r="M165" i="17" s="1"/>
  <c r="O159" i="13"/>
  <c r="S159" i="13" s="1"/>
  <c r="L160" i="13" s="1"/>
  <c r="N160" i="13" s="1"/>
  <c r="O153" i="15"/>
  <c r="S153" i="15" s="1"/>
  <c r="L154" i="15" s="1"/>
  <c r="N154" i="15" s="1"/>
  <c r="J156" i="14"/>
  <c r="Q156" i="14" s="1"/>
  <c r="P156" i="14" s="1"/>
  <c r="R156" i="14" s="1"/>
  <c r="T156" i="14" s="1"/>
  <c r="M157" i="14" s="1"/>
  <c r="N157" i="16"/>
  <c r="J157" i="16" s="1"/>
  <c r="Q157" i="16" s="1"/>
  <c r="P157" i="16" s="1"/>
  <c r="R157" i="16" s="1"/>
  <c r="T157" i="16" s="1"/>
  <c r="M158" i="16" s="1"/>
  <c r="O291" i="20" l="1"/>
  <c r="S291" i="20" s="1"/>
  <c r="Q291" i="20"/>
  <c r="P291" i="20" s="1"/>
  <c r="T291" i="20" s="1"/>
  <c r="U291" i="20" s="1"/>
  <c r="K160" i="13"/>
  <c r="J160" i="13" s="1"/>
  <c r="K154" i="15"/>
  <c r="J154" i="15" s="1"/>
  <c r="Q154" i="15" s="1"/>
  <c r="P154" i="15" s="1"/>
  <c r="R154" i="15" s="1"/>
  <c r="T154" i="15" s="1"/>
  <c r="M155" i="15" s="1"/>
  <c r="O156" i="14"/>
  <c r="S156" i="14" s="1"/>
  <c r="L157" i="14" s="1"/>
  <c r="N157" i="14" s="1"/>
  <c r="O164" i="17"/>
  <c r="S164" i="17" s="1"/>
  <c r="L165" i="17" s="1"/>
  <c r="O157" i="16"/>
  <c r="S157" i="16" s="1"/>
  <c r="L158" i="16" s="1"/>
  <c r="V291" i="20" l="1"/>
  <c r="R291" i="20" s="1"/>
  <c r="M292" i="20"/>
  <c r="K157" i="14"/>
  <c r="J157" i="14" s="1"/>
  <c r="Q157" i="14" s="1"/>
  <c r="Q160" i="13"/>
  <c r="P160" i="13" s="1"/>
  <c r="O154" i="15"/>
  <c r="S154" i="15" s="1"/>
  <c r="L155" i="15" s="1"/>
  <c r="N165" i="17"/>
  <c r="K165" i="17"/>
  <c r="K158" i="16"/>
  <c r="N158" i="16"/>
  <c r="O292" i="20" l="1"/>
  <c r="S292" i="20" s="1"/>
  <c r="Q292" i="20"/>
  <c r="R292" i="20" s="1"/>
  <c r="R160" i="13"/>
  <c r="T160" i="13" s="1"/>
  <c r="M161" i="13" s="1"/>
  <c r="O160" i="13"/>
  <c r="S160" i="13" s="1"/>
  <c r="L161" i="13" s="1"/>
  <c r="P157" i="14"/>
  <c r="R157" i="14" s="1"/>
  <c r="T157" i="14" s="1"/>
  <c r="M158" i="14" s="1"/>
  <c r="J165" i="17"/>
  <c r="Q165" i="17" s="1"/>
  <c r="N155" i="15"/>
  <c r="K155" i="15"/>
  <c r="J158" i="16"/>
  <c r="P292" i="20" l="1"/>
  <c r="T292" i="20" s="1"/>
  <c r="U292" i="20" s="1"/>
  <c r="M293" i="20" s="1"/>
  <c r="Q293" i="20" s="1"/>
  <c r="R293" i="20" s="1"/>
  <c r="P165" i="17"/>
  <c r="J155" i="15"/>
  <c r="Q155" i="15" s="1"/>
  <c r="P155" i="15" s="1"/>
  <c r="R155" i="15" s="1"/>
  <c r="T155" i="15" s="1"/>
  <c r="M156" i="15" s="1"/>
  <c r="O157" i="14"/>
  <c r="S157" i="14" s="1"/>
  <c r="L158" i="14" s="1"/>
  <c r="K161" i="13"/>
  <c r="N161" i="13"/>
  <c r="Q158" i="16"/>
  <c r="P158" i="16" s="1"/>
  <c r="R158" i="16" s="1"/>
  <c r="T158" i="16" s="1"/>
  <c r="M159" i="16" s="1"/>
  <c r="P293" i="20" l="1"/>
  <c r="O293" i="20"/>
  <c r="S293" i="20" s="1"/>
  <c r="O165" i="17"/>
  <c r="S165" i="17" s="1"/>
  <c r="L166" i="17" s="1"/>
  <c r="R165" i="17"/>
  <c r="T165" i="17" s="1"/>
  <c r="M166" i="17" s="1"/>
  <c r="J161" i="13"/>
  <c r="K158" i="14"/>
  <c r="N158" i="14"/>
  <c r="O155" i="15"/>
  <c r="S155" i="15" s="1"/>
  <c r="L156" i="15" s="1"/>
  <c r="O158" i="16"/>
  <c r="S158" i="16" s="1"/>
  <c r="L159" i="16" s="1"/>
  <c r="T293" i="20" l="1"/>
  <c r="U293" i="20" s="1"/>
  <c r="M294" i="20" s="1"/>
  <c r="Q294" i="20"/>
  <c r="R294" i="20" s="1"/>
  <c r="O294" i="20"/>
  <c r="S294" i="20" s="1"/>
  <c r="P294" i="20"/>
  <c r="T294" i="20" s="1"/>
  <c r="U294" i="20" s="1"/>
  <c r="M295" i="20" s="1"/>
  <c r="K166" i="17"/>
  <c r="N166" i="17"/>
  <c r="Q161" i="13"/>
  <c r="P161" i="13" s="1"/>
  <c r="R161" i="13" s="1"/>
  <c r="T161" i="13" s="1"/>
  <c r="M162" i="13" s="1"/>
  <c r="J158" i="14"/>
  <c r="K156" i="15"/>
  <c r="N156" i="15"/>
  <c r="K159" i="16"/>
  <c r="N159" i="16"/>
  <c r="Q295" i="20" l="1"/>
  <c r="R295" i="20" s="1"/>
  <c r="O295" i="20"/>
  <c r="S295" i="20" s="1"/>
  <c r="P295" i="20"/>
  <c r="O161" i="13"/>
  <c r="S161" i="13" s="1"/>
  <c r="L162" i="13" s="1"/>
  <c r="K162" i="13" s="1"/>
  <c r="J166" i="17"/>
  <c r="Q158" i="14"/>
  <c r="P158" i="14" s="1"/>
  <c r="R158" i="14" s="1"/>
  <c r="T158" i="14" s="1"/>
  <c r="M159" i="14" s="1"/>
  <c r="J156" i="15"/>
  <c r="J159" i="16"/>
  <c r="T295" i="20" l="1"/>
  <c r="U295" i="20" s="1"/>
  <c r="M296" i="20" s="1"/>
  <c r="O296" i="20"/>
  <c r="S296" i="20" s="1"/>
  <c r="Q296" i="20"/>
  <c r="R296" i="20" s="1"/>
  <c r="N162" i="13"/>
  <c r="J162" i="13" s="1"/>
  <c r="O158" i="14"/>
  <c r="S158" i="14" s="1"/>
  <c r="L159" i="14" s="1"/>
  <c r="K159" i="14" s="1"/>
  <c r="Q166" i="17"/>
  <c r="P166" i="17" s="1"/>
  <c r="R166" i="17" s="1"/>
  <c r="T166" i="17" s="1"/>
  <c r="M167" i="17" s="1"/>
  <c r="Q156" i="15"/>
  <c r="P156" i="15" s="1"/>
  <c r="R156" i="15" s="1"/>
  <c r="T156" i="15" s="1"/>
  <c r="M157" i="15" s="1"/>
  <c r="Q159" i="16"/>
  <c r="P159" i="16" s="1"/>
  <c r="R159" i="16" s="1"/>
  <c r="T159" i="16" s="1"/>
  <c r="M160" i="16" s="1"/>
  <c r="P296" i="20" l="1"/>
  <c r="T296" i="20" s="1"/>
  <c r="U296" i="20" s="1"/>
  <c r="M297" i="20" s="1"/>
  <c r="O297" i="20" s="1"/>
  <c r="S297" i="20" s="1"/>
  <c r="N159" i="14"/>
  <c r="J159" i="14" s="1"/>
  <c r="O166" i="17"/>
  <c r="S166" i="17" s="1"/>
  <c r="L167" i="17" s="1"/>
  <c r="K167" i="17" s="1"/>
  <c r="O156" i="15"/>
  <c r="S156" i="15" s="1"/>
  <c r="L157" i="15" s="1"/>
  <c r="N157" i="15" s="1"/>
  <c r="Q162" i="13"/>
  <c r="P162" i="13" s="1"/>
  <c r="R162" i="13" s="1"/>
  <c r="T162" i="13" s="1"/>
  <c r="M163" i="13" s="1"/>
  <c r="O159" i="16"/>
  <c r="S159" i="16" s="1"/>
  <c r="L160" i="16" s="1"/>
  <c r="Q297" i="20" l="1"/>
  <c r="R297" i="20" s="1"/>
  <c r="P297" i="20"/>
  <c r="T297" i="20" s="1"/>
  <c r="U297" i="20" s="1"/>
  <c r="M298" i="20" s="1"/>
  <c r="Q298" i="20" s="1"/>
  <c r="R298" i="20" s="1"/>
  <c r="K157" i="15"/>
  <c r="J157" i="15" s="1"/>
  <c r="N167" i="17"/>
  <c r="J167" i="17" s="1"/>
  <c r="Q167" i="17" s="1"/>
  <c r="P167" i="17" s="1"/>
  <c r="R167" i="17" s="1"/>
  <c r="T167" i="17" s="1"/>
  <c r="M168" i="17" s="1"/>
  <c r="Q159" i="14"/>
  <c r="P159" i="14" s="1"/>
  <c r="O162" i="13"/>
  <c r="S162" i="13" s="1"/>
  <c r="L163" i="13" s="1"/>
  <c r="N160" i="16"/>
  <c r="K160" i="16"/>
  <c r="P298" i="20" l="1"/>
  <c r="O298" i="20"/>
  <c r="S298" i="20" s="1"/>
  <c r="O167" i="17"/>
  <c r="S167" i="17" s="1"/>
  <c r="L168" i="17" s="1"/>
  <c r="K168" i="17" s="1"/>
  <c r="J160" i="16"/>
  <c r="Q160" i="16" s="1"/>
  <c r="P160" i="16" s="1"/>
  <c r="O160" i="16" s="1"/>
  <c r="S160" i="16" s="1"/>
  <c r="L161" i="16" s="1"/>
  <c r="R159" i="14"/>
  <c r="T159" i="14" s="1"/>
  <c r="M160" i="14" s="1"/>
  <c r="O159" i="14"/>
  <c r="S159" i="14" s="1"/>
  <c r="L160" i="14" s="1"/>
  <c r="K163" i="13"/>
  <c r="N163" i="13"/>
  <c r="Q157" i="15"/>
  <c r="P157" i="15" s="1"/>
  <c r="R157" i="15" s="1"/>
  <c r="T157" i="15" s="1"/>
  <c r="M158" i="15" s="1"/>
  <c r="T298" i="20" l="1"/>
  <c r="U298" i="20" s="1"/>
  <c r="M299" i="20" s="1"/>
  <c r="N168" i="17"/>
  <c r="J168" i="17" s="1"/>
  <c r="Q168" i="17" s="1"/>
  <c r="P168" i="17" s="1"/>
  <c r="R168" i="17" s="1"/>
  <c r="T168" i="17" s="1"/>
  <c r="M169" i="17" s="1"/>
  <c r="N160" i="14"/>
  <c r="K160" i="14"/>
  <c r="J163" i="13"/>
  <c r="R160" i="16"/>
  <c r="T160" i="16" s="1"/>
  <c r="M161" i="16" s="1"/>
  <c r="K161" i="16" s="1"/>
  <c r="O157" i="15"/>
  <c r="S157" i="15" s="1"/>
  <c r="L158" i="15" s="1"/>
  <c r="N161" i="16"/>
  <c r="O299" i="20" l="1"/>
  <c r="S299" i="20" s="1"/>
  <c r="Q299" i="20"/>
  <c r="Q163" i="13"/>
  <c r="P163" i="13" s="1"/>
  <c r="R163" i="13" s="1"/>
  <c r="T163" i="13" s="1"/>
  <c r="M164" i="13" s="1"/>
  <c r="J160" i="14"/>
  <c r="N158" i="15"/>
  <c r="K158" i="15"/>
  <c r="O168" i="17"/>
  <c r="S168" i="17" s="1"/>
  <c r="L169" i="17" s="1"/>
  <c r="J161" i="16"/>
  <c r="R299" i="20" l="1"/>
  <c r="P299" i="20"/>
  <c r="T299" i="20" s="1"/>
  <c r="U299" i="20" s="1"/>
  <c r="M300" i="20" s="1"/>
  <c r="J158" i="15"/>
  <c r="Q158" i="15" s="1"/>
  <c r="P158" i="15" s="1"/>
  <c r="R158" i="15" s="1"/>
  <c r="T158" i="15" s="1"/>
  <c r="M159" i="15" s="1"/>
  <c r="O163" i="13"/>
  <c r="S163" i="13" s="1"/>
  <c r="L164" i="13" s="1"/>
  <c r="N164" i="13" s="1"/>
  <c r="Q160" i="14"/>
  <c r="P160" i="14" s="1"/>
  <c r="R160" i="14" s="1"/>
  <c r="T160" i="14" s="1"/>
  <c r="M161" i="14" s="1"/>
  <c r="N169" i="17"/>
  <c r="K169" i="17"/>
  <c r="Q161" i="16"/>
  <c r="P161" i="16" s="1"/>
  <c r="R161" i="16" s="1"/>
  <c r="T161" i="16" s="1"/>
  <c r="M162" i="16" s="1"/>
  <c r="O300" i="20" l="1"/>
  <c r="S300" i="20" s="1"/>
  <c r="Q300" i="20"/>
  <c r="R300" i="20" s="1"/>
  <c r="K164" i="13"/>
  <c r="J164" i="13" s="1"/>
  <c r="Q164" i="13" s="1"/>
  <c r="P164" i="13" s="1"/>
  <c r="R164" i="13" s="1"/>
  <c r="T164" i="13" s="1"/>
  <c r="M165" i="13" s="1"/>
  <c r="J169" i="17"/>
  <c r="Q169" i="17" s="1"/>
  <c r="P169" i="17" s="1"/>
  <c r="R169" i="17" s="1"/>
  <c r="T169" i="17" s="1"/>
  <c r="M170" i="17" s="1"/>
  <c r="O158" i="15"/>
  <c r="S158" i="15" s="1"/>
  <c r="L159" i="15" s="1"/>
  <c r="N159" i="15" s="1"/>
  <c r="O161" i="16"/>
  <c r="S161" i="16" s="1"/>
  <c r="L162" i="16" s="1"/>
  <c r="N162" i="16" s="1"/>
  <c r="O160" i="14"/>
  <c r="S160" i="14" s="1"/>
  <c r="L161" i="14" s="1"/>
  <c r="P300" i="20" l="1"/>
  <c r="T300" i="20" s="1"/>
  <c r="U300" i="20" s="1"/>
  <c r="M301" i="20" s="1"/>
  <c r="K159" i="15"/>
  <c r="J159" i="15" s="1"/>
  <c r="K162" i="16"/>
  <c r="J162" i="16" s="1"/>
  <c r="O164" i="13"/>
  <c r="S164" i="13" s="1"/>
  <c r="L165" i="13" s="1"/>
  <c r="K161" i="14"/>
  <c r="N161" i="14"/>
  <c r="O169" i="17"/>
  <c r="S169" i="17" s="1"/>
  <c r="L170" i="17" s="1"/>
  <c r="O301" i="20" l="1"/>
  <c r="S301" i="20" s="1"/>
  <c r="Q301" i="20"/>
  <c r="R301" i="20" s="1"/>
  <c r="P301" i="20"/>
  <c r="J161" i="14"/>
  <c r="K165" i="13"/>
  <c r="N165" i="13"/>
  <c r="Q159" i="15"/>
  <c r="P159" i="15" s="1"/>
  <c r="R159" i="15" s="1"/>
  <c r="T159" i="15" s="1"/>
  <c r="M160" i="15" s="1"/>
  <c r="Q162" i="16"/>
  <c r="P162" i="16" s="1"/>
  <c r="R162" i="16" s="1"/>
  <c r="T162" i="16" s="1"/>
  <c r="M163" i="16" s="1"/>
  <c r="K170" i="17"/>
  <c r="N170" i="17"/>
  <c r="T301" i="20" l="1"/>
  <c r="U301" i="20" s="1"/>
  <c r="M302" i="20" s="1"/>
  <c r="J165" i="13"/>
  <c r="Q161" i="14"/>
  <c r="P161" i="14" s="1"/>
  <c r="R161" i="14" s="1"/>
  <c r="T161" i="14" s="1"/>
  <c r="M162" i="14" s="1"/>
  <c r="O162" i="16"/>
  <c r="S162" i="16" s="1"/>
  <c r="L163" i="16" s="1"/>
  <c r="N163" i="16" s="1"/>
  <c r="O159" i="15"/>
  <c r="S159" i="15" s="1"/>
  <c r="L160" i="15" s="1"/>
  <c r="J170" i="17"/>
  <c r="Q170" i="17" s="1"/>
  <c r="O302" i="20" l="1"/>
  <c r="S302" i="20" s="1"/>
  <c r="Q302" i="20"/>
  <c r="K163" i="16"/>
  <c r="J163" i="16" s="1"/>
  <c r="Q163" i="16" s="1"/>
  <c r="P163" i="16" s="1"/>
  <c r="R163" i="16" s="1"/>
  <c r="T163" i="16" s="1"/>
  <c r="M164" i="16" s="1"/>
  <c r="O161" i="14"/>
  <c r="S161" i="14" s="1"/>
  <c r="L162" i="14" s="1"/>
  <c r="Q165" i="13"/>
  <c r="P165" i="13" s="1"/>
  <c r="K160" i="15"/>
  <c r="N160" i="15"/>
  <c r="P170" i="17"/>
  <c r="R170" i="17" s="1"/>
  <c r="T170" i="17" s="1"/>
  <c r="M171" i="17" s="1"/>
  <c r="R302" i="20" l="1"/>
  <c r="P302" i="20"/>
  <c r="T302" i="20" s="1"/>
  <c r="U302" i="20" s="1"/>
  <c r="M303" i="20" s="1"/>
  <c r="R165" i="13"/>
  <c r="T165" i="13" s="1"/>
  <c r="M166" i="13" s="1"/>
  <c r="O165" i="13"/>
  <c r="S165" i="13" s="1"/>
  <c r="L166" i="13" s="1"/>
  <c r="N162" i="14"/>
  <c r="K162" i="14"/>
  <c r="J160" i="15"/>
  <c r="O170" i="17"/>
  <c r="S170" i="17" s="1"/>
  <c r="L171" i="17" s="1"/>
  <c r="O163" i="16"/>
  <c r="S163" i="16" s="1"/>
  <c r="L164" i="16" s="1"/>
  <c r="O303" i="20" l="1"/>
  <c r="S303" i="20" s="1"/>
  <c r="Q303" i="20"/>
  <c r="P303" i="20" s="1"/>
  <c r="J162" i="14"/>
  <c r="Q162" i="14" s="1"/>
  <c r="P162" i="14" s="1"/>
  <c r="R162" i="14" s="1"/>
  <c r="T162" i="14" s="1"/>
  <c r="M163" i="14" s="1"/>
  <c r="N166" i="13"/>
  <c r="K166" i="13"/>
  <c r="N171" i="17"/>
  <c r="K171" i="17"/>
  <c r="Q160" i="15"/>
  <c r="P160" i="15" s="1"/>
  <c r="R160" i="15" s="1"/>
  <c r="T160" i="15" s="1"/>
  <c r="M161" i="15" s="1"/>
  <c r="K164" i="16"/>
  <c r="N164" i="16"/>
  <c r="T303" i="20" l="1"/>
  <c r="U303" i="20" s="1"/>
  <c r="V303" i="20" s="1"/>
  <c r="R303" i="20" s="1"/>
  <c r="J171" i="17"/>
  <c r="Q171" i="17" s="1"/>
  <c r="P171" i="17" s="1"/>
  <c r="R171" i="17" s="1"/>
  <c r="T171" i="17" s="1"/>
  <c r="M172" i="17" s="1"/>
  <c r="J166" i="13"/>
  <c r="Q166" i="13" s="1"/>
  <c r="P166" i="13" s="1"/>
  <c r="R166" i="13" s="1"/>
  <c r="T166" i="13" s="1"/>
  <c r="M167" i="13" s="1"/>
  <c r="O160" i="15"/>
  <c r="S160" i="15" s="1"/>
  <c r="L161" i="15" s="1"/>
  <c r="N161" i="15" s="1"/>
  <c r="O162" i="14"/>
  <c r="S162" i="14" s="1"/>
  <c r="L163" i="14" s="1"/>
  <c r="K163" i="14" s="1"/>
  <c r="J164" i="16"/>
  <c r="M304" i="20" l="1"/>
  <c r="Q304" i="20" s="1"/>
  <c r="R304" i="20" s="1"/>
  <c r="O304" i="20"/>
  <c r="S304" i="20" s="1"/>
  <c r="P304" i="20"/>
  <c r="T304" i="20" s="1"/>
  <c r="U304" i="20" s="1"/>
  <c r="M305" i="20" s="1"/>
  <c r="O171" i="17"/>
  <c r="S171" i="17" s="1"/>
  <c r="L172" i="17" s="1"/>
  <c r="N172" i="17" s="1"/>
  <c r="N163" i="14"/>
  <c r="J163" i="14" s="1"/>
  <c r="K161" i="15"/>
  <c r="J161" i="15" s="1"/>
  <c r="Q161" i="15" s="1"/>
  <c r="P161" i="15" s="1"/>
  <c r="R161" i="15" s="1"/>
  <c r="T161" i="15" s="1"/>
  <c r="M162" i="15" s="1"/>
  <c r="O166" i="13"/>
  <c r="S166" i="13" s="1"/>
  <c r="L167" i="13" s="1"/>
  <c r="Q164" i="16"/>
  <c r="P164" i="16" s="1"/>
  <c r="R164" i="16" s="1"/>
  <c r="T164" i="16" s="1"/>
  <c r="M165" i="16" s="1"/>
  <c r="K172" i="17" l="1"/>
  <c r="J172" i="17" s="1"/>
  <c r="Q172" i="17" s="1"/>
  <c r="P172" i="17" s="1"/>
  <c r="R172" i="17" s="1"/>
  <c r="T172" i="17" s="1"/>
  <c r="M173" i="17" s="1"/>
  <c r="Q305" i="20"/>
  <c r="R305" i="20" s="1"/>
  <c r="O305" i="20"/>
  <c r="S305" i="20" s="1"/>
  <c r="Q163" i="14"/>
  <c r="P163" i="14" s="1"/>
  <c r="N167" i="13"/>
  <c r="K167" i="13"/>
  <c r="O161" i="15"/>
  <c r="S161" i="15" s="1"/>
  <c r="L162" i="15" s="1"/>
  <c r="O164" i="16"/>
  <c r="S164" i="16" s="1"/>
  <c r="L165" i="16" s="1"/>
  <c r="P305" i="20" l="1"/>
  <c r="O172" i="17"/>
  <c r="S172" i="17" s="1"/>
  <c r="L173" i="17" s="1"/>
  <c r="K173" i="17" s="1"/>
  <c r="T305" i="20"/>
  <c r="U305" i="20" s="1"/>
  <c r="M306" i="20" s="1"/>
  <c r="J167" i="13"/>
  <c r="Q167" i="13" s="1"/>
  <c r="P167" i="13" s="1"/>
  <c r="R167" i="13" s="1"/>
  <c r="T167" i="13" s="1"/>
  <c r="M168" i="13" s="1"/>
  <c r="R163" i="14"/>
  <c r="T163" i="14" s="1"/>
  <c r="M164" i="14" s="1"/>
  <c r="O163" i="14"/>
  <c r="S163" i="14" s="1"/>
  <c r="L164" i="14" s="1"/>
  <c r="N162" i="15"/>
  <c r="K162" i="15"/>
  <c r="N165" i="16"/>
  <c r="K165" i="16"/>
  <c r="N173" i="17" l="1"/>
  <c r="J173" i="17" s="1"/>
  <c r="Q173" i="17" s="1"/>
  <c r="P173" i="17" s="1"/>
  <c r="R173" i="17" s="1"/>
  <c r="T173" i="17" s="1"/>
  <c r="M174" i="17" s="1"/>
  <c r="J162" i="15"/>
  <c r="Q162" i="15" s="1"/>
  <c r="P162" i="15" s="1"/>
  <c r="Q306" i="20"/>
  <c r="R306" i="20" s="1"/>
  <c r="O306" i="20"/>
  <c r="S306" i="20" s="1"/>
  <c r="J165" i="16"/>
  <c r="Q165" i="16" s="1"/>
  <c r="P165" i="16" s="1"/>
  <c r="R165" i="16" s="1"/>
  <c r="T165" i="16" s="1"/>
  <c r="M166" i="16" s="1"/>
  <c r="N164" i="14"/>
  <c r="K164" i="14"/>
  <c r="O167" i="13"/>
  <c r="S167" i="13" s="1"/>
  <c r="L168" i="13" s="1"/>
  <c r="P306" i="20" l="1"/>
  <c r="T306" i="20" s="1"/>
  <c r="U306" i="20" s="1"/>
  <c r="M307" i="20" s="1"/>
  <c r="R162" i="15"/>
  <c r="T162" i="15" s="1"/>
  <c r="M163" i="15" s="1"/>
  <c r="O162" i="15"/>
  <c r="S162" i="15" s="1"/>
  <c r="L163" i="15" s="1"/>
  <c r="J164" i="14"/>
  <c r="Q164" i="14" s="1"/>
  <c r="K168" i="13"/>
  <c r="N168" i="13"/>
  <c r="O165" i="16"/>
  <c r="S165" i="16" s="1"/>
  <c r="L166" i="16" s="1"/>
  <c r="K166" i="16" s="1"/>
  <c r="O173" i="17"/>
  <c r="S173" i="17" s="1"/>
  <c r="L174" i="17" s="1"/>
  <c r="Q307" i="20" l="1"/>
  <c r="R307" i="20" s="1"/>
  <c r="O307" i="20"/>
  <c r="S307" i="20" s="1"/>
  <c r="P307" i="20"/>
  <c r="T307" i="20" s="1"/>
  <c r="U307" i="20" s="1"/>
  <c r="M308" i="20" s="1"/>
  <c r="K163" i="15"/>
  <c r="N163" i="15"/>
  <c r="P164" i="14"/>
  <c r="R164" i="14" s="1"/>
  <c r="T164" i="14" s="1"/>
  <c r="M165" i="14" s="1"/>
  <c r="N166" i="16"/>
  <c r="J166" i="16" s="1"/>
  <c r="Q166" i="16" s="1"/>
  <c r="P166" i="16" s="1"/>
  <c r="R166" i="16" s="1"/>
  <c r="T166" i="16" s="1"/>
  <c r="M167" i="16" s="1"/>
  <c r="J168" i="13"/>
  <c r="Q168" i="13" s="1"/>
  <c r="P168" i="13" s="1"/>
  <c r="R168" i="13" s="1"/>
  <c r="T168" i="13" s="1"/>
  <c r="M169" i="13" s="1"/>
  <c r="K174" i="17"/>
  <c r="N174" i="17"/>
  <c r="J163" i="15" l="1"/>
  <c r="Q163" i="15" s="1"/>
  <c r="Q308" i="20"/>
  <c r="R308" i="20" s="1"/>
  <c r="O308" i="20"/>
  <c r="S308" i="20" s="1"/>
  <c r="O164" i="14"/>
  <c r="S164" i="14" s="1"/>
  <c r="L165" i="14" s="1"/>
  <c r="K165" i="14" s="1"/>
  <c r="O168" i="13"/>
  <c r="S168" i="13" s="1"/>
  <c r="L169" i="13" s="1"/>
  <c r="N169" i="13" s="1"/>
  <c r="O166" i="16"/>
  <c r="S166" i="16" s="1"/>
  <c r="L167" i="16" s="1"/>
  <c r="J174" i="17"/>
  <c r="P308" i="20" l="1"/>
  <c r="T308" i="20"/>
  <c r="U308" i="20" s="1"/>
  <c r="M309" i="20" s="1"/>
  <c r="N165" i="14"/>
  <c r="J165" i="14" s="1"/>
  <c r="K169" i="13"/>
  <c r="J169" i="13" s="1"/>
  <c r="Q169" i="13" s="1"/>
  <c r="P169" i="13" s="1"/>
  <c r="R169" i="13" s="1"/>
  <c r="T169" i="13" s="1"/>
  <c r="M170" i="13" s="1"/>
  <c r="P163" i="15"/>
  <c r="R163" i="15" s="1"/>
  <c r="T163" i="15" s="1"/>
  <c r="M164" i="15" s="1"/>
  <c r="K167" i="16"/>
  <c r="N167" i="16"/>
  <c r="Q174" i="17"/>
  <c r="Q309" i="20" l="1"/>
  <c r="R309" i="20" s="1"/>
  <c r="P309" i="20"/>
  <c r="O309" i="20"/>
  <c r="S309" i="20" s="1"/>
  <c r="O169" i="13"/>
  <c r="S169" i="13" s="1"/>
  <c r="L170" i="13" s="1"/>
  <c r="Q165" i="14"/>
  <c r="P165" i="14" s="1"/>
  <c r="R165" i="14" s="1"/>
  <c r="T165" i="14" s="1"/>
  <c r="M166" i="14" s="1"/>
  <c r="O163" i="15"/>
  <c r="S163" i="15" s="1"/>
  <c r="L164" i="15" s="1"/>
  <c r="P174" i="17"/>
  <c r="R174" i="17" s="1"/>
  <c r="T174" i="17" s="1"/>
  <c r="M175" i="17" s="1"/>
  <c r="J167" i="16"/>
  <c r="T309" i="20" l="1"/>
  <c r="U309" i="20" s="1"/>
  <c r="M310" i="20" s="1"/>
  <c r="O165" i="14"/>
  <c r="S165" i="14" s="1"/>
  <c r="L166" i="14" s="1"/>
  <c r="N166" i="14" s="1"/>
  <c r="K164" i="15"/>
  <c r="N164" i="15"/>
  <c r="K170" i="13"/>
  <c r="N170" i="13"/>
  <c r="O174" i="17"/>
  <c r="S174" i="17" s="1"/>
  <c r="L175" i="17" s="1"/>
  <c r="Q167" i="16"/>
  <c r="P167" i="16" s="1"/>
  <c r="R167" i="16" s="1"/>
  <c r="T167" i="16" s="1"/>
  <c r="M168" i="16" s="1"/>
  <c r="K166" i="14" l="1"/>
  <c r="J166" i="14" s="1"/>
  <c r="Q166" i="14" s="1"/>
  <c r="P166" i="14" s="1"/>
  <c r="R166" i="14" s="1"/>
  <c r="T166" i="14" s="1"/>
  <c r="M167" i="14" s="1"/>
  <c r="Q310" i="20"/>
  <c r="R310" i="20" s="1"/>
  <c r="P310" i="20"/>
  <c r="O310" i="20"/>
  <c r="S310" i="20" s="1"/>
  <c r="J170" i="13"/>
  <c r="J164" i="15"/>
  <c r="K175" i="17"/>
  <c r="N175" i="17"/>
  <c r="O167" i="16"/>
  <c r="S167" i="16" s="1"/>
  <c r="L168" i="16" s="1"/>
  <c r="T310" i="20" l="1"/>
  <c r="U310" i="20" s="1"/>
  <c r="M311" i="20" s="1"/>
  <c r="O166" i="14"/>
  <c r="S166" i="14" s="1"/>
  <c r="L167" i="14" s="1"/>
  <c r="N167" i="14" s="1"/>
  <c r="Q164" i="15"/>
  <c r="Q170" i="13"/>
  <c r="P170" i="13" s="1"/>
  <c r="J175" i="17"/>
  <c r="N168" i="16"/>
  <c r="K168" i="16"/>
  <c r="K167" i="14" l="1"/>
  <c r="J167" i="14" s="1"/>
  <c r="Q311" i="20"/>
  <c r="R311" i="20" s="1"/>
  <c r="O311" i="20"/>
  <c r="S311" i="20" s="1"/>
  <c r="O170" i="13"/>
  <c r="S170" i="13" s="1"/>
  <c r="L171" i="13" s="1"/>
  <c r="R170" i="13"/>
  <c r="T170" i="13" s="1"/>
  <c r="M171" i="13" s="1"/>
  <c r="P164" i="15"/>
  <c r="R164" i="15" s="1"/>
  <c r="T164" i="15" s="1"/>
  <c r="M165" i="15" s="1"/>
  <c r="Q175" i="17"/>
  <c r="P175" i="17" s="1"/>
  <c r="J168" i="16"/>
  <c r="Q167" i="14" l="1"/>
  <c r="P167" i="14" s="1"/>
  <c r="P311" i="20"/>
  <c r="T311" i="20" s="1"/>
  <c r="U311" i="20" s="1"/>
  <c r="M312" i="20" s="1"/>
  <c r="O164" i="15"/>
  <c r="S164" i="15" s="1"/>
  <c r="L165" i="15" s="1"/>
  <c r="K171" i="13"/>
  <c r="N171" i="13"/>
  <c r="R175" i="17"/>
  <c r="T175" i="17" s="1"/>
  <c r="M176" i="17" s="1"/>
  <c r="O175" i="17"/>
  <c r="S175" i="17" s="1"/>
  <c r="L176" i="17" s="1"/>
  <c r="Q168" i="16"/>
  <c r="P168" i="16" s="1"/>
  <c r="R168" i="16" s="1"/>
  <c r="T168" i="16" s="1"/>
  <c r="M169" i="16" s="1"/>
  <c r="R167" i="14" l="1"/>
  <c r="T167" i="14" s="1"/>
  <c r="M168" i="14" s="1"/>
  <c r="O167" i="14"/>
  <c r="S167" i="14" s="1"/>
  <c r="L168" i="14" s="1"/>
  <c r="N168" i="14" s="1"/>
  <c r="Q312" i="20"/>
  <c r="R312" i="20" s="1"/>
  <c r="O312" i="20"/>
  <c r="S312" i="20" s="1"/>
  <c r="J171" i="13"/>
  <c r="N165" i="15"/>
  <c r="K165" i="15"/>
  <c r="O168" i="16"/>
  <c r="S168" i="16" s="1"/>
  <c r="L169" i="16" s="1"/>
  <c r="K169" i="16" s="1"/>
  <c r="K176" i="17"/>
  <c r="N176" i="17"/>
  <c r="P312" i="20" l="1"/>
  <c r="K168" i="14"/>
  <c r="J168" i="14" s="1"/>
  <c r="Q168" i="14" s="1"/>
  <c r="P168" i="14" s="1"/>
  <c r="R168" i="14" s="1"/>
  <c r="T168" i="14" s="1"/>
  <c r="M169" i="14" s="1"/>
  <c r="T312" i="20"/>
  <c r="U312" i="20" s="1"/>
  <c r="M313" i="20" s="1"/>
  <c r="J165" i="15"/>
  <c r="Q165" i="15" s="1"/>
  <c r="P165" i="15" s="1"/>
  <c r="R165" i="15" s="1"/>
  <c r="T165" i="15" s="1"/>
  <c r="M166" i="15" s="1"/>
  <c r="N169" i="16"/>
  <c r="J169" i="16" s="1"/>
  <c r="Q169" i="16" s="1"/>
  <c r="Q171" i="13"/>
  <c r="P171" i="13" s="1"/>
  <c r="R171" i="13" s="1"/>
  <c r="T171" i="13" s="1"/>
  <c r="M172" i="13" s="1"/>
  <c r="J176" i="17"/>
  <c r="O168" i="14" l="1"/>
  <c r="S168" i="14" s="1"/>
  <c r="L169" i="14" s="1"/>
  <c r="N169" i="14" s="1"/>
  <c r="Q313" i="20"/>
  <c r="R313" i="20" s="1"/>
  <c r="O313" i="20"/>
  <c r="S313" i="20" s="1"/>
  <c r="O165" i="15"/>
  <c r="S165" i="15" s="1"/>
  <c r="L166" i="15" s="1"/>
  <c r="K166" i="15" s="1"/>
  <c r="O171" i="13"/>
  <c r="S171" i="13" s="1"/>
  <c r="L172" i="13" s="1"/>
  <c r="N172" i="13" s="1"/>
  <c r="Q176" i="17"/>
  <c r="P176" i="17" s="1"/>
  <c r="R176" i="17" s="1"/>
  <c r="T176" i="17" s="1"/>
  <c r="M177" i="17" s="1"/>
  <c r="P169" i="16"/>
  <c r="R169" i="16" s="1"/>
  <c r="T169" i="16" s="1"/>
  <c r="M170" i="16" s="1"/>
  <c r="P313" i="20" l="1"/>
  <c r="T313" i="20" s="1"/>
  <c r="U313" i="20" s="1"/>
  <c r="M314" i="20" s="1"/>
  <c r="K169" i="14"/>
  <c r="J169" i="14" s="1"/>
  <c r="Q169" i="14" s="1"/>
  <c r="N166" i="15"/>
  <c r="J166" i="15" s="1"/>
  <c r="Q166" i="15" s="1"/>
  <c r="P166" i="15" s="1"/>
  <c r="R166" i="15" s="1"/>
  <c r="T166" i="15" s="1"/>
  <c r="M167" i="15" s="1"/>
  <c r="K172" i="13"/>
  <c r="J172" i="13" s="1"/>
  <c r="Q172" i="13" s="1"/>
  <c r="P172" i="13" s="1"/>
  <c r="R172" i="13" s="1"/>
  <c r="T172" i="13" s="1"/>
  <c r="M173" i="13" s="1"/>
  <c r="O176" i="17"/>
  <c r="S176" i="17" s="1"/>
  <c r="L177" i="17" s="1"/>
  <c r="O169" i="16"/>
  <c r="S169" i="16" s="1"/>
  <c r="L170" i="16" s="1"/>
  <c r="Q314" i="20" l="1"/>
  <c r="R314" i="20" s="1"/>
  <c r="P314" i="20"/>
  <c r="O314" i="20"/>
  <c r="S314" i="20" s="1"/>
  <c r="O166" i="15"/>
  <c r="S166" i="15" s="1"/>
  <c r="L167" i="15" s="1"/>
  <c r="K167" i="15" s="1"/>
  <c r="O172" i="13"/>
  <c r="S172" i="13" s="1"/>
  <c r="L173" i="13" s="1"/>
  <c r="N177" i="17"/>
  <c r="K177" i="17"/>
  <c r="P169" i="14"/>
  <c r="R169" i="14" s="1"/>
  <c r="T169" i="14" s="1"/>
  <c r="M170" i="14" s="1"/>
  <c r="N170" i="16"/>
  <c r="K170" i="16"/>
  <c r="T314" i="20" l="1"/>
  <c r="U314" i="20" s="1"/>
  <c r="M315" i="20" s="1"/>
  <c r="J177" i="17"/>
  <c r="Q177" i="17" s="1"/>
  <c r="P177" i="17" s="1"/>
  <c r="R177" i="17" s="1"/>
  <c r="T177" i="17" s="1"/>
  <c r="M178" i="17" s="1"/>
  <c r="N167" i="15"/>
  <c r="J167" i="15" s="1"/>
  <c r="K173" i="13"/>
  <c r="N173" i="13"/>
  <c r="J170" i="16"/>
  <c r="O169" i="14"/>
  <c r="S169" i="14" s="1"/>
  <c r="L170" i="14" s="1"/>
  <c r="Q315" i="20" l="1"/>
  <c r="P315" i="20"/>
  <c r="O315" i="20"/>
  <c r="S315" i="20" s="1"/>
  <c r="J173" i="13"/>
  <c r="Q173" i="13" s="1"/>
  <c r="Q167" i="15"/>
  <c r="P167" i="15" s="1"/>
  <c r="R167" i="15" s="1"/>
  <c r="T167" i="15" s="1"/>
  <c r="M168" i="15" s="1"/>
  <c r="Q170" i="16"/>
  <c r="P170" i="16" s="1"/>
  <c r="O177" i="17"/>
  <c r="S177" i="17" s="1"/>
  <c r="L178" i="17" s="1"/>
  <c r="N170" i="14"/>
  <c r="K170" i="14"/>
  <c r="T315" i="20" l="1"/>
  <c r="U315" i="20" s="1"/>
  <c r="J170" i="14"/>
  <c r="Q170" i="14" s="1"/>
  <c r="P173" i="13"/>
  <c r="R173" i="13" s="1"/>
  <c r="T173" i="13" s="1"/>
  <c r="M174" i="13" s="1"/>
  <c r="O167" i="15"/>
  <c r="S167" i="15" s="1"/>
  <c r="L168" i="15" s="1"/>
  <c r="R170" i="16"/>
  <c r="T170" i="16" s="1"/>
  <c r="M171" i="16" s="1"/>
  <c r="O170" i="16"/>
  <c r="S170" i="16" s="1"/>
  <c r="L171" i="16" s="1"/>
  <c r="K178" i="17"/>
  <c r="N178" i="17"/>
  <c r="M316" i="20" l="1"/>
  <c r="V315" i="20"/>
  <c r="R315" i="20" s="1"/>
  <c r="N168" i="15"/>
  <c r="K168" i="15"/>
  <c r="O173" i="13"/>
  <c r="S173" i="13" s="1"/>
  <c r="L174" i="13" s="1"/>
  <c r="J178" i="17"/>
  <c r="N171" i="16"/>
  <c r="K171" i="16"/>
  <c r="P170" i="14"/>
  <c r="R170" i="14" s="1"/>
  <c r="T170" i="14" s="1"/>
  <c r="M171" i="14" s="1"/>
  <c r="J171" i="16" l="1"/>
  <c r="Q171" i="16" s="1"/>
  <c r="P171" i="16" s="1"/>
  <c r="R171" i="16" s="1"/>
  <c r="T171" i="16" s="1"/>
  <c r="M172" i="16" s="1"/>
  <c r="Q316" i="20"/>
  <c r="R316" i="20" s="1"/>
  <c r="P316" i="20"/>
  <c r="O316" i="20"/>
  <c r="S316" i="20" s="1"/>
  <c r="J168" i="15"/>
  <c r="Q168" i="15" s="1"/>
  <c r="P168" i="15" s="1"/>
  <c r="R168" i="15" s="1"/>
  <c r="T168" i="15" s="1"/>
  <c r="M169" i="15" s="1"/>
  <c r="K174" i="13"/>
  <c r="N174" i="13"/>
  <c r="Q178" i="17"/>
  <c r="P178" i="17" s="1"/>
  <c r="O170" i="14"/>
  <c r="S170" i="14" s="1"/>
  <c r="L171" i="14" s="1"/>
  <c r="O171" i="16" l="1"/>
  <c r="S171" i="16" s="1"/>
  <c r="L172" i="16" s="1"/>
  <c r="K172" i="16" s="1"/>
  <c r="T316" i="20"/>
  <c r="U316" i="20" s="1"/>
  <c r="M317" i="20" s="1"/>
  <c r="O168" i="15"/>
  <c r="S168" i="15" s="1"/>
  <c r="L169" i="15" s="1"/>
  <c r="J174" i="13"/>
  <c r="O178" i="17"/>
  <c r="S178" i="17" s="1"/>
  <c r="L179" i="17" s="1"/>
  <c r="R178" i="17"/>
  <c r="T178" i="17" s="1"/>
  <c r="M179" i="17" s="1"/>
  <c r="N171" i="14"/>
  <c r="K171" i="14"/>
  <c r="N172" i="16" l="1"/>
  <c r="J172" i="16" s="1"/>
  <c r="Q172" i="16" s="1"/>
  <c r="P172" i="16" s="1"/>
  <c r="Q317" i="20"/>
  <c r="R317" i="20" s="1"/>
  <c r="O317" i="20"/>
  <c r="S317" i="20" s="1"/>
  <c r="Q174" i="13"/>
  <c r="P174" i="13" s="1"/>
  <c r="R174" i="13" s="1"/>
  <c r="T174" i="13" s="1"/>
  <c r="M175" i="13" s="1"/>
  <c r="N169" i="15"/>
  <c r="K169" i="15"/>
  <c r="J171" i="14"/>
  <c r="Q171" i="14" s="1"/>
  <c r="P171" i="14" s="1"/>
  <c r="R171" i="14" s="1"/>
  <c r="T171" i="14" s="1"/>
  <c r="M172" i="14" s="1"/>
  <c r="N179" i="17"/>
  <c r="K179" i="17"/>
  <c r="P317" i="20" l="1"/>
  <c r="T317" i="20" s="1"/>
  <c r="U317" i="20" s="1"/>
  <c r="M318" i="20" s="1"/>
  <c r="Q318" i="20" s="1"/>
  <c r="J169" i="15"/>
  <c r="Q169" i="15" s="1"/>
  <c r="P169" i="15" s="1"/>
  <c r="O169" i="15" s="1"/>
  <c r="S169" i="15" s="1"/>
  <c r="L170" i="15" s="1"/>
  <c r="J179" i="17"/>
  <c r="Q179" i="17" s="1"/>
  <c r="P179" i="17" s="1"/>
  <c r="R179" i="17" s="1"/>
  <c r="T179" i="17" s="1"/>
  <c r="M180" i="17" s="1"/>
  <c r="O174" i="13"/>
  <c r="S174" i="13" s="1"/>
  <c r="L175" i="13" s="1"/>
  <c r="K175" i="13" s="1"/>
  <c r="R172" i="16"/>
  <c r="T172" i="16" s="1"/>
  <c r="M173" i="16" s="1"/>
  <c r="O172" i="16"/>
  <c r="S172" i="16" s="1"/>
  <c r="L173" i="16" s="1"/>
  <c r="N173" i="16" s="1"/>
  <c r="O171" i="14"/>
  <c r="S171" i="14" s="1"/>
  <c r="L172" i="14" s="1"/>
  <c r="O318" i="20" l="1"/>
  <c r="S318" i="20" s="1"/>
  <c r="R318" i="20"/>
  <c r="P318" i="20"/>
  <c r="T318" i="20" s="1"/>
  <c r="U318" i="20" s="1"/>
  <c r="M319" i="20" s="1"/>
  <c r="R169" i="15"/>
  <c r="T169" i="15" s="1"/>
  <c r="M170" i="15" s="1"/>
  <c r="K170" i="15" s="1"/>
  <c r="N175" i="13"/>
  <c r="J175" i="13" s="1"/>
  <c r="K173" i="16"/>
  <c r="J173" i="16" s="1"/>
  <c r="Q173" i="16" s="1"/>
  <c r="P173" i="16" s="1"/>
  <c r="O179" i="17"/>
  <c r="S179" i="17" s="1"/>
  <c r="L180" i="17" s="1"/>
  <c r="K172" i="14"/>
  <c r="N172" i="14"/>
  <c r="N170" i="15"/>
  <c r="Q319" i="20" l="1"/>
  <c r="R319" i="20" s="1"/>
  <c r="P319" i="20"/>
  <c r="O319" i="20"/>
  <c r="S319" i="20" s="1"/>
  <c r="Q175" i="13"/>
  <c r="P175" i="13" s="1"/>
  <c r="R175" i="13" s="1"/>
  <c r="T175" i="13" s="1"/>
  <c r="M176" i="13" s="1"/>
  <c r="O173" i="16"/>
  <c r="S173" i="16" s="1"/>
  <c r="L174" i="16" s="1"/>
  <c r="R173" i="16"/>
  <c r="T173" i="16" s="1"/>
  <c r="M174" i="16" s="1"/>
  <c r="K180" i="17"/>
  <c r="N180" i="17"/>
  <c r="J170" i="15"/>
  <c r="J172" i="14"/>
  <c r="T319" i="20" l="1"/>
  <c r="U319" i="20" s="1"/>
  <c r="M320" i="20" s="1"/>
  <c r="Q320" i="20" s="1"/>
  <c r="R320" i="20" s="1"/>
  <c r="K174" i="16"/>
  <c r="O175" i="13"/>
  <c r="S175" i="13" s="1"/>
  <c r="L176" i="13" s="1"/>
  <c r="N174" i="16"/>
  <c r="J180" i="17"/>
  <c r="Q172" i="14"/>
  <c r="Q170" i="15"/>
  <c r="P170" i="15" s="1"/>
  <c r="R170" i="15" s="1"/>
  <c r="T170" i="15" s="1"/>
  <c r="M171" i="15" s="1"/>
  <c r="O320" i="20" l="1"/>
  <c r="S320" i="20" s="1"/>
  <c r="P320" i="20"/>
  <c r="T320" i="20" s="1"/>
  <c r="U320" i="20" s="1"/>
  <c r="M321" i="20" s="1"/>
  <c r="J174" i="16"/>
  <c r="Q174" i="16" s="1"/>
  <c r="P174" i="16" s="1"/>
  <c r="R174" i="16" s="1"/>
  <c r="T174" i="16" s="1"/>
  <c r="M175" i="16" s="1"/>
  <c r="N176" i="13"/>
  <c r="K176" i="13"/>
  <c r="Q180" i="17"/>
  <c r="P180" i="17" s="1"/>
  <c r="R180" i="17" s="1"/>
  <c r="T180" i="17" s="1"/>
  <c r="M181" i="17" s="1"/>
  <c r="P172" i="14"/>
  <c r="R172" i="14" s="1"/>
  <c r="T172" i="14" s="1"/>
  <c r="M173" i="14" s="1"/>
  <c r="O170" i="15"/>
  <c r="S170" i="15" s="1"/>
  <c r="L171" i="15" s="1"/>
  <c r="Q321" i="20" l="1"/>
  <c r="R321" i="20" s="1"/>
  <c r="O321" i="20"/>
  <c r="S321" i="20" s="1"/>
  <c r="J176" i="13"/>
  <c r="Q176" i="13" s="1"/>
  <c r="P176" i="13" s="1"/>
  <c r="R176" i="13" s="1"/>
  <c r="T176" i="13" s="1"/>
  <c r="M177" i="13" s="1"/>
  <c r="O180" i="17"/>
  <c r="S180" i="17" s="1"/>
  <c r="L181" i="17" s="1"/>
  <c r="N181" i="17" s="1"/>
  <c r="O174" i="16"/>
  <c r="S174" i="16" s="1"/>
  <c r="L175" i="16" s="1"/>
  <c r="K175" i="16" s="1"/>
  <c r="O172" i="14"/>
  <c r="S172" i="14" s="1"/>
  <c r="L173" i="14" s="1"/>
  <c r="N171" i="15"/>
  <c r="K171" i="15"/>
  <c r="P321" i="20" l="1"/>
  <c r="K181" i="17"/>
  <c r="J181" i="17" s="1"/>
  <c r="Q181" i="17" s="1"/>
  <c r="P181" i="17" s="1"/>
  <c r="O181" i="17" s="1"/>
  <c r="S181" i="17" s="1"/>
  <c r="L182" i="17" s="1"/>
  <c r="T321" i="20"/>
  <c r="U321" i="20" s="1"/>
  <c r="M322" i="20" s="1"/>
  <c r="J171" i="15"/>
  <c r="Q171" i="15" s="1"/>
  <c r="P171" i="15" s="1"/>
  <c r="O176" i="13"/>
  <c r="S176" i="13" s="1"/>
  <c r="L177" i="13" s="1"/>
  <c r="N173" i="14"/>
  <c r="K173" i="14"/>
  <c r="N175" i="16"/>
  <c r="J175" i="16" s="1"/>
  <c r="Q322" i="20" l="1"/>
  <c r="R322" i="20" s="1"/>
  <c r="O322" i="20"/>
  <c r="S322" i="20" s="1"/>
  <c r="R181" i="17"/>
  <c r="T181" i="17" s="1"/>
  <c r="M182" i="17" s="1"/>
  <c r="K182" i="17" s="1"/>
  <c r="O171" i="15"/>
  <c r="S171" i="15" s="1"/>
  <c r="L172" i="15" s="1"/>
  <c r="N172" i="15" s="1"/>
  <c r="R171" i="15"/>
  <c r="T171" i="15" s="1"/>
  <c r="M172" i="15" s="1"/>
  <c r="K177" i="13"/>
  <c r="N177" i="13"/>
  <c r="Q175" i="16"/>
  <c r="P175" i="16" s="1"/>
  <c r="J173" i="14"/>
  <c r="N182" i="17"/>
  <c r="P322" i="20" l="1"/>
  <c r="T322" i="20" s="1"/>
  <c r="U322" i="20" s="1"/>
  <c r="M323" i="20" s="1"/>
  <c r="J182" i="17"/>
  <c r="Q182" i="17" s="1"/>
  <c r="P182" i="17" s="1"/>
  <c r="R182" i="17" s="1"/>
  <c r="T182" i="17" s="1"/>
  <c r="M183" i="17" s="1"/>
  <c r="K172" i="15"/>
  <c r="J172" i="15" s="1"/>
  <c r="J177" i="13"/>
  <c r="Q177" i="13" s="1"/>
  <c r="P177" i="13" s="1"/>
  <c r="R177" i="13" s="1"/>
  <c r="T177" i="13" s="1"/>
  <c r="M178" i="13" s="1"/>
  <c r="O175" i="16"/>
  <c r="S175" i="16" s="1"/>
  <c r="L176" i="16" s="1"/>
  <c r="R175" i="16"/>
  <c r="T175" i="16" s="1"/>
  <c r="M176" i="16" s="1"/>
  <c r="Q173" i="14"/>
  <c r="P173" i="14" s="1"/>
  <c r="R173" i="14" s="1"/>
  <c r="T173" i="14" s="1"/>
  <c r="M174" i="14" s="1"/>
  <c r="Q323" i="20" l="1"/>
  <c r="R323" i="20" s="1"/>
  <c r="O323" i="20"/>
  <c r="S323" i="20" s="1"/>
  <c r="P323" i="20"/>
  <c r="O182" i="17"/>
  <c r="S182" i="17" s="1"/>
  <c r="L183" i="17" s="1"/>
  <c r="N183" i="17" s="1"/>
  <c r="O177" i="13"/>
  <c r="S177" i="13" s="1"/>
  <c r="L178" i="13" s="1"/>
  <c r="O173" i="14"/>
  <c r="S173" i="14" s="1"/>
  <c r="L174" i="14" s="1"/>
  <c r="K174" i="14" s="1"/>
  <c r="N176" i="16"/>
  <c r="K176" i="16"/>
  <c r="Q172" i="15"/>
  <c r="P172" i="15" s="1"/>
  <c r="T323" i="20" l="1"/>
  <c r="U323" i="20" s="1"/>
  <c r="M324" i="20" s="1"/>
  <c r="Q324" i="20" s="1"/>
  <c r="R324" i="20" s="1"/>
  <c r="K183" i="17"/>
  <c r="J183" i="17" s="1"/>
  <c r="Q183" i="17" s="1"/>
  <c r="N174" i="14"/>
  <c r="J174" i="14" s="1"/>
  <c r="J176" i="16"/>
  <c r="Q176" i="16" s="1"/>
  <c r="P176" i="16" s="1"/>
  <c r="R176" i="16" s="1"/>
  <c r="T176" i="16" s="1"/>
  <c r="M177" i="16" s="1"/>
  <c r="K178" i="13"/>
  <c r="N178" i="13"/>
  <c r="R172" i="15"/>
  <c r="T172" i="15" s="1"/>
  <c r="M173" i="15" s="1"/>
  <c r="O172" i="15"/>
  <c r="S172" i="15" s="1"/>
  <c r="L173" i="15" s="1"/>
  <c r="P324" i="20" l="1"/>
  <c r="O324" i="20"/>
  <c r="S324" i="20" s="1"/>
  <c r="T324" i="20" s="1"/>
  <c r="U324" i="20" s="1"/>
  <c r="M325" i="20" s="1"/>
  <c r="O176" i="16"/>
  <c r="S176" i="16" s="1"/>
  <c r="L177" i="16" s="1"/>
  <c r="N177" i="16" s="1"/>
  <c r="J178" i="13"/>
  <c r="Q174" i="14"/>
  <c r="P174" i="14" s="1"/>
  <c r="R174" i="14" s="1"/>
  <c r="T174" i="14" s="1"/>
  <c r="M175" i="14" s="1"/>
  <c r="P183" i="17"/>
  <c r="R183" i="17" s="1"/>
  <c r="T183" i="17" s="1"/>
  <c r="M184" i="17" s="1"/>
  <c r="N173" i="15"/>
  <c r="K173" i="15"/>
  <c r="Q325" i="20" l="1"/>
  <c r="R325" i="20" s="1"/>
  <c r="O325" i="20"/>
  <c r="S325" i="20" s="1"/>
  <c r="K177" i="16"/>
  <c r="J177" i="16" s="1"/>
  <c r="Q177" i="16" s="1"/>
  <c r="P177" i="16" s="1"/>
  <c r="R177" i="16" s="1"/>
  <c r="T177" i="16" s="1"/>
  <c r="M178" i="16" s="1"/>
  <c r="O174" i="14"/>
  <c r="S174" i="14" s="1"/>
  <c r="L175" i="14" s="1"/>
  <c r="N175" i="14" s="1"/>
  <c r="Q178" i="13"/>
  <c r="P178" i="13" s="1"/>
  <c r="R178" i="13" s="1"/>
  <c r="T178" i="13" s="1"/>
  <c r="M179" i="13" s="1"/>
  <c r="J173" i="15"/>
  <c r="Q173" i="15" s="1"/>
  <c r="P173" i="15" s="1"/>
  <c r="O173" i="15" s="1"/>
  <c r="S173" i="15" s="1"/>
  <c r="L174" i="15" s="1"/>
  <c r="O183" i="17"/>
  <c r="S183" i="17" s="1"/>
  <c r="L184" i="17" s="1"/>
  <c r="P325" i="20" l="1"/>
  <c r="T325" i="20" s="1"/>
  <c r="U325" i="20" s="1"/>
  <c r="M326" i="20" s="1"/>
  <c r="K175" i="14"/>
  <c r="J175" i="14" s="1"/>
  <c r="Q175" i="14" s="1"/>
  <c r="O177" i="16"/>
  <c r="S177" i="16" s="1"/>
  <c r="L178" i="16" s="1"/>
  <c r="K178" i="16" s="1"/>
  <c r="O178" i="13"/>
  <c r="S178" i="13" s="1"/>
  <c r="L179" i="13" s="1"/>
  <c r="K179" i="13" s="1"/>
  <c r="N184" i="17"/>
  <c r="K184" i="17"/>
  <c r="N174" i="15"/>
  <c r="R173" i="15"/>
  <c r="T173" i="15" s="1"/>
  <c r="M174" i="15" s="1"/>
  <c r="P175" i="14" l="1"/>
  <c r="R175" i="14" s="1"/>
  <c r="T175" i="14" s="1"/>
  <c r="M176" i="14" s="1"/>
  <c r="Q326" i="20"/>
  <c r="R326" i="20" s="1"/>
  <c r="P326" i="20"/>
  <c r="O326" i="20"/>
  <c r="S326" i="20" s="1"/>
  <c r="N178" i="16"/>
  <c r="J178" i="16" s="1"/>
  <c r="Q178" i="16" s="1"/>
  <c r="P178" i="16" s="1"/>
  <c r="R178" i="16" s="1"/>
  <c r="T178" i="16" s="1"/>
  <c r="M179" i="16" s="1"/>
  <c r="J184" i="17"/>
  <c r="Q184" i="17" s="1"/>
  <c r="P184" i="17" s="1"/>
  <c r="R184" i="17" s="1"/>
  <c r="T184" i="17" s="1"/>
  <c r="M185" i="17" s="1"/>
  <c r="N179" i="13"/>
  <c r="J179" i="13" s="1"/>
  <c r="K174" i="15"/>
  <c r="J174" i="15" s="1"/>
  <c r="O175" i="14" l="1"/>
  <c r="S175" i="14" s="1"/>
  <c r="L176" i="14" s="1"/>
  <c r="K176" i="14" s="1"/>
  <c r="T326" i="20"/>
  <c r="U326" i="20" s="1"/>
  <c r="M327" i="20" s="1"/>
  <c r="O184" i="17"/>
  <c r="S184" i="17" s="1"/>
  <c r="L185" i="17" s="1"/>
  <c r="N185" i="17" s="1"/>
  <c r="Q179" i="13"/>
  <c r="P179" i="13" s="1"/>
  <c r="R179" i="13" s="1"/>
  <c r="T179" i="13" s="1"/>
  <c r="M180" i="13" s="1"/>
  <c r="O178" i="16"/>
  <c r="S178" i="16" s="1"/>
  <c r="L179" i="16" s="1"/>
  <c r="K179" i="16" s="1"/>
  <c r="Q174" i="15"/>
  <c r="N176" i="14" l="1"/>
  <c r="J176" i="14" s="1"/>
  <c r="Q176" i="14" s="1"/>
  <c r="P176" i="14" s="1"/>
  <c r="R176" i="14" s="1"/>
  <c r="T176" i="14" s="1"/>
  <c r="M177" i="14" s="1"/>
  <c r="Q327" i="20"/>
  <c r="P327" i="20"/>
  <c r="O327" i="20"/>
  <c r="S327" i="20" s="1"/>
  <c r="K185" i="17"/>
  <c r="J185" i="17" s="1"/>
  <c r="Q185" i="17" s="1"/>
  <c r="O179" i="13"/>
  <c r="S179" i="13" s="1"/>
  <c r="L180" i="13" s="1"/>
  <c r="K180" i="13" s="1"/>
  <c r="N179" i="16"/>
  <c r="J179" i="16" s="1"/>
  <c r="P174" i="15"/>
  <c r="R174" i="15" s="1"/>
  <c r="T174" i="15" s="1"/>
  <c r="M175" i="15" s="1"/>
  <c r="T327" i="20" l="1"/>
  <c r="U327" i="20" s="1"/>
  <c r="N180" i="13"/>
  <c r="J180" i="13" s="1"/>
  <c r="P185" i="17"/>
  <c r="R185" i="17" s="1"/>
  <c r="T185" i="17" s="1"/>
  <c r="M186" i="17" s="1"/>
  <c r="O174" i="15"/>
  <c r="S174" i="15" s="1"/>
  <c r="L175" i="15" s="1"/>
  <c r="O176" i="14"/>
  <c r="S176" i="14" s="1"/>
  <c r="L177" i="14" s="1"/>
  <c r="Q179" i="16"/>
  <c r="P179" i="16" s="1"/>
  <c r="R179" i="16" s="1"/>
  <c r="T179" i="16" s="1"/>
  <c r="M180" i="16" s="1"/>
  <c r="M328" i="20" l="1"/>
  <c r="V327" i="20"/>
  <c r="R327" i="20" s="1"/>
  <c r="O185" i="17"/>
  <c r="S185" i="17" s="1"/>
  <c r="L186" i="17" s="1"/>
  <c r="Q180" i="13"/>
  <c r="P180" i="13" s="1"/>
  <c r="O179" i="16"/>
  <c r="S179" i="16" s="1"/>
  <c r="L180" i="16" s="1"/>
  <c r="K180" i="16" s="1"/>
  <c r="K175" i="15"/>
  <c r="N175" i="15"/>
  <c r="K177" i="14"/>
  <c r="N177" i="14"/>
  <c r="Q328" i="20" l="1"/>
  <c r="R328" i="20" s="1"/>
  <c r="O328" i="20"/>
  <c r="S328" i="20" s="1"/>
  <c r="P328" i="20"/>
  <c r="T328" i="20" s="1"/>
  <c r="U328" i="20" s="1"/>
  <c r="M329" i="20" s="1"/>
  <c r="R180" i="13"/>
  <c r="T180" i="13" s="1"/>
  <c r="M181" i="13" s="1"/>
  <c r="O180" i="13"/>
  <c r="S180" i="13" s="1"/>
  <c r="L181" i="13" s="1"/>
  <c r="N186" i="17"/>
  <c r="K186" i="17"/>
  <c r="N180" i="16"/>
  <c r="J180" i="16" s="1"/>
  <c r="J175" i="15"/>
  <c r="J177" i="14"/>
  <c r="Q329" i="20" l="1"/>
  <c r="R329" i="20" s="1"/>
  <c r="O329" i="20"/>
  <c r="S329" i="20" s="1"/>
  <c r="P329" i="20"/>
  <c r="T329" i="20" s="1"/>
  <c r="U329" i="20" s="1"/>
  <c r="M330" i="20" s="1"/>
  <c r="K181" i="13"/>
  <c r="J186" i="17"/>
  <c r="Q186" i="17" s="1"/>
  <c r="P186" i="17" s="1"/>
  <c r="R186" i="17" s="1"/>
  <c r="T186" i="17" s="1"/>
  <c r="M187" i="17" s="1"/>
  <c r="N181" i="13"/>
  <c r="Q180" i="16"/>
  <c r="P180" i="16" s="1"/>
  <c r="R180" i="16" s="1"/>
  <c r="T180" i="16" s="1"/>
  <c r="M181" i="16" s="1"/>
  <c r="Q175" i="15"/>
  <c r="P175" i="15" s="1"/>
  <c r="R175" i="15" s="1"/>
  <c r="T175" i="15" s="1"/>
  <c r="M176" i="15" s="1"/>
  <c r="Q177" i="14"/>
  <c r="P177" i="14" s="1"/>
  <c r="R177" i="14" s="1"/>
  <c r="T177" i="14" s="1"/>
  <c r="M178" i="14" s="1"/>
  <c r="J181" i="13" l="1"/>
  <c r="Q181" i="13" s="1"/>
  <c r="P181" i="13" s="1"/>
  <c r="R181" i="13" s="1"/>
  <c r="T181" i="13" s="1"/>
  <c r="M182" i="13" s="1"/>
  <c r="Q330" i="20"/>
  <c r="R330" i="20" s="1"/>
  <c r="O330" i="20"/>
  <c r="S330" i="20" s="1"/>
  <c r="P330" i="20"/>
  <c r="T330" i="20" s="1"/>
  <c r="U330" i="20" s="1"/>
  <c r="M331" i="20" s="1"/>
  <c r="O180" i="16"/>
  <c r="S180" i="16" s="1"/>
  <c r="L181" i="16" s="1"/>
  <c r="N181" i="16" s="1"/>
  <c r="O186" i="17"/>
  <c r="S186" i="17" s="1"/>
  <c r="L187" i="17" s="1"/>
  <c r="O177" i="14"/>
  <c r="S177" i="14" s="1"/>
  <c r="L178" i="14" s="1"/>
  <c r="K178" i="14" s="1"/>
  <c r="O175" i="15"/>
  <c r="S175" i="15" s="1"/>
  <c r="L176" i="15" s="1"/>
  <c r="Q331" i="20" l="1"/>
  <c r="R331" i="20" s="1"/>
  <c r="O331" i="20"/>
  <c r="S331" i="20" s="1"/>
  <c r="P331" i="20"/>
  <c r="T331" i="20" s="1"/>
  <c r="U331" i="20" s="1"/>
  <c r="M332" i="20" s="1"/>
  <c r="K181" i="16"/>
  <c r="J181" i="16" s="1"/>
  <c r="Q181" i="16" s="1"/>
  <c r="P181" i="16" s="1"/>
  <c r="N187" i="17"/>
  <c r="K187" i="17"/>
  <c r="N178" i="14"/>
  <c r="J178" i="14" s="1"/>
  <c r="Q178" i="14" s="1"/>
  <c r="O181" i="13"/>
  <c r="S181" i="13" s="1"/>
  <c r="L182" i="13" s="1"/>
  <c r="N176" i="15"/>
  <c r="K176" i="15"/>
  <c r="Q332" i="20" l="1"/>
  <c r="R332" i="20" s="1"/>
  <c r="O332" i="20"/>
  <c r="S332" i="20" s="1"/>
  <c r="P332" i="20"/>
  <c r="T332" i="20" s="1"/>
  <c r="U332" i="20" s="1"/>
  <c r="M333" i="20" s="1"/>
  <c r="J187" i="17"/>
  <c r="Q187" i="17" s="1"/>
  <c r="P187" i="17" s="1"/>
  <c r="R187" i="17" s="1"/>
  <c r="T187" i="17" s="1"/>
  <c r="M188" i="17" s="1"/>
  <c r="J176" i="15"/>
  <c r="Q176" i="15" s="1"/>
  <c r="P176" i="15" s="1"/>
  <c r="N182" i="13"/>
  <c r="K182" i="13"/>
  <c r="P178" i="14"/>
  <c r="R178" i="14" s="1"/>
  <c r="T178" i="14" s="1"/>
  <c r="M179" i="14" s="1"/>
  <c r="R181" i="16"/>
  <c r="T181" i="16" s="1"/>
  <c r="M182" i="16" s="1"/>
  <c r="O181" i="16"/>
  <c r="S181" i="16" s="1"/>
  <c r="L182" i="16" s="1"/>
  <c r="Q333" i="20" l="1"/>
  <c r="R333" i="20" s="1"/>
  <c r="O333" i="20"/>
  <c r="S333" i="20" s="1"/>
  <c r="P333" i="20"/>
  <c r="T333" i="20" s="1"/>
  <c r="U333" i="20" s="1"/>
  <c r="M334" i="20" s="1"/>
  <c r="O187" i="17"/>
  <c r="S187" i="17" s="1"/>
  <c r="L188" i="17" s="1"/>
  <c r="J182" i="13"/>
  <c r="Q182" i="13" s="1"/>
  <c r="P182" i="13" s="1"/>
  <c r="O182" i="13" s="1"/>
  <c r="S182" i="13" s="1"/>
  <c r="L183" i="13" s="1"/>
  <c r="O176" i="15"/>
  <c r="S176" i="15" s="1"/>
  <c r="L177" i="15" s="1"/>
  <c r="R176" i="15"/>
  <c r="T176" i="15" s="1"/>
  <c r="M177" i="15" s="1"/>
  <c r="O178" i="14"/>
  <c r="S178" i="14" s="1"/>
  <c r="L179" i="14" s="1"/>
  <c r="K182" i="16"/>
  <c r="N182" i="16"/>
  <c r="Q334" i="20" l="1"/>
  <c r="R334" i="20" s="1"/>
  <c r="O334" i="20"/>
  <c r="S334" i="20" s="1"/>
  <c r="P334" i="20"/>
  <c r="N188" i="17"/>
  <c r="K188" i="17"/>
  <c r="N183" i="13"/>
  <c r="R182" i="13"/>
  <c r="T182" i="13" s="1"/>
  <c r="M183" i="13" s="1"/>
  <c r="K183" i="13" s="1"/>
  <c r="K179" i="14"/>
  <c r="N179" i="14"/>
  <c r="N177" i="15"/>
  <c r="K177" i="15"/>
  <c r="J182" i="16"/>
  <c r="J188" i="17" l="1"/>
  <c r="Q188" i="17" s="1"/>
  <c r="P188" i="17" s="1"/>
  <c r="R188" i="17" s="1"/>
  <c r="T188" i="17" s="1"/>
  <c r="M189" i="17" s="1"/>
  <c r="T334" i="20"/>
  <c r="U334" i="20" s="1"/>
  <c r="M335" i="20" s="1"/>
  <c r="Q335" i="20" s="1"/>
  <c r="J183" i="13"/>
  <c r="Q183" i="13" s="1"/>
  <c r="P183" i="13" s="1"/>
  <c r="J177" i="15"/>
  <c r="Q177" i="15" s="1"/>
  <c r="P177" i="15" s="1"/>
  <c r="R177" i="15" s="1"/>
  <c r="T177" i="15" s="1"/>
  <c r="M178" i="15" s="1"/>
  <c r="J179" i="14"/>
  <c r="Q182" i="16"/>
  <c r="P182" i="16" s="1"/>
  <c r="O188" i="17" l="1"/>
  <c r="S188" i="17" s="1"/>
  <c r="L189" i="17" s="1"/>
  <c r="N189" i="17" s="1"/>
  <c r="O335" i="20"/>
  <c r="S335" i="20" s="1"/>
  <c r="R335" i="20"/>
  <c r="P335" i="20"/>
  <c r="T335" i="20" s="1"/>
  <c r="U335" i="20" s="1"/>
  <c r="M336" i="20" s="1"/>
  <c r="O336" i="20" s="1"/>
  <c r="S336" i="20" s="1"/>
  <c r="R183" i="13"/>
  <c r="T183" i="13" s="1"/>
  <c r="M184" i="13" s="1"/>
  <c r="O183" i="13"/>
  <c r="S183" i="13" s="1"/>
  <c r="L184" i="13" s="1"/>
  <c r="O177" i="15"/>
  <c r="S177" i="15" s="1"/>
  <c r="L178" i="15" s="1"/>
  <c r="Q179" i="14"/>
  <c r="P179" i="14" s="1"/>
  <c r="R179" i="14" s="1"/>
  <c r="T179" i="14" s="1"/>
  <c r="M180" i="14" s="1"/>
  <c r="R182" i="16"/>
  <c r="T182" i="16" s="1"/>
  <c r="M183" i="16" s="1"/>
  <c r="O182" i="16"/>
  <c r="S182" i="16" s="1"/>
  <c r="L183" i="16" s="1"/>
  <c r="K189" i="17" l="1"/>
  <c r="J189" i="17" s="1"/>
  <c r="Q189" i="17" s="1"/>
  <c r="P189" i="17" s="1"/>
  <c r="R189" i="17" s="1"/>
  <c r="T189" i="17" s="1"/>
  <c r="M190" i="17" s="1"/>
  <c r="Q336" i="20"/>
  <c r="R336" i="20" s="1"/>
  <c r="N184" i="13"/>
  <c r="K184" i="13"/>
  <c r="O179" i="14"/>
  <c r="S179" i="14" s="1"/>
  <c r="L180" i="14" s="1"/>
  <c r="N178" i="15"/>
  <c r="K178" i="15"/>
  <c r="K183" i="16"/>
  <c r="N183" i="16"/>
  <c r="P336" i="20" l="1"/>
  <c r="T336" i="20" s="1"/>
  <c r="U336" i="20" s="1"/>
  <c r="M337" i="20" s="1"/>
  <c r="J178" i="15"/>
  <c r="Q178" i="15" s="1"/>
  <c r="P178" i="15" s="1"/>
  <c r="O178" i="15" s="1"/>
  <c r="S178" i="15" s="1"/>
  <c r="L179" i="15" s="1"/>
  <c r="J184" i="13"/>
  <c r="Q184" i="13" s="1"/>
  <c r="P184" i="13" s="1"/>
  <c r="O189" i="17"/>
  <c r="S189" i="17" s="1"/>
  <c r="L190" i="17" s="1"/>
  <c r="K180" i="14"/>
  <c r="N180" i="14"/>
  <c r="J183" i="16"/>
  <c r="O337" i="20" l="1"/>
  <c r="S337" i="20" s="1"/>
  <c r="Q337" i="20"/>
  <c r="R178" i="15"/>
  <c r="T178" i="15" s="1"/>
  <c r="M179" i="15" s="1"/>
  <c r="K179" i="15" s="1"/>
  <c r="R184" i="13"/>
  <c r="T184" i="13" s="1"/>
  <c r="M185" i="13" s="1"/>
  <c r="O184" i="13"/>
  <c r="S184" i="13" s="1"/>
  <c r="L185" i="13" s="1"/>
  <c r="J180" i="14"/>
  <c r="N179" i="15"/>
  <c r="K190" i="17"/>
  <c r="N190" i="17"/>
  <c r="Q183" i="16"/>
  <c r="P183" i="16" s="1"/>
  <c r="R183" i="16" s="1"/>
  <c r="T183" i="16" s="1"/>
  <c r="M184" i="16" s="1"/>
  <c r="R337" i="20" l="1"/>
  <c r="P337" i="20"/>
  <c r="T337" i="20" s="1"/>
  <c r="U337" i="20" s="1"/>
  <c r="M338" i="20" s="1"/>
  <c r="N185" i="13"/>
  <c r="K185" i="13"/>
  <c r="J179" i="15"/>
  <c r="J190" i="17"/>
  <c r="Q180" i="14"/>
  <c r="P180" i="14" s="1"/>
  <c r="R180" i="14" s="1"/>
  <c r="T180" i="14" s="1"/>
  <c r="M181" i="14" s="1"/>
  <c r="O183" i="16"/>
  <c r="S183" i="16" s="1"/>
  <c r="L184" i="16" s="1"/>
  <c r="N184" i="16" s="1"/>
  <c r="Q338" i="20" l="1"/>
  <c r="R338" i="20" s="1"/>
  <c r="O338" i="20"/>
  <c r="S338" i="20" s="1"/>
  <c r="J185" i="13"/>
  <c r="Q185" i="13" s="1"/>
  <c r="P185" i="13" s="1"/>
  <c r="R185" i="13" s="1"/>
  <c r="T185" i="13" s="1"/>
  <c r="M186" i="13" s="1"/>
  <c r="O180" i="14"/>
  <c r="S180" i="14" s="1"/>
  <c r="L181" i="14" s="1"/>
  <c r="Q190" i="17"/>
  <c r="P190" i="17" s="1"/>
  <c r="R190" i="17" s="1"/>
  <c r="T190" i="17" s="1"/>
  <c r="M191" i="17" s="1"/>
  <c r="K184" i="16"/>
  <c r="J184" i="16" s="1"/>
  <c r="Q184" i="16" s="1"/>
  <c r="Q179" i="15"/>
  <c r="P179" i="15" s="1"/>
  <c r="R179" i="15" s="1"/>
  <c r="T179" i="15" s="1"/>
  <c r="M180" i="15" s="1"/>
  <c r="P338" i="20" l="1"/>
  <c r="T338" i="20" s="1"/>
  <c r="U338" i="20" s="1"/>
  <c r="M339" i="20" s="1"/>
  <c r="O190" i="17"/>
  <c r="S190" i="17" s="1"/>
  <c r="L191" i="17" s="1"/>
  <c r="K191" i="17" s="1"/>
  <c r="O185" i="13"/>
  <c r="S185" i="13" s="1"/>
  <c r="L186" i="13" s="1"/>
  <c r="P184" i="16"/>
  <c r="R184" i="16" s="1"/>
  <c r="T184" i="16" s="1"/>
  <c r="M185" i="16" s="1"/>
  <c r="O179" i="15"/>
  <c r="S179" i="15" s="1"/>
  <c r="L180" i="15" s="1"/>
  <c r="N181" i="14"/>
  <c r="K181" i="14"/>
  <c r="Q339" i="20" l="1"/>
  <c r="P339" i="20"/>
  <c r="O339" i="20"/>
  <c r="S339" i="20" s="1"/>
  <c r="N191" i="17"/>
  <c r="J191" i="17" s="1"/>
  <c r="Q191" i="17" s="1"/>
  <c r="P191" i="17" s="1"/>
  <c r="J181" i="14"/>
  <c r="Q181" i="14" s="1"/>
  <c r="P181" i="14" s="1"/>
  <c r="R181" i="14" s="1"/>
  <c r="T181" i="14" s="1"/>
  <c r="M182" i="14" s="1"/>
  <c r="K186" i="13"/>
  <c r="N186" i="13"/>
  <c r="K180" i="15"/>
  <c r="N180" i="15"/>
  <c r="O184" i="16"/>
  <c r="S184" i="16" s="1"/>
  <c r="L185" i="16" s="1"/>
  <c r="T339" i="20" l="1"/>
  <c r="U339" i="20" s="1"/>
  <c r="V339" i="20" s="1"/>
  <c r="R339" i="20" s="1"/>
  <c r="R191" i="17"/>
  <c r="T191" i="17" s="1"/>
  <c r="M192" i="17" s="1"/>
  <c r="O191" i="17"/>
  <c r="S191" i="17" s="1"/>
  <c r="L192" i="17" s="1"/>
  <c r="O181" i="14"/>
  <c r="S181" i="14" s="1"/>
  <c r="L182" i="14" s="1"/>
  <c r="N182" i="14" s="1"/>
  <c r="J186" i="13"/>
  <c r="N185" i="16"/>
  <c r="K185" i="16"/>
  <c r="J180" i="15"/>
  <c r="M340" i="20" l="1"/>
  <c r="K192" i="17"/>
  <c r="N192" i="17"/>
  <c r="K182" i="14"/>
  <c r="J182" i="14" s="1"/>
  <c r="Q182" i="14" s="1"/>
  <c r="P182" i="14" s="1"/>
  <c r="R182" i="14" s="1"/>
  <c r="T182" i="14" s="1"/>
  <c r="M183" i="14" s="1"/>
  <c r="Q186" i="13"/>
  <c r="P186" i="13" s="1"/>
  <c r="R186" i="13" s="1"/>
  <c r="T186" i="13" s="1"/>
  <c r="M187" i="13" s="1"/>
  <c r="J185" i="16"/>
  <c r="Q185" i="16" s="1"/>
  <c r="P185" i="16" s="1"/>
  <c r="O185" i="16" s="1"/>
  <c r="S185" i="16" s="1"/>
  <c r="L186" i="16" s="1"/>
  <c r="N186" i="16" s="1"/>
  <c r="Q180" i="15"/>
  <c r="P180" i="15" s="1"/>
  <c r="R180" i="15" s="1"/>
  <c r="T180" i="15" s="1"/>
  <c r="M181" i="15" s="1"/>
  <c r="J192" i="17" l="1"/>
  <c r="Q192" i="17" s="1"/>
  <c r="P192" i="17" s="1"/>
  <c r="R192" i="17" s="1"/>
  <c r="T192" i="17" s="1"/>
  <c r="M193" i="17" s="1"/>
  <c r="Q340" i="20"/>
  <c r="R340" i="20" s="1"/>
  <c r="O340" i="20"/>
  <c r="S340" i="20" s="1"/>
  <c r="P340" i="20"/>
  <c r="O180" i="15"/>
  <c r="S180" i="15" s="1"/>
  <c r="L181" i="15" s="1"/>
  <c r="K181" i="15" s="1"/>
  <c r="O186" i="13"/>
  <c r="S186" i="13" s="1"/>
  <c r="L187" i="13" s="1"/>
  <c r="O182" i="14"/>
  <c r="S182" i="14" s="1"/>
  <c r="L183" i="14" s="1"/>
  <c r="R185" i="16"/>
  <c r="T185" i="16" s="1"/>
  <c r="M186" i="16" s="1"/>
  <c r="K186" i="16" s="1"/>
  <c r="J186" i="16" s="1"/>
  <c r="Q186" i="16" s="1"/>
  <c r="O192" i="17" l="1"/>
  <c r="S192" i="17" s="1"/>
  <c r="L193" i="17" s="1"/>
  <c r="N193" i="17" s="1"/>
  <c r="T340" i="20"/>
  <c r="U340" i="20" s="1"/>
  <c r="M341" i="20" s="1"/>
  <c r="Q341" i="20" s="1"/>
  <c r="N181" i="15"/>
  <c r="J181" i="15" s="1"/>
  <c r="K187" i="13"/>
  <c r="N187" i="13"/>
  <c r="N183" i="14"/>
  <c r="K183" i="14"/>
  <c r="P186" i="16"/>
  <c r="R186" i="16" s="1"/>
  <c r="T186" i="16" s="1"/>
  <c r="M187" i="16" s="1"/>
  <c r="K193" i="17" l="1"/>
  <c r="J193" i="17" s="1"/>
  <c r="Q193" i="17" s="1"/>
  <c r="P193" i="17" s="1"/>
  <c r="R193" i="17" s="1"/>
  <c r="T193" i="17" s="1"/>
  <c r="M194" i="17" s="1"/>
  <c r="O341" i="20"/>
  <c r="S341" i="20" s="1"/>
  <c r="R341" i="20"/>
  <c r="P341" i="20"/>
  <c r="T341" i="20" s="1"/>
  <c r="U341" i="20" s="1"/>
  <c r="M342" i="20" s="1"/>
  <c r="J183" i="14"/>
  <c r="Q183" i="14" s="1"/>
  <c r="P183" i="14" s="1"/>
  <c r="R183" i="14" s="1"/>
  <c r="T183" i="14" s="1"/>
  <c r="M184" i="14" s="1"/>
  <c r="J187" i="13"/>
  <c r="Q187" i="13" s="1"/>
  <c r="Q181" i="15"/>
  <c r="P181" i="15" s="1"/>
  <c r="R181" i="15" s="1"/>
  <c r="T181" i="15" s="1"/>
  <c r="M182" i="15" s="1"/>
  <c r="O186" i="16"/>
  <c r="S186" i="16" s="1"/>
  <c r="L187" i="16" s="1"/>
  <c r="K187" i="16" s="1"/>
  <c r="O193" i="17" l="1"/>
  <c r="S193" i="17" s="1"/>
  <c r="L194" i="17" s="1"/>
  <c r="N194" i="17" s="1"/>
  <c r="O183" i="14"/>
  <c r="S183" i="14" s="1"/>
  <c r="L184" i="14" s="1"/>
  <c r="N184" i="14" s="1"/>
  <c r="Q342" i="20"/>
  <c r="R342" i="20" s="1"/>
  <c r="O342" i="20"/>
  <c r="S342" i="20" s="1"/>
  <c r="N187" i="16"/>
  <c r="J187" i="16" s="1"/>
  <c r="P187" i="13"/>
  <c r="R187" i="13" s="1"/>
  <c r="T187" i="13" s="1"/>
  <c r="M188" i="13" s="1"/>
  <c r="O181" i="15"/>
  <c r="S181" i="15" s="1"/>
  <c r="L182" i="15" s="1"/>
  <c r="K194" i="17" l="1"/>
  <c r="J194" i="17" s="1"/>
  <c r="Q194" i="17" s="1"/>
  <c r="P194" i="17" s="1"/>
  <c r="K184" i="14"/>
  <c r="J184" i="14" s="1"/>
  <c r="P342" i="20"/>
  <c r="T342" i="20" s="1"/>
  <c r="U342" i="20" s="1"/>
  <c r="M343" i="20" s="1"/>
  <c r="O187" i="13"/>
  <c r="S187" i="13" s="1"/>
  <c r="L188" i="13" s="1"/>
  <c r="N182" i="15"/>
  <c r="K182" i="15"/>
  <c r="Q187" i="16"/>
  <c r="P187" i="16" s="1"/>
  <c r="R187" i="16" s="1"/>
  <c r="T187" i="16" s="1"/>
  <c r="M188" i="16" s="1"/>
  <c r="Q343" i="20" l="1"/>
  <c r="R343" i="20" s="1"/>
  <c r="P343" i="20"/>
  <c r="O343" i="20"/>
  <c r="S343" i="20" s="1"/>
  <c r="J182" i="15"/>
  <c r="Q182" i="15" s="1"/>
  <c r="K188" i="13"/>
  <c r="N188" i="13"/>
  <c r="O194" i="17"/>
  <c r="S194" i="17" s="1"/>
  <c r="L195" i="17" s="1"/>
  <c r="R194" i="17"/>
  <c r="T194" i="17" s="1"/>
  <c r="M195" i="17" s="1"/>
  <c r="O187" i="16"/>
  <c r="S187" i="16" s="1"/>
  <c r="L188" i="16" s="1"/>
  <c r="Q184" i="14"/>
  <c r="P184" i="14" s="1"/>
  <c r="T343" i="20" l="1"/>
  <c r="U343" i="20" s="1"/>
  <c r="M344" i="20" s="1"/>
  <c r="Q344" i="20" s="1"/>
  <c r="R344" i="20" s="1"/>
  <c r="J188" i="13"/>
  <c r="P182" i="15"/>
  <c r="R182" i="15" s="1"/>
  <c r="T182" i="15" s="1"/>
  <c r="M183" i="15" s="1"/>
  <c r="R184" i="14"/>
  <c r="T184" i="14" s="1"/>
  <c r="M185" i="14" s="1"/>
  <c r="O184" i="14"/>
  <c r="S184" i="14" s="1"/>
  <c r="L185" i="14" s="1"/>
  <c r="N195" i="17"/>
  <c r="K195" i="17"/>
  <c r="K188" i="16"/>
  <c r="N188" i="16"/>
  <c r="O344" i="20" l="1"/>
  <c r="S344" i="20" s="1"/>
  <c r="P344" i="20"/>
  <c r="T344" i="20" s="1"/>
  <c r="U344" i="20" s="1"/>
  <c r="M345" i="20" s="1"/>
  <c r="Q345" i="20" s="1"/>
  <c r="R345" i="20" s="1"/>
  <c r="O182" i="15"/>
  <c r="S182" i="15" s="1"/>
  <c r="L183" i="15" s="1"/>
  <c r="N183" i="15" s="1"/>
  <c r="J195" i="17"/>
  <c r="Q195" i="17" s="1"/>
  <c r="P195" i="17" s="1"/>
  <c r="Q188" i="13"/>
  <c r="J188" i="16"/>
  <c r="K185" i="14"/>
  <c r="N185" i="14"/>
  <c r="K183" i="15" l="1"/>
  <c r="J183" i="15" s="1"/>
  <c r="Q183" i="15" s="1"/>
  <c r="P183" i="15" s="1"/>
  <c r="R183" i="15" s="1"/>
  <c r="T183" i="15" s="1"/>
  <c r="M184" i="15" s="1"/>
  <c r="P345" i="20"/>
  <c r="O345" i="20"/>
  <c r="S345" i="20" s="1"/>
  <c r="P188" i="13"/>
  <c r="R188" i="13" s="1"/>
  <c r="T188" i="13" s="1"/>
  <c r="M189" i="13" s="1"/>
  <c r="O195" i="17"/>
  <c r="S195" i="17" s="1"/>
  <c r="L196" i="17" s="1"/>
  <c r="R195" i="17"/>
  <c r="T195" i="17" s="1"/>
  <c r="M196" i="17" s="1"/>
  <c r="Q188" i="16"/>
  <c r="P188" i="16" s="1"/>
  <c r="R188" i="16" s="1"/>
  <c r="T188" i="16" s="1"/>
  <c r="M189" i="16" s="1"/>
  <c r="J185" i="14"/>
  <c r="T345" i="20" l="1"/>
  <c r="U345" i="20" s="1"/>
  <c r="M346" i="20" s="1"/>
  <c r="O183" i="15"/>
  <c r="S183" i="15" s="1"/>
  <c r="L184" i="15" s="1"/>
  <c r="K184" i="15" s="1"/>
  <c r="O188" i="16"/>
  <c r="S188" i="16" s="1"/>
  <c r="L189" i="16" s="1"/>
  <c r="N189" i="16" s="1"/>
  <c r="O188" i="13"/>
  <c r="S188" i="13" s="1"/>
  <c r="L189" i="13" s="1"/>
  <c r="Q185" i="14"/>
  <c r="P185" i="14" s="1"/>
  <c r="R185" i="14" s="1"/>
  <c r="T185" i="14" s="1"/>
  <c r="M186" i="14" s="1"/>
  <c r="K196" i="17"/>
  <c r="N196" i="17"/>
  <c r="Q346" i="20" l="1"/>
  <c r="R346" i="20" s="1"/>
  <c r="O346" i="20"/>
  <c r="S346" i="20" s="1"/>
  <c r="N184" i="15"/>
  <c r="J184" i="15" s="1"/>
  <c r="K189" i="16"/>
  <c r="J189" i="16" s="1"/>
  <c r="N189" i="13"/>
  <c r="K189" i="13"/>
  <c r="J196" i="17"/>
  <c r="O185" i="14"/>
  <c r="S185" i="14" s="1"/>
  <c r="L186" i="14" s="1"/>
  <c r="P346" i="20" l="1"/>
  <c r="T346" i="20" s="1"/>
  <c r="U346" i="20" s="1"/>
  <c r="M347" i="20" s="1"/>
  <c r="O347" i="20" s="1"/>
  <c r="S347" i="20" s="1"/>
  <c r="J189" i="13"/>
  <c r="Q189" i="13" s="1"/>
  <c r="P189" i="13" s="1"/>
  <c r="R189" i="13" s="1"/>
  <c r="T189" i="13" s="1"/>
  <c r="M190" i="13" s="1"/>
  <c r="Q184" i="15"/>
  <c r="P184" i="15" s="1"/>
  <c r="R184" i="15" s="1"/>
  <c r="T184" i="15" s="1"/>
  <c r="M185" i="15" s="1"/>
  <c r="Q189" i="16"/>
  <c r="P189" i="16" s="1"/>
  <c r="R189" i="16" s="1"/>
  <c r="T189" i="16" s="1"/>
  <c r="M190" i="16" s="1"/>
  <c r="N186" i="14"/>
  <c r="K186" i="14"/>
  <c r="Q196" i="17"/>
  <c r="P196" i="17" s="1"/>
  <c r="Q347" i="20" l="1"/>
  <c r="R347" i="20" s="1"/>
  <c r="P347" i="20"/>
  <c r="T347" i="20" s="1"/>
  <c r="U347" i="20" s="1"/>
  <c r="M348" i="20" s="1"/>
  <c r="O189" i="13"/>
  <c r="S189" i="13" s="1"/>
  <c r="L190" i="13" s="1"/>
  <c r="K190" i="13" s="1"/>
  <c r="O184" i="15"/>
  <c r="S184" i="15" s="1"/>
  <c r="L185" i="15" s="1"/>
  <c r="K185" i="15" s="1"/>
  <c r="J186" i="14"/>
  <c r="Q186" i="14" s="1"/>
  <c r="P186" i="14" s="1"/>
  <c r="R186" i="14" s="1"/>
  <c r="T186" i="14" s="1"/>
  <c r="M187" i="14" s="1"/>
  <c r="R196" i="17"/>
  <c r="T196" i="17" s="1"/>
  <c r="M197" i="17" s="1"/>
  <c r="O196" i="17"/>
  <c r="S196" i="17" s="1"/>
  <c r="L197" i="17" s="1"/>
  <c r="O189" i="16"/>
  <c r="S189" i="16" s="1"/>
  <c r="L190" i="16" s="1"/>
  <c r="Q348" i="20" l="1"/>
  <c r="O348" i="20"/>
  <c r="S348" i="20" s="1"/>
  <c r="N185" i="15"/>
  <c r="J185" i="15" s="1"/>
  <c r="N190" i="13"/>
  <c r="J190" i="13" s="1"/>
  <c r="K190" i="16"/>
  <c r="N190" i="16"/>
  <c r="O186" i="14"/>
  <c r="S186" i="14" s="1"/>
  <c r="L187" i="14" s="1"/>
  <c r="K197" i="17"/>
  <c r="N197" i="17"/>
  <c r="R348" i="20" l="1"/>
  <c r="P348" i="20"/>
  <c r="T348" i="20" s="1"/>
  <c r="U348" i="20" s="1"/>
  <c r="M349" i="20" s="1"/>
  <c r="Q190" i="13"/>
  <c r="P190" i="13" s="1"/>
  <c r="R190" i="13" s="1"/>
  <c r="T190" i="13" s="1"/>
  <c r="M191" i="13" s="1"/>
  <c r="J190" i="16"/>
  <c r="Q190" i="16" s="1"/>
  <c r="P190" i="16" s="1"/>
  <c r="R190" i="16" s="1"/>
  <c r="T190" i="16" s="1"/>
  <c r="M191" i="16" s="1"/>
  <c r="Q185" i="15"/>
  <c r="P185" i="15" s="1"/>
  <c r="J197" i="17"/>
  <c r="K187" i="14"/>
  <c r="N187" i="14"/>
  <c r="Q349" i="20" l="1"/>
  <c r="R349" i="20" s="1"/>
  <c r="O349" i="20"/>
  <c r="S349" i="20" s="1"/>
  <c r="P349" i="20"/>
  <c r="T349" i="20" s="1"/>
  <c r="U349" i="20" s="1"/>
  <c r="M350" i="20" s="1"/>
  <c r="O190" i="13"/>
  <c r="S190" i="13" s="1"/>
  <c r="L191" i="13" s="1"/>
  <c r="R185" i="15"/>
  <c r="T185" i="15" s="1"/>
  <c r="M186" i="15" s="1"/>
  <c r="O185" i="15"/>
  <c r="S185" i="15" s="1"/>
  <c r="L186" i="15" s="1"/>
  <c r="Q197" i="17"/>
  <c r="P197" i="17" s="1"/>
  <c r="R197" i="17" s="1"/>
  <c r="T197" i="17" s="1"/>
  <c r="M198" i="17" s="1"/>
  <c r="O190" i="16"/>
  <c r="S190" i="16" s="1"/>
  <c r="L191" i="16" s="1"/>
  <c r="J187" i="14"/>
  <c r="Q350" i="20" l="1"/>
  <c r="R350" i="20" s="1"/>
  <c r="O350" i="20"/>
  <c r="S350" i="20" s="1"/>
  <c r="N191" i="13"/>
  <c r="K191" i="13"/>
  <c r="K186" i="15"/>
  <c r="N186" i="15"/>
  <c r="Q187" i="14"/>
  <c r="P187" i="14" s="1"/>
  <c r="R187" i="14" s="1"/>
  <c r="T187" i="14" s="1"/>
  <c r="M188" i="14" s="1"/>
  <c r="O197" i="17"/>
  <c r="S197" i="17" s="1"/>
  <c r="L198" i="17" s="1"/>
  <c r="K191" i="16"/>
  <c r="N191" i="16"/>
  <c r="P350" i="20" l="1"/>
  <c r="T350" i="20" s="1"/>
  <c r="U350" i="20" s="1"/>
  <c r="M351" i="20" s="1"/>
  <c r="J191" i="13"/>
  <c r="Q191" i="13" s="1"/>
  <c r="P191" i="13" s="1"/>
  <c r="R191" i="13" s="1"/>
  <c r="T191" i="13" s="1"/>
  <c r="M192" i="13" s="1"/>
  <c r="J186" i="15"/>
  <c r="J191" i="16"/>
  <c r="O187" i="14"/>
  <c r="S187" i="14" s="1"/>
  <c r="L188" i="14" s="1"/>
  <c r="N198" i="17"/>
  <c r="K198" i="17"/>
  <c r="Q351" i="20" l="1"/>
  <c r="P351" i="20" s="1"/>
  <c r="O351" i="20"/>
  <c r="S351" i="20" s="1"/>
  <c r="O191" i="13"/>
  <c r="S191" i="13" s="1"/>
  <c r="L192" i="13" s="1"/>
  <c r="J198" i="17"/>
  <c r="Q198" i="17" s="1"/>
  <c r="Q186" i="15"/>
  <c r="P186" i="15" s="1"/>
  <c r="R186" i="15" s="1"/>
  <c r="T186" i="15" s="1"/>
  <c r="M187" i="15" s="1"/>
  <c r="N188" i="14"/>
  <c r="K188" i="14"/>
  <c r="Q191" i="16"/>
  <c r="P191" i="16" s="1"/>
  <c r="R191" i="16" s="1"/>
  <c r="T191" i="16" s="1"/>
  <c r="M192" i="16" s="1"/>
  <c r="T351" i="20" l="1"/>
  <c r="U351" i="20" s="1"/>
  <c r="J188" i="14"/>
  <c r="Q188" i="14" s="1"/>
  <c r="P188" i="14" s="1"/>
  <c r="R188" i="14" s="1"/>
  <c r="T188" i="14" s="1"/>
  <c r="M189" i="14" s="1"/>
  <c r="O186" i="15"/>
  <c r="S186" i="15" s="1"/>
  <c r="L187" i="15" s="1"/>
  <c r="N187" i="15" s="1"/>
  <c r="K192" i="13"/>
  <c r="N192" i="13"/>
  <c r="O191" i="16"/>
  <c r="S191" i="16" s="1"/>
  <c r="L192" i="16" s="1"/>
  <c r="K192" i="16" s="1"/>
  <c r="P198" i="17"/>
  <c r="R198" i="17" s="1"/>
  <c r="T198" i="17" s="1"/>
  <c r="M199" i="17" s="1"/>
  <c r="M352" i="20" l="1"/>
  <c r="V351" i="20"/>
  <c r="R351" i="20" s="1"/>
  <c r="K187" i="15"/>
  <c r="J187" i="15" s="1"/>
  <c r="Q187" i="15" s="1"/>
  <c r="P187" i="15" s="1"/>
  <c r="R187" i="15" s="1"/>
  <c r="T187" i="15" s="1"/>
  <c r="M188" i="15" s="1"/>
  <c r="N192" i="16"/>
  <c r="J192" i="16" s="1"/>
  <c r="Q192" i="16" s="1"/>
  <c r="P192" i="16" s="1"/>
  <c r="R192" i="16" s="1"/>
  <c r="T192" i="16" s="1"/>
  <c r="M193" i="16" s="1"/>
  <c r="J192" i="13"/>
  <c r="O188" i="14"/>
  <c r="S188" i="14" s="1"/>
  <c r="L189" i="14" s="1"/>
  <c r="K189" i="14" s="1"/>
  <c r="O198" i="17"/>
  <c r="S198" i="17" s="1"/>
  <c r="L199" i="17" s="1"/>
  <c r="O352" i="20" l="1"/>
  <c r="S352" i="20" s="1"/>
  <c r="Q352" i="20"/>
  <c r="O187" i="15"/>
  <c r="S187" i="15" s="1"/>
  <c r="L188" i="15" s="1"/>
  <c r="K188" i="15" s="1"/>
  <c r="N189" i="14"/>
  <c r="J189" i="14" s="1"/>
  <c r="Q189" i="14" s="1"/>
  <c r="Q192" i="13"/>
  <c r="P192" i="13" s="1"/>
  <c r="O192" i="16"/>
  <c r="S192" i="16" s="1"/>
  <c r="L193" i="16" s="1"/>
  <c r="N199" i="17"/>
  <c r="K199" i="17"/>
  <c r="R352" i="20" l="1"/>
  <c r="P352" i="20"/>
  <c r="T352" i="20" s="1"/>
  <c r="U352" i="20" s="1"/>
  <c r="M353" i="20" s="1"/>
  <c r="N188" i="15"/>
  <c r="J188" i="15" s="1"/>
  <c r="J199" i="17"/>
  <c r="Q199" i="17" s="1"/>
  <c r="P199" i="17" s="1"/>
  <c r="R199" i="17" s="1"/>
  <c r="T199" i="17" s="1"/>
  <c r="M200" i="17" s="1"/>
  <c r="R192" i="13"/>
  <c r="T192" i="13" s="1"/>
  <c r="M193" i="13" s="1"/>
  <c r="O192" i="13"/>
  <c r="S192" i="13" s="1"/>
  <c r="L193" i="13" s="1"/>
  <c r="P189" i="14"/>
  <c r="R189" i="14" s="1"/>
  <c r="T189" i="14" s="1"/>
  <c r="M190" i="14" s="1"/>
  <c r="N193" i="16"/>
  <c r="K193" i="16"/>
  <c r="O353" i="20" l="1"/>
  <c r="S353" i="20" s="1"/>
  <c r="Q353" i="20"/>
  <c r="R353" i="20" s="1"/>
  <c r="P353" i="20"/>
  <c r="T353" i="20" s="1"/>
  <c r="U353" i="20" s="1"/>
  <c r="M354" i="20" s="1"/>
  <c r="K193" i="13"/>
  <c r="N193" i="13"/>
  <c r="O189" i="14"/>
  <c r="S189" i="14" s="1"/>
  <c r="L190" i="14" s="1"/>
  <c r="Q188" i="15"/>
  <c r="P188" i="15" s="1"/>
  <c r="R188" i="15" s="1"/>
  <c r="T188" i="15" s="1"/>
  <c r="M189" i="15" s="1"/>
  <c r="O199" i="17"/>
  <c r="S199" i="17" s="1"/>
  <c r="L200" i="17" s="1"/>
  <c r="J193" i="16"/>
  <c r="Q354" i="20" l="1"/>
  <c r="R354" i="20" s="1"/>
  <c r="O354" i="20"/>
  <c r="S354" i="20" s="1"/>
  <c r="O188" i="15"/>
  <c r="S188" i="15" s="1"/>
  <c r="L189" i="15" s="1"/>
  <c r="K189" i="15" s="1"/>
  <c r="J193" i="13"/>
  <c r="K190" i="14"/>
  <c r="N190" i="14"/>
  <c r="Q193" i="16"/>
  <c r="P193" i="16" s="1"/>
  <c r="R193" i="16" s="1"/>
  <c r="T193" i="16" s="1"/>
  <c r="M194" i="16" s="1"/>
  <c r="N200" i="17"/>
  <c r="K200" i="17"/>
  <c r="P354" i="20" l="1"/>
  <c r="T354" i="20" s="1"/>
  <c r="U354" i="20" s="1"/>
  <c r="M355" i="20" s="1"/>
  <c r="Q355" i="20" s="1"/>
  <c r="R355" i="20" s="1"/>
  <c r="N189" i="15"/>
  <c r="J189" i="15" s="1"/>
  <c r="J200" i="17"/>
  <c r="Q200" i="17" s="1"/>
  <c r="P200" i="17" s="1"/>
  <c r="O193" i="16"/>
  <c r="S193" i="16" s="1"/>
  <c r="L194" i="16" s="1"/>
  <c r="K194" i="16" s="1"/>
  <c r="Q193" i="13"/>
  <c r="P193" i="13" s="1"/>
  <c r="R193" i="13" s="1"/>
  <c r="T193" i="13" s="1"/>
  <c r="M194" i="13" s="1"/>
  <c r="J190" i="14"/>
  <c r="O355" i="20" l="1"/>
  <c r="S355" i="20" s="1"/>
  <c r="P355" i="20"/>
  <c r="N194" i="16"/>
  <c r="J194" i="16" s="1"/>
  <c r="O193" i="13"/>
  <c r="S193" i="13" s="1"/>
  <c r="L194" i="13" s="1"/>
  <c r="K194" i="13" s="1"/>
  <c r="Q189" i="15"/>
  <c r="P189" i="15" s="1"/>
  <c r="Q190" i="14"/>
  <c r="P190" i="14" s="1"/>
  <c r="R190" i="14" s="1"/>
  <c r="T190" i="14" s="1"/>
  <c r="M191" i="14" s="1"/>
  <c r="O200" i="17"/>
  <c r="S200" i="17" s="1"/>
  <c r="L201" i="17" s="1"/>
  <c r="R200" i="17"/>
  <c r="T200" i="17" s="1"/>
  <c r="M201" i="17" s="1"/>
  <c r="T355" i="20" l="1"/>
  <c r="U355" i="20" s="1"/>
  <c r="M356" i="20" s="1"/>
  <c r="Q356" i="20" s="1"/>
  <c r="R356" i="20" s="1"/>
  <c r="N194" i="13"/>
  <c r="J194" i="13" s="1"/>
  <c r="O190" i="14"/>
  <c r="S190" i="14" s="1"/>
  <c r="L191" i="14" s="1"/>
  <c r="O189" i="15"/>
  <c r="S189" i="15" s="1"/>
  <c r="L190" i="15" s="1"/>
  <c r="R189" i="15"/>
  <c r="T189" i="15" s="1"/>
  <c r="M190" i="15" s="1"/>
  <c r="Q194" i="16"/>
  <c r="P194" i="16" s="1"/>
  <c r="R194" i="16" s="1"/>
  <c r="T194" i="16" s="1"/>
  <c r="M195" i="16" s="1"/>
  <c r="K201" i="17"/>
  <c r="N201" i="17"/>
  <c r="P356" i="20" l="1"/>
  <c r="O356" i="20"/>
  <c r="S356" i="20" s="1"/>
  <c r="T356" i="20"/>
  <c r="U356" i="20" s="1"/>
  <c r="M357" i="20" s="1"/>
  <c r="Q194" i="13"/>
  <c r="P194" i="13" s="1"/>
  <c r="R194" i="13" s="1"/>
  <c r="T194" i="13" s="1"/>
  <c r="M195" i="13" s="1"/>
  <c r="J201" i="17"/>
  <c r="Q201" i="17" s="1"/>
  <c r="P201" i="17" s="1"/>
  <c r="K190" i="15"/>
  <c r="N190" i="15"/>
  <c r="N191" i="14"/>
  <c r="K191" i="14"/>
  <c r="O194" i="16"/>
  <c r="S194" i="16" s="1"/>
  <c r="L195" i="16" s="1"/>
  <c r="Q357" i="20" l="1"/>
  <c r="R357" i="20" s="1"/>
  <c r="P357" i="20"/>
  <c r="O357" i="20"/>
  <c r="S357" i="20" s="1"/>
  <c r="J191" i="14"/>
  <c r="Q191" i="14" s="1"/>
  <c r="P191" i="14" s="1"/>
  <c r="O194" i="13"/>
  <c r="S194" i="13" s="1"/>
  <c r="L195" i="13" s="1"/>
  <c r="K195" i="13" s="1"/>
  <c r="R201" i="17"/>
  <c r="T201" i="17" s="1"/>
  <c r="M202" i="17" s="1"/>
  <c r="O201" i="17"/>
  <c r="S201" i="17" s="1"/>
  <c r="L202" i="17" s="1"/>
  <c r="N202" i="17" s="1"/>
  <c r="J190" i="15"/>
  <c r="N195" i="16"/>
  <c r="K195" i="16"/>
  <c r="T357" i="20" l="1"/>
  <c r="U357" i="20" s="1"/>
  <c r="M358" i="20" s="1"/>
  <c r="N195" i="13"/>
  <c r="J195" i="13" s="1"/>
  <c r="K202" i="17"/>
  <c r="J202" i="17" s="1"/>
  <c r="J195" i="16"/>
  <c r="Q195" i="16" s="1"/>
  <c r="P195" i="16" s="1"/>
  <c r="O191" i="14"/>
  <c r="S191" i="14" s="1"/>
  <c r="L192" i="14" s="1"/>
  <c r="R191" i="14"/>
  <c r="T191" i="14" s="1"/>
  <c r="M192" i="14" s="1"/>
  <c r="Q190" i="15"/>
  <c r="P190" i="15" s="1"/>
  <c r="R190" i="15" s="1"/>
  <c r="T190" i="15" s="1"/>
  <c r="M191" i="15" s="1"/>
  <c r="Q358" i="20" l="1"/>
  <c r="R358" i="20" s="1"/>
  <c r="O358" i="20"/>
  <c r="S358" i="20" s="1"/>
  <c r="O190" i="15"/>
  <c r="S190" i="15" s="1"/>
  <c r="L191" i="15" s="1"/>
  <c r="K191" i="15" s="1"/>
  <c r="O195" i="16"/>
  <c r="S195" i="16" s="1"/>
  <c r="L196" i="16" s="1"/>
  <c r="N196" i="16" s="1"/>
  <c r="R195" i="16"/>
  <c r="T195" i="16" s="1"/>
  <c r="M196" i="16" s="1"/>
  <c r="Q195" i="13"/>
  <c r="P195" i="13" s="1"/>
  <c r="R195" i="13" s="1"/>
  <c r="T195" i="13" s="1"/>
  <c r="M196" i="13" s="1"/>
  <c r="K192" i="14"/>
  <c r="N192" i="14"/>
  <c r="Q202" i="17"/>
  <c r="P202" i="17" s="1"/>
  <c r="R202" i="17" s="1"/>
  <c r="T202" i="17" s="1"/>
  <c r="M203" i="17" s="1"/>
  <c r="P358" i="20" l="1"/>
  <c r="T358" i="20" s="1"/>
  <c r="U358" i="20" s="1"/>
  <c r="M359" i="20" s="1"/>
  <c r="Q359" i="20" s="1"/>
  <c r="R359" i="20" s="1"/>
  <c r="N191" i="15"/>
  <c r="J191" i="15" s="1"/>
  <c r="Q191" i="15" s="1"/>
  <c r="K196" i="16"/>
  <c r="J196" i="16" s="1"/>
  <c r="O195" i="13"/>
  <c r="S195" i="13" s="1"/>
  <c r="L196" i="13" s="1"/>
  <c r="J192" i="14"/>
  <c r="O202" i="17"/>
  <c r="S202" i="17" s="1"/>
  <c r="L203" i="17" s="1"/>
  <c r="O359" i="20" l="1"/>
  <c r="S359" i="20" s="1"/>
  <c r="P359" i="20"/>
  <c r="T359" i="20" s="1"/>
  <c r="U359" i="20" s="1"/>
  <c r="M360" i="20" s="1"/>
  <c r="N196" i="13"/>
  <c r="K196" i="13"/>
  <c r="P191" i="15"/>
  <c r="R191" i="15" s="1"/>
  <c r="T191" i="15" s="1"/>
  <c r="M192" i="15" s="1"/>
  <c r="Q192" i="14"/>
  <c r="Q196" i="16"/>
  <c r="P196" i="16" s="1"/>
  <c r="R196" i="16" s="1"/>
  <c r="T196" i="16" s="1"/>
  <c r="M197" i="16" s="1"/>
  <c r="N203" i="17"/>
  <c r="K203" i="17"/>
  <c r="J196" i="13" l="1"/>
  <c r="Q196" i="13" s="1"/>
  <c r="P196" i="13" s="1"/>
  <c r="R196" i="13" s="1"/>
  <c r="T196" i="13" s="1"/>
  <c r="M197" i="13" s="1"/>
  <c r="Q360" i="20"/>
  <c r="R360" i="20" s="1"/>
  <c r="O360" i="20"/>
  <c r="S360" i="20" s="1"/>
  <c r="P192" i="14"/>
  <c r="R192" i="14" s="1"/>
  <c r="T192" i="14" s="1"/>
  <c r="M193" i="14" s="1"/>
  <c r="O191" i="15"/>
  <c r="S191" i="15" s="1"/>
  <c r="L192" i="15" s="1"/>
  <c r="J203" i="17"/>
  <c r="Q203" i="17" s="1"/>
  <c r="P203" i="17" s="1"/>
  <c r="O196" i="16"/>
  <c r="S196" i="16" s="1"/>
  <c r="L197" i="16" s="1"/>
  <c r="P360" i="20" l="1"/>
  <c r="T360" i="20" s="1"/>
  <c r="U360" i="20" s="1"/>
  <c r="M361" i="20" s="1"/>
  <c r="O196" i="13"/>
  <c r="S196" i="13" s="1"/>
  <c r="L197" i="13" s="1"/>
  <c r="N197" i="13" s="1"/>
  <c r="K192" i="15"/>
  <c r="N192" i="15"/>
  <c r="O192" i="14"/>
  <c r="S192" i="14" s="1"/>
  <c r="L193" i="14" s="1"/>
  <c r="O203" i="17"/>
  <c r="S203" i="17" s="1"/>
  <c r="L204" i="17" s="1"/>
  <c r="R203" i="17"/>
  <c r="T203" i="17" s="1"/>
  <c r="M204" i="17" s="1"/>
  <c r="K197" i="16"/>
  <c r="N197" i="16"/>
  <c r="Q361" i="20" l="1"/>
  <c r="R361" i="20" s="1"/>
  <c r="O361" i="20"/>
  <c r="S361" i="20" s="1"/>
  <c r="K197" i="13"/>
  <c r="J197" i="13" s="1"/>
  <c r="Q197" i="13" s="1"/>
  <c r="P197" i="13" s="1"/>
  <c r="R197" i="13" s="1"/>
  <c r="T197" i="13" s="1"/>
  <c r="M198" i="13" s="1"/>
  <c r="K193" i="14"/>
  <c r="N193" i="14"/>
  <c r="J197" i="16"/>
  <c r="Q197" i="16" s="1"/>
  <c r="J192" i="15"/>
  <c r="N204" i="17"/>
  <c r="K204" i="17"/>
  <c r="P361" i="20" l="1"/>
  <c r="T361" i="20" s="1"/>
  <c r="U361" i="20" s="1"/>
  <c r="M362" i="20" s="1"/>
  <c r="Q362" i="20" s="1"/>
  <c r="R362" i="20" s="1"/>
  <c r="J204" i="17"/>
  <c r="Q204" i="17" s="1"/>
  <c r="O197" i="13"/>
  <c r="S197" i="13" s="1"/>
  <c r="L198" i="13" s="1"/>
  <c r="Q192" i="15"/>
  <c r="P192" i="15" s="1"/>
  <c r="R192" i="15" s="1"/>
  <c r="T192" i="15" s="1"/>
  <c r="M193" i="15" s="1"/>
  <c r="P197" i="16"/>
  <c r="R197" i="16" s="1"/>
  <c r="T197" i="16" s="1"/>
  <c r="M198" i="16" s="1"/>
  <c r="J193" i="14"/>
  <c r="O362" i="20" l="1"/>
  <c r="S362" i="20" s="1"/>
  <c r="P362" i="20"/>
  <c r="T362" i="20" s="1"/>
  <c r="U362" i="20" s="1"/>
  <c r="M363" i="20" s="1"/>
  <c r="N198" i="13"/>
  <c r="K198" i="13"/>
  <c r="O192" i="15"/>
  <c r="S192" i="15" s="1"/>
  <c r="L193" i="15" s="1"/>
  <c r="Q193" i="14"/>
  <c r="P193" i="14" s="1"/>
  <c r="O197" i="16"/>
  <c r="S197" i="16" s="1"/>
  <c r="L198" i="16" s="1"/>
  <c r="P204" i="17"/>
  <c r="R204" i="17" s="1"/>
  <c r="T204" i="17" s="1"/>
  <c r="M205" i="17" s="1"/>
  <c r="Q363" i="20" l="1"/>
  <c r="O363" i="20"/>
  <c r="S363" i="20" s="1"/>
  <c r="J198" i="13"/>
  <c r="Q198" i="13" s="1"/>
  <c r="P198" i="13" s="1"/>
  <c r="R193" i="14"/>
  <c r="T193" i="14" s="1"/>
  <c r="M194" i="14" s="1"/>
  <c r="O193" i="14"/>
  <c r="S193" i="14" s="1"/>
  <c r="L194" i="14" s="1"/>
  <c r="N198" i="16"/>
  <c r="K198" i="16"/>
  <c r="K193" i="15"/>
  <c r="N193" i="15"/>
  <c r="O204" i="17"/>
  <c r="S204" i="17" s="1"/>
  <c r="L205" i="17" s="1"/>
  <c r="P363" i="20" l="1"/>
  <c r="T363" i="20" s="1"/>
  <c r="U363" i="20" s="1"/>
  <c r="O198" i="13"/>
  <c r="S198" i="13" s="1"/>
  <c r="L199" i="13" s="1"/>
  <c r="N199" i="13" s="1"/>
  <c r="R198" i="13"/>
  <c r="T198" i="13" s="1"/>
  <c r="M199" i="13" s="1"/>
  <c r="J198" i="16"/>
  <c r="Q198" i="16" s="1"/>
  <c r="P198" i="16" s="1"/>
  <c r="R198" i="16" s="1"/>
  <c r="T198" i="16" s="1"/>
  <c r="M199" i="16" s="1"/>
  <c r="K194" i="14"/>
  <c r="N194" i="14"/>
  <c r="J193" i="15"/>
  <c r="K205" i="17"/>
  <c r="N205" i="17"/>
  <c r="V363" i="20" l="1"/>
  <c r="R363" i="20" s="1"/>
  <c r="M364" i="20"/>
  <c r="O198" i="16"/>
  <c r="S198" i="16" s="1"/>
  <c r="L199" i="16" s="1"/>
  <c r="K199" i="16" s="1"/>
  <c r="K199" i="13"/>
  <c r="J199" i="13" s="1"/>
  <c r="Q199" i="13" s="1"/>
  <c r="P199" i="13" s="1"/>
  <c r="R199" i="13" s="1"/>
  <c r="T199" i="13" s="1"/>
  <c r="M200" i="13" s="1"/>
  <c r="Q193" i="15"/>
  <c r="P193" i="15" s="1"/>
  <c r="R193" i="15" s="1"/>
  <c r="T193" i="15" s="1"/>
  <c r="M194" i="15" s="1"/>
  <c r="J194" i="14"/>
  <c r="J205" i="17"/>
  <c r="N199" i="16" l="1"/>
  <c r="J199" i="16" s="1"/>
  <c r="Q199" i="16" s="1"/>
  <c r="P199" i="16" s="1"/>
  <c r="R199" i="16" s="1"/>
  <c r="T199" i="16" s="1"/>
  <c r="M200" i="16" s="1"/>
  <c r="O364" i="20"/>
  <c r="S364" i="20" s="1"/>
  <c r="Q364" i="20"/>
  <c r="R364" i="20" s="1"/>
  <c r="O199" i="13"/>
  <c r="S199" i="13" s="1"/>
  <c r="L200" i="13" s="1"/>
  <c r="N200" i="13" s="1"/>
  <c r="Q194" i="14"/>
  <c r="P194" i="14" s="1"/>
  <c r="O193" i="15"/>
  <c r="S193" i="15" s="1"/>
  <c r="L194" i="15" s="1"/>
  <c r="Q205" i="17"/>
  <c r="P205" i="17" s="1"/>
  <c r="P364" i="20" l="1"/>
  <c r="T364" i="20" s="1"/>
  <c r="U364" i="20" s="1"/>
  <c r="M365" i="20" s="1"/>
  <c r="K200" i="13"/>
  <c r="J200" i="13" s="1"/>
  <c r="Q200" i="13" s="1"/>
  <c r="P200" i="13" s="1"/>
  <c r="R200" i="13" s="1"/>
  <c r="T200" i="13" s="1"/>
  <c r="M201" i="13" s="1"/>
  <c r="O199" i="16"/>
  <c r="S199" i="16" s="1"/>
  <c r="L200" i="16" s="1"/>
  <c r="K200" i="16" s="1"/>
  <c r="O194" i="14"/>
  <c r="S194" i="14" s="1"/>
  <c r="L195" i="14" s="1"/>
  <c r="R194" i="14"/>
  <c r="T194" i="14" s="1"/>
  <c r="M195" i="14" s="1"/>
  <c r="K194" i="15"/>
  <c r="N194" i="15"/>
  <c r="R205" i="17"/>
  <c r="T205" i="17" s="1"/>
  <c r="M206" i="17" s="1"/>
  <c r="O205" i="17"/>
  <c r="S205" i="17" s="1"/>
  <c r="L206" i="17" s="1"/>
  <c r="Q365" i="20" l="1"/>
  <c r="R365" i="20" s="1"/>
  <c r="O365" i="20"/>
  <c r="S365" i="20" s="1"/>
  <c r="N200" i="16"/>
  <c r="J200" i="16" s="1"/>
  <c r="O200" i="13"/>
  <c r="S200" i="13" s="1"/>
  <c r="L201" i="13" s="1"/>
  <c r="K201" i="13" s="1"/>
  <c r="J194" i="15"/>
  <c r="N195" i="14"/>
  <c r="K195" i="14"/>
  <c r="N206" i="17"/>
  <c r="K206" i="17"/>
  <c r="P365" i="20" l="1"/>
  <c r="T365" i="20" s="1"/>
  <c r="U365" i="20" s="1"/>
  <c r="M366" i="20" s="1"/>
  <c r="J195" i="14"/>
  <c r="Q195" i="14" s="1"/>
  <c r="P195" i="14" s="1"/>
  <c r="R195" i="14" s="1"/>
  <c r="T195" i="14" s="1"/>
  <c r="M196" i="14" s="1"/>
  <c r="N201" i="13"/>
  <c r="J201" i="13" s="1"/>
  <c r="J206" i="17"/>
  <c r="Q206" i="17" s="1"/>
  <c r="P206" i="17" s="1"/>
  <c r="O206" i="17" s="1"/>
  <c r="S206" i="17" s="1"/>
  <c r="L207" i="17" s="1"/>
  <c r="Q194" i="15"/>
  <c r="Q200" i="16"/>
  <c r="O366" i="20" l="1"/>
  <c r="S366" i="20" s="1"/>
  <c r="Q366" i="20"/>
  <c r="R366" i="20" s="1"/>
  <c r="P366" i="20"/>
  <c r="T366" i="20" s="1"/>
  <c r="U366" i="20" s="1"/>
  <c r="M367" i="20" s="1"/>
  <c r="O195" i="14"/>
  <c r="S195" i="14" s="1"/>
  <c r="L196" i="14" s="1"/>
  <c r="K196" i="14" s="1"/>
  <c r="Q201" i="13"/>
  <c r="P201" i="13" s="1"/>
  <c r="R201" i="13" s="1"/>
  <c r="T201" i="13" s="1"/>
  <c r="M202" i="13" s="1"/>
  <c r="P194" i="15"/>
  <c r="R194" i="15" s="1"/>
  <c r="T194" i="15" s="1"/>
  <c r="M195" i="15" s="1"/>
  <c r="R206" i="17"/>
  <c r="T206" i="17" s="1"/>
  <c r="M207" i="17" s="1"/>
  <c r="K207" i="17" s="1"/>
  <c r="N207" i="17"/>
  <c r="P200" i="16"/>
  <c r="R200" i="16" s="1"/>
  <c r="T200" i="16" s="1"/>
  <c r="M201" i="16" s="1"/>
  <c r="N196" i="14" l="1"/>
  <c r="J196" i="14" s="1"/>
  <c r="Q367" i="20"/>
  <c r="R367" i="20" s="1"/>
  <c r="O367" i="20"/>
  <c r="S367" i="20" s="1"/>
  <c r="O201" i="13"/>
  <c r="S201" i="13" s="1"/>
  <c r="L202" i="13" s="1"/>
  <c r="K202" i="13" s="1"/>
  <c r="J207" i="17"/>
  <c r="Q207" i="17" s="1"/>
  <c r="P207" i="17" s="1"/>
  <c r="O194" i="15"/>
  <c r="S194" i="15" s="1"/>
  <c r="L195" i="15" s="1"/>
  <c r="O200" i="16"/>
  <c r="S200" i="16" s="1"/>
  <c r="L201" i="16" s="1"/>
  <c r="P367" i="20" l="1"/>
  <c r="T367" i="20" s="1"/>
  <c r="U367" i="20" s="1"/>
  <c r="M368" i="20" s="1"/>
  <c r="N202" i="13"/>
  <c r="J202" i="13" s="1"/>
  <c r="Q202" i="13" s="1"/>
  <c r="P202" i="13" s="1"/>
  <c r="R202" i="13" s="1"/>
  <c r="T202" i="13" s="1"/>
  <c r="M203" i="13" s="1"/>
  <c r="N195" i="15"/>
  <c r="K195" i="15"/>
  <c r="Q196" i="14"/>
  <c r="P196" i="14" s="1"/>
  <c r="R196" i="14" s="1"/>
  <c r="T196" i="14" s="1"/>
  <c r="M197" i="14" s="1"/>
  <c r="O207" i="17"/>
  <c r="S207" i="17" s="1"/>
  <c r="L208" i="17" s="1"/>
  <c r="R207" i="17"/>
  <c r="T207" i="17" s="1"/>
  <c r="M208" i="17" s="1"/>
  <c r="K201" i="16"/>
  <c r="N201" i="16"/>
  <c r="Q368" i="20" l="1"/>
  <c r="R368" i="20" s="1"/>
  <c r="O368" i="20"/>
  <c r="S368" i="20" s="1"/>
  <c r="O202" i="13"/>
  <c r="S202" i="13" s="1"/>
  <c r="L203" i="13" s="1"/>
  <c r="K203" i="13" s="1"/>
  <c r="J195" i="15"/>
  <c r="Q195" i="15" s="1"/>
  <c r="P195" i="15" s="1"/>
  <c r="R195" i="15" s="1"/>
  <c r="T195" i="15" s="1"/>
  <c r="M196" i="15" s="1"/>
  <c r="O196" i="14"/>
  <c r="S196" i="14" s="1"/>
  <c r="L197" i="14" s="1"/>
  <c r="K197" i="14" s="1"/>
  <c r="J201" i="16"/>
  <c r="Q201" i="16" s="1"/>
  <c r="P201" i="16" s="1"/>
  <c r="N208" i="17"/>
  <c r="K208" i="17"/>
  <c r="P368" i="20" l="1"/>
  <c r="T368" i="20" s="1"/>
  <c r="U368" i="20" s="1"/>
  <c r="M369" i="20" s="1"/>
  <c r="O369" i="20" s="1"/>
  <c r="S369" i="20" s="1"/>
  <c r="N203" i="13"/>
  <c r="J203" i="13" s="1"/>
  <c r="N197" i="14"/>
  <c r="J197" i="14" s="1"/>
  <c r="O195" i="15"/>
  <c r="S195" i="15" s="1"/>
  <c r="L196" i="15" s="1"/>
  <c r="K196" i="15" s="1"/>
  <c r="R201" i="16"/>
  <c r="T201" i="16" s="1"/>
  <c r="M202" i="16" s="1"/>
  <c r="O201" i="16"/>
  <c r="S201" i="16" s="1"/>
  <c r="L202" i="16" s="1"/>
  <c r="J208" i="17"/>
  <c r="Q369" i="20" l="1"/>
  <c r="R369" i="20" s="1"/>
  <c r="P369" i="20"/>
  <c r="T369" i="20" s="1"/>
  <c r="U369" i="20" s="1"/>
  <c r="M370" i="20" s="1"/>
  <c r="N196" i="15"/>
  <c r="J196" i="15" s="1"/>
  <c r="Q196" i="15" s="1"/>
  <c r="P196" i="15" s="1"/>
  <c r="R196" i="15" s="1"/>
  <c r="T196" i="15" s="1"/>
  <c r="M197" i="15" s="1"/>
  <c r="Q203" i="13"/>
  <c r="P203" i="13" s="1"/>
  <c r="R203" i="13" s="1"/>
  <c r="T203" i="13" s="1"/>
  <c r="M204" i="13" s="1"/>
  <c r="Q197" i="14"/>
  <c r="P197" i="14" s="1"/>
  <c r="R197" i="14" s="1"/>
  <c r="T197" i="14" s="1"/>
  <c r="M198" i="14" s="1"/>
  <c r="K202" i="16"/>
  <c r="N202" i="16"/>
  <c r="Q208" i="17"/>
  <c r="Q370" i="20" l="1"/>
  <c r="R370" i="20" s="1"/>
  <c r="P370" i="20"/>
  <c r="O370" i="20"/>
  <c r="S370" i="20" s="1"/>
  <c r="O203" i="13"/>
  <c r="S203" i="13" s="1"/>
  <c r="L204" i="13" s="1"/>
  <c r="K204" i="13" s="1"/>
  <c r="O196" i="15"/>
  <c r="S196" i="15" s="1"/>
  <c r="L197" i="15" s="1"/>
  <c r="O197" i="14"/>
  <c r="S197" i="14" s="1"/>
  <c r="L198" i="14" s="1"/>
  <c r="P208" i="17"/>
  <c r="R208" i="17" s="1"/>
  <c r="T208" i="17" s="1"/>
  <c r="M209" i="17" s="1"/>
  <c r="J202" i="16"/>
  <c r="T370" i="20" l="1"/>
  <c r="U370" i="20" s="1"/>
  <c r="M371" i="20" s="1"/>
  <c r="N204" i="13"/>
  <c r="J204" i="13" s="1"/>
  <c r="K198" i="14"/>
  <c r="N198" i="14"/>
  <c r="N197" i="15"/>
  <c r="K197" i="15"/>
  <c r="O208" i="17"/>
  <c r="S208" i="17" s="1"/>
  <c r="L209" i="17" s="1"/>
  <c r="Q202" i="16"/>
  <c r="P202" i="16" s="1"/>
  <c r="J197" i="15" l="1"/>
  <c r="Q197" i="15" s="1"/>
  <c r="P197" i="15" s="1"/>
  <c r="R197" i="15" s="1"/>
  <c r="T197" i="15" s="1"/>
  <c r="M198" i="15" s="1"/>
  <c r="Q371" i="20"/>
  <c r="R371" i="20" s="1"/>
  <c r="O371" i="20"/>
  <c r="S371" i="20" s="1"/>
  <c r="Q204" i="13"/>
  <c r="P204" i="13" s="1"/>
  <c r="R204" i="13" s="1"/>
  <c r="T204" i="13" s="1"/>
  <c r="M205" i="13" s="1"/>
  <c r="N209" i="17"/>
  <c r="K209" i="17"/>
  <c r="J198" i="14"/>
  <c r="R202" i="16"/>
  <c r="T202" i="16" s="1"/>
  <c r="M203" i="16" s="1"/>
  <c r="O202" i="16"/>
  <c r="S202" i="16" s="1"/>
  <c r="L203" i="16" s="1"/>
  <c r="P371" i="20" l="1"/>
  <c r="T371" i="20" s="1"/>
  <c r="U371" i="20" s="1"/>
  <c r="M372" i="20" s="1"/>
  <c r="J209" i="17"/>
  <c r="Q209" i="17" s="1"/>
  <c r="P209" i="17" s="1"/>
  <c r="R209" i="17" s="1"/>
  <c r="T209" i="17" s="1"/>
  <c r="M210" i="17" s="1"/>
  <c r="O204" i="13"/>
  <c r="S204" i="13" s="1"/>
  <c r="L205" i="13" s="1"/>
  <c r="N205" i="13" s="1"/>
  <c r="Q198" i="14"/>
  <c r="P198" i="14" s="1"/>
  <c r="R198" i="14" s="1"/>
  <c r="T198" i="14" s="1"/>
  <c r="M199" i="14" s="1"/>
  <c r="O197" i="15"/>
  <c r="S197" i="15" s="1"/>
  <c r="L198" i="15" s="1"/>
  <c r="N203" i="16"/>
  <c r="K203" i="16"/>
  <c r="O372" i="20" l="1"/>
  <c r="S372" i="20" s="1"/>
  <c r="Q372" i="20"/>
  <c r="R372" i="20" s="1"/>
  <c r="O209" i="17"/>
  <c r="S209" i="17" s="1"/>
  <c r="L210" i="17" s="1"/>
  <c r="K210" i="17" s="1"/>
  <c r="K205" i="13"/>
  <c r="J205" i="13" s="1"/>
  <c r="Q205" i="13" s="1"/>
  <c r="P205" i="13" s="1"/>
  <c r="R205" i="13" s="1"/>
  <c r="T205" i="13" s="1"/>
  <c r="M206" i="13" s="1"/>
  <c r="N198" i="15"/>
  <c r="K198" i="15"/>
  <c r="J203" i="16"/>
  <c r="Q203" i="16" s="1"/>
  <c r="P203" i="16" s="1"/>
  <c r="R203" i="16" s="1"/>
  <c r="T203" i="16" s="1"/>
  <c r="M204" i="16" s="1"/>
  <c r="O198" i="14"/>
  <c r="S198" i="14" s="1"/>
  <c r="L199" i="14" s="1"/>
  <c r="P372" i="20" l="1"/>
  <c r="T372" i="20" s="1"/>
  <c r="U372" i="20" s="1"/>
  <c r="M373" i="20" s="1"/>
  <c r="N210" i="17"/>
  <c r="J210" i="17" s="1"/>
  <c r="J198" i="15"/>
  <c r="Q198" i="15" s="1"/>
  <c r="P198" i="15" s="1"/>
  <c r="R198" i="15" s="1"/>
  <c r="T198" i="15" s="1"/>
  <c r="M199" i="15" s="1"/>
  <c r="O205" i="13"/>
  <c r="S205" i="13" s="1"/>
  <c r="L206" i="13" s="1"/>
  <c r="K199" i="14"/>
  <c r="N199" i="14"/>
  <c r="O203" i="16"/>
  <c r="S203" i="16" s="1"/>
  <c r="L204" i="16" s="1"/>
  <c r="Q373" i="20" l="1"/>
  <c r="R373" i="20" s="1"/>
  <c r="O373" i="20"/>
  <c r="S373" i="20" s="1"/>
  <c r="N206" i="13"/>
  <c r="K206" i="13"/>
  <c r="O198" i="15"/>
  <c r="S198" i="15" s="1"/>
  <c r="L199" i="15" s="1"/>
  <c r="J199" i="14"/>
  <c r="N204" i="16"/>
  <c r="K204" i="16"/>
  <c r="Q210" i="17"/>
  <c r="P373" i="20" l="1"/>
  <c r="T373" i="20"/>
  <c r="U373" i="20" s="1"/>
  <c r="M374" i="20" s="1"/>
  <c r="J206" i="13"/>
  <c r="Q206" i="13" s="1"/>
  <c r="P206" i="13" s="1"/>
  <c r="R206" i="13" s="1"/>
  <c r="T206" i="13" s="1"/>
  <c r="M207" i="13" s="1"/>
  <c r="J204" i="16"/>
  <c r="Q204" i="16" s="1"/>
  <c r="P204" i="16" s="1"/>
  <c r="R204" i="16" s="1"/>
  <c r="T204" i="16" s="1"/>
  <c r="M205" i="16" s="1"/>
  <c r="Q199" i="14"/>
  <c r="P199" i="14" s="1"/>
  <c r="R199" i="14" s="1"/>
  <c r="T199" i="14" s="1"/>
  <c r="M200" i="14" s="1"/>
  <c r="K199" i="15"/>
  <c r="N199" i="15"/>
  <c r="P210" i="17"/>
  <c r="R210" i="17" s="1"/>
  <c r="T210" i="17" s="1"/>
  <c r="M211" i="17" s="1"/>
  <c r="Q374" i="20" l="1"/>
  <c r="R374" i="20" s="1"/>
  <c r="O374" i="20"/>
  <c r="S374" i="20" s="1"/>
  <c r="U7" i="20" s="1"/>
  <c r="O206" i="13"/>
  <c r="S206" i="13" s="1"/>
  <c r="L207" i="13" s="1"/>
  <c r="N207" i="13" s="1"/>
  <c r="J199" i="15"/>
  <c r="O199" i="14"/>
  <c r="S199" i="14" s="1"/>
  <c r="L200" i="14" s="1"/>
  <c r="O204" i="16"/>
  <c r="S204" i="16" s="1"/>
  <c r="L205" i="16" s="1"/>
  <c r="K205" i="16" s="1"/>
  <c r="O210" i="17"/>
  <c r="S210" i="17" s="1"/>
  <c r="L211" i="17" s="1"/>
  <c r="P374" i="20" l="1"/>
  <c r="T374" i="20" s="1"/>
  <c r="U374" i="20" s="1"/>
  <c r="U8" i="20"/>
  <c r="AA12" i="20" s="1"/>
  <c r="U9" i="20"/>
  <c r="K207" i="13"/>
  <c r="J207" i="13" s="1"/>
  <c r="Q207" i="13" s="1"/>
  <c r="P207" i="13" s="1"/>
  <c r="N205" i="16"/>
  <c r="J205" i="16" s="1"/>
  <c r="Q205" i="16" s="1"/>
  <c r="N200" i="14"/>
  <c r="K200" i="14"/>
  <c r="Q199" i="15"/>
  <c r="P199" i="15" s="1"/>
  <c r="K211" i="17"/>
  <c r="N211" i="17"/>
  <c r="J200" i="14" l="1"/>
  <c r="Q200" i="14" s="1"/>
  <c r="P200" i="14" s="1"/>
  <c r="R200" i="14" s="1"/>
  <c r="T200" i="14" s="1"/>
  <c r="M201" i="14" s="1"/>
  <c r="R207" i="13"/>
  <c r="T207" i="13" s="1"/>
  <c r="M208" i="13" s="1"/>
  <c r="O207" i="13"/>
  <c r="S207" i="13" s="1"/>
  <c r="L208" i="13" s="1"/>
  <c r="R199" i="15"/>
  <c r="T199" i="15" s="1"/>
  <c r="M200" i="15" s="1"/>
  <c r="O199" i="15"/>
  <c r="S199" i="15" s="1"/>
  <c r="L200" i="15" s="1"/>
  <c r="P205" i="16"/>
  <c r="R205" i="16" s="1"/>
  <c r="T205" i="16" s="1"/>
  <c r="M206" i="16" s="1"/>
  <c r="J211" i="17"/>
  <c r="N208" i="13" l="1"/>
  <c r="K208" i="13"/>
  <c r="O200" i="14"/>
  <c r="S200" i="14" s="1"/>
  <c r="L201" i="14" s="1"/>
  <c r="N201" i="14" s="1"/>
  <c r="O205" i="16"/>
  <c r="S205" i="16" s="1"/>
  <c r="L206" i="16" s="1"/>
  <c r="N200" i="15"/>
  <c r="K200" i="15"/>
  <c r="Q211" i="17"/>
  <c r="P211" i="17" s="1"/>
  <c r="J208" i="13" l="1"/>
  <c r="Q208" i="13" s="1"/>
  <c r="P208" i="13" s="1"/>
  <c r="R208" i="13" s="1"/>
  <c r="T208" i="13" s="1"/>
  <c r="M209" i="13" s="1"/>
  <c r="J200" i="15"/>
  <c r="Q200" i="15" s="1"/>
  <c r="P200" i="15" s="1"/>
  <c r="R200" i="15" s="1"/>
  <c r="T200" i="15" s="1"/>
  <c r="M201" i="15" s="1"/>
  <c r="K201" i="14"/>
  <c r="J201" i="14" s="1"/>
  <c r="Q201" i="14" s="1"/>
  <c r="P201" i="14" s="1"/>
  <c r="R201" i="14" s="1"/>
  <c r="T201" i="14" s="1"/>
  <c r="M202" i="14" s="1"/>
  <c r="K206" i="16"/>
  <c r="N206" i="16"/>
  <c r="R211" i="17"/>
  <c r="T211" i="17" s="1"/>
  <c r="M212" i="17" s="1"/>
  <c r="O211" i="17"/>
  <c r="S211" i="17" s="1"/>
  <c r="L212" i="17" s="1"/>
  <c r="O208" i="13" l="1"/>
  <c r="S208" i="13" s="1"/>
  <c r="L209" i="13" s="1"/>
  <c r="O201" i="14"/>
  <c r="S201" i="14" s="1"/>
  <c r="L202" i="14" s="1"/>
  <c r="J206" i="16"/>
  <c r="O200" i="15"/>
  <c r="S200" i="15" s="1"/>
  <c r="L201" i="15" s="1"/>
  <c r="K212" i="17"/>
  <c r="N212" i="17"/>
  <c r="K209" i="13" l="1"/>
  <c r="N209" i="13"/>
  <c r="N201" i="15"/>
  <c r="K201" i="15"/>
  <c r="Q206" i="16"/>
  <c r="N202" i="14"/>
  <c r="K202" i="14"/>
  <c r="J212" i="17"/>
  <c r="J202" i="14" l="1"/>
  <c r="Q202" i="14" s="1"/>
  <c r="P202" i="14" s="1"/>
  <c r="P206" i="16"/>
  <c r="R206" i="16" s="1"/>
  <c r="T206" i="16" s="1"/>
  <c r="M207" i="16" s="1"/>
  <c r="J209" i="13"/>
  <c r="J201" i="15"/>
  <c r="Q212" i="17"/>
  <c r="P212" i="17" s="1"/>
  <c r="Q209" i="13" l="1"/>
  <c r="P209" i="13" s="1"/>
  <c r="R209" i="13" s="1"/>
  <c r="T209" i="13" s="1"/>
  <c r="M210" i="13" s="1"/>
  <c r="O206" i="16"/>
  <c r="S206" i="16" s="1"/>
  <c r="L207" i="16" s="1"/>
  <c r="R202" i="14"/>
  <c r="T202" i="14" s="1"/>
  <c r="M203" i="14" s="1"/>
  <c r="O202" i="14"/>
  <c r="S202" i="14" s="1"/>
  <c r="L203" i="14" s="1"/>
  <c r="Q201" i="15"/>
  <c r="R212" i="17"/>
  <c r="T212" i="17" s="1"/>
  <c r="M213" i="17" s="1"/>
  <c r="O212" i="17"/>
  <c r="S212" i="17" s="1"/>
  <c r="L213" i="17" s="1"/>
  <c r="P201" i="15" l="1"/>
  <c r="R201" i="15" s="1"/>
  <c r="T201" i="15" s="1"/>
  <c r="M202" i="15" s="1"/>
  <c r="K207" i="16"/>
  <c r="N207" i="16"/>
  <c r="O209" i="13"/>
  <c r="S209" i="13" s="1"/>
  <c r="L210" i="13" s="1"/>
  <c r="K203" i="14"/>
  <c r="N203" i="14"/>
  <c r="N213" i="17"/>
  <c r="K213" i="17"/>
  <c r="N210" i="13" l="1"/>
  <c r="K210" i="13"/>
  <c r="J207" i="16"/>
  <c r="Q207" i="16" s="1"/>
  <c r="O201" i="15"/>
  <c r="S201" i="15" s="1"/>
  <c r="L202" i="15" s="1"/>
  <c r="J203" i="14"/>
  <c r="J213" i="17"/>
  <c r="J210" i="13" l="1"/>
  <c r="Q210" i="13" s="1"/>
  <c r="P210" i="13" s="1"/>
  <c r="R210" i="13" s="1"/>
  <c r="T210" i="13" s="1"/>
  <c r="M211" i="13" s="1"/>
  <c r="P207" i="16"/>
  <c r="R207" i="16" s="1"/>
  <c r="T207" i="16" s="1"/>
  <c r="M208" i="16" s="1"/>
  <c r="K202" i="15"/>
  <c r="N202" i="15"/>
  <c r="Q203" i="14"/>
  <c r="P203" i="14" s="1"/>
  <c r="R203" i="14" s="1"/>
  <c r="T203" i="14" s="1"/>
  <c r="M204" i="14" s="1"/>
  <c r="Q213" i="17"/>
  <c r="P213" i="17" s="1"/>
  <c r="R213" i="17" s="1"/>
  <c r="T213" i="17" s="1"/>
  <c r="M214" i="17" s="1"/>
  <c r="O207" i="16" l="1"/>
  <c r="S207" i="16" s="1"/>
  <c r="L208" i="16" s="1"/>
  <c r="K208" i="16" s="1"/>
  <c r="O210" i="13"/>
  <c r="S210" i="13" s="1"/>
  <c r="L211" i="13" s="1"/>
  <c r="N211" i="13" s="1"/>
  <c r="J202" i="15"/>
  <c r="O203" i="14"/>
  <c r="S203" i="14" s="1"/>
  <c r="L204" i="14" s="1"/>
  <c r="O213" i="17"/>
  <c r="S213" i="17" s="1"/>
  <c r="L214" i="17" s="1"/>
  <c r="N208" i="16" l="1"/>
  <c r="J208" i="16" s="1"/>
  <c r="K211" i="13"/>
  <c r="J211" i="13" s="1"/>
  <c r="Q211" i="13" s="1"/>
  <c r="P211" i="13" s="1"/>
  <c r="R211" i="13" s="1"/>
  <c r="T211" i="13" s="1"/>
  <c r="M212" i="13" s="1"/>
  <c r="Q202" i="15"/>
  <c r="N204" i="14"/>
  <c r="K204" i="14"/>
  <c r="K214" i="17"/>
  <c r="N214" i="17"/>
  <c r="J204" i="14" l="1"/>
  <c r="Q204" i="14" s="1"/>
  <c r="P204" i="14" s="1"/>
  <c r="R204" i="14" s="1"/>
  <c r="T204" i="14" s="1"/>
  <c r="M205" i="14" s="1"/>
  <c r="O211" i="13"/>
  <c r="S211" i="13" s="1"/>
  <c r="L212" i="13" s="1"/>
  <c r="N212" i="13" s="1"/>
  <c r="J214" i="17"/>
  <c r="Q214" i="17" s="1"/>
  <c r="P214" i="17" s="1"/>
  <c r="R214" i="17" s="1"/>
  <c r="T214" i="17" s="1"/>
  <c r="M215" i="17" s="1"/>
  <c r="P202" i="15"/>
  <c r="R202" i="15" s="1"/>
  <c r="T202" i="15" s="1"/>
  <c r="M203" i="15" s="1"/>
  <c r="Q208" i="16"/>
  <c r="P208" i="16" s="1"/>
  <c r="K212" i="13" l="1"/>
  <c r="J212" i="13" s="1"/>
  <c r="Q212" i="13" s="1"/>
  <c r="P212" i="13" s="1"/>
  <c r="R212" i="13" s="1"/>
  <c r="T212" i="13" s="1"/>
  <c r="M213" i="13" s="1"/>
  <c r="O204" i="14"/>
  <c r="S204" i="14" s="1"/>
  <c r="L205" i="14" s="1"/>
  <c r="K205" i="14" s="1"/>
  <c r="O202" i="15"/>
  <c r="S202" i="15" s="1"/>
  <c r="L203" i="15" s="1"/>
  <c r="R208" i="16"/>
  <c r="T208" i="16" s="1"/>
  <c r="M209" i="16" s="1"/>
  <c r="O208" i="16"/>
  <c r="S208" i="16" s="1"/>
  <c r="L209" i="16" s="1"/>
  <c r="O214" i="17"/>
  <c r="S214" i="17" s="1"/>
  <c r="L215" i="17" s="1"/>
  <c r="N205" i="14" l="1"/>
  <c r="J205" i="14" s="1"/>
  <c r="K203" i="15"/>
  <c r="N203" i="15"/>
  <c r="O212" i="13"/>
  <c r="S212" i="13" s="1"/>
  <c r="L213" i="13" s="1"/>
  <c r="K209" i="16"/>
  <c r="N209" i="16"/>
  <c r="K215" i="17"/>
  <c r="N215" i="17"/>
  <c r="J203" i="15" l="1"/>
  <c r="Q203" i="15" s="1"/>
  <c r="P203" i="15" s="1"/>
  <c r="R203" i="15" s="1"/>
  <c r="T203" i="15" s="1"/>
  <c r="M204" i="15" s="1"/>
  <c r="K213" i="13"/>
  <c r="N213" i="13"/>
  <c r="J209" i="16"/>
  <c r="Q205" i="14"/>
  <c r="P205" i="14" s="1"/>
  <c r="R205" i="14" s="1"/>
  <c r="T205" i="14" s="1"/>
  <c r="M206" i="14" s="1"/>
  <c r="J215" i="17"/>
  <c r="O203" i="15" l="1"/>
  <c r="S203" i="15" s="1"/>
  <c r="L204" i="15" s="1"/>
  <c r="N204" i="15" s="1"/>
  <c r="O205" i="14"/>
  <c r="S205" i="14" s="1"/>
  <c r="L206" i="14" s="1"/>
  <c r="N206" i="14" s="1"/>
  <c r="J213" i="13"/>
  <c r="Q209" i="16"/>
  <c r="Q215" i="17"/>
  <c r="P215" i="17" s="1"/>
  <c r="R215" i="17" s="1"/>
  <c r="T215" i="17" s="1"/>
  <c r="M216" i="17" s="1"/>
  <c r="K204" i="15" l="1"/>
  <c r="J204" i="15" s="1"/>
  <c r="Q204" i="15" s="1"/>
  <c r="P204" i="15" s="1"/>
  <c r="K206" i="14"/>
  <c r="J206" i="14" s="1"/>
  <c r="Q213" i="13"/>
  <c r="P213" i="13" s="1"/>
  <c r="R213" i="13" s="1"/>
  <c r="T213" i="13" s="1"/>
  <c r="M214" i="13" s="1"/>
  <c r="P209" i="16"/>
  <c r="R209" i="16" s="1"/>
  <c r="T209" i="16" s="1"/>
  <c r="M210" i="16" s="1"/>
  <c r="O215" i="17"/>
  <c r="S215" i="17" s="1"/>
  <c r="L216" i="17" s="1"/>
  <c r="R204" i="15" l="1"/>
  <c r="T204" i="15" s="1"/>
  <c r="M205" i="15" s="1"/>
  <c r="O204" i="15"/>
  <c r="S204" i="15" s="1"/>
  <c r="L205" i="15" s="1"/>
  <c r="O213" i="13"/>
  <c r="S213" i="13" s="1"/>
  <c r="L214" i="13" s="1"/>
  <c r="N214" i="13" s="1"/>
  <c r="Q206" i="14"/>
  <c r="O209" i="16"/>
  <c r="S209" i="16" s="1"/>
  <c r="L210" i="16" s="1"/>
  <c r="N216" i="17"/>
  <c r="K216" i="17"/>
  <c r="K205" i="15" l="1"/>
  <c r="N205" i="15"/>
  <c r="K214" i="13"/>
  <c r="J214" i="13" s="1"/>
  <c r="N210" i="16"/>
  <c r="K210" i="16"/>
  <c r="P206" i="14"/>
  <c r="R206" i="14" s="1"/>
  <c r="T206" i="14" s="1"/>
  <c r="M207" i="14" s="1"/>
  <c r="J216" i="17"/>
  <c r="J205" i="15" l="1"/>
  <c r="Q205" i="15" s="1"/>
  <c r="P205" i="15" s="1"/>
  <c r="R205" i="15" s="1"/>
  <c r="T205" i="15" s="1"/>
  <c r="M206" i="15" s="1"/>
  <c r="Q214" i="13"/>
  <c r="P214" i="13" s="1"/>
  <c r="R214" i="13" s="1"/>
  <c r="T214" i="13" s="1"/>
  <c r="M215" i="13" s="1"/>
  <c r="J210" i="16"/>
  <c r="O206" i="14"/>
  <c r="S206" i="14" s="1"/>
  <c r="L207" i="14" s="1"/>
  <c r="Q216" i="17"/>
  <c r="P216" i="17" s="1"/>
  <c r="O214" i="13" l="1"/>
  <c r="S214" i="13" s="1"/>
  <c r="L215" i="13" s="1"/>
  <c r="K215" i="13" s="1"/>
  <c r="O205" i="15"/>
  <c r="S205" i="15" s="1"/>
  <c r="L206" i="15" s="1"/>
  <c r="K206" i="15" s="1"/>
  <c r="N207" i="14"/>
  <c r="K207" i="14"/>
  <c r="Q210" i="16"/>
  <c r="R216" i="17"/>
  <c r="T216" i="17" s="1"/>
  <c r="M217" i="17" s="1"/>
  <c r="O216" i="17"/>
  <c r="S216" i="17" s="1"/>
  <c r="L217" i="17" s="1"/>
  <c r="J207" i="14" l="1"/>
  <c r="Q207" i="14" s="1"/>
  <c r="P207" i="14" s="1"/>
  <c r="N215" i="13"/>
  <c r="J215" i="13" s="1"/>
  <c r="N206" i="15"/>
  <c r="J206" i="15" s="1"/>
  <c r="Q206" i="15" s="1"/>
  <c r="P206" i="15" s="1"/>
  <c r="R206" i="15" s="1"/>
  <c r="T206" i="15" s="1"/>
  <c r="M207" i="15" s="1"/>
  <c r="P210" i="16"/>
  <c r="R210" i="16" s="1"/>
  <c r="T210" i="16" s="1"/>
  <c r="M211" i="16" s="1"/>
  <c r="K217" i="17"/>
  <c r="N217" i="17"/>
  <c r="O206" i="15" l="1"/>
  <c r="S206" i="15" s="1"/>
  <c r="L207" i="15" s="1"/>
  <c r="N207" i="15" s="1"/>
  <c r="Q215" i="13"/>
  <c r="P215" i="13" s="1"/>
  <c r="R215" i="13" s="1"/>
  <c r="T215" i="13" s="1"/>
  <c r="M216" i="13" s="1"/>
  <c r="R207" i="14"/>
  <c r="T207" i="14" s="1"/>
  <c r="M208" i="14" s="1"/>
  <c r="O207" i="14"/>
  <c r="S207" i="14" s="1"/>
  <c r="L208" i="14" s="1"/>
  <c r="O210" i="16"/>
  <c r="S210" i="16" s="1"/>
  <c r="L211" i="16" s="1"/>
  <c r="J217" i="17"/>
  <c r="K207" i="15" l="1"/>
  <c r="J207" i="15" s="1"/>
  <c r="Q207" i="15" s="1"/>
  <c r="P207" i="15" s="1"/>
  <c r="O215" i="13"/>
  <c r="S215" i="13" s="1"/>
  <c r="L216" i="13" s="1"/>
  <c r="N216" i="13" s="1"/>
  <c r="N211" i="16"/>
  <c r="K211" i="16"/>
  <c r="K208" i="14"/>
  <c r="N208" i="14"/>
  <c r="Q217" i="17"/>
  <c r="P217" i="17" s="1"/>
  <c r="J211" i="16" l="1"/>
  <c r="Q211" i="16" s="1"/>
  <c r="P211" i="16" s="1"/>
  <c r="K216" i="13"/>
  <c r="J216" i="13" s="1"/>
  <c r="Q216" i="13" s="1"/>
  <c r="P216" i="13" s="1"/>
  <c r="R216" i="13" s="1"/>
  <c r="T216" i="13" s="1"/>
  <c r="M217" i="13" s="1"/>
  <c r="R217" i="17"/>
  <c r="T217" i="17" s="1"/>
  <c r="M218" i="17" s="1"/>
  <c r="O217" i="17"/>
  <c r="S217" i="17" s="1"/>
  <c r="L218" i="17" s="1"/>
  <c r="R207" i="15"/>
  <c r="T207" i="15" s="1"/>
  <c r="M208" i="15" s="1"/>
  <c r="O207" i="15"/>
  <c r="S207" i="15" s="1"/>
  <c r="L208" i="15" s="1"/>
  <c r="J208" i="14"/>
  <c r="K218" i="17" l="1"/>
  <c r="N218" i="17"/>
  <c r="O216" i="13"/>
  <c r="S216" i="13" s="1"/>
  <c r="L217" i="13" s="1"/>
  <c r="R211" i="16"/>
  <c r="T211" i="16" s="1"/>
  <c r="M212" i="16" s="1"/>
  <c r="O211" i="16"/>
  <c r="S211" i="16" s="1"/>
  <c r="L212" i="16" s="1"/>
  <c r="Q208" i="14"/>
  <c r="P208" i="14" s="1"/>
  <c r="K208" i="15"/>
  <c r="N208" i="15"/>
  <c r="J218" i="17" l="1"/>
  <c r="Q218" i="17" s="1"/>
  <c r="R208" i="14"/>
  <c r="T208" i="14" s="1"/>
  <c r="M209" i="14" s="1"/>
  <c r="O208" i="14"/>
  <c r="S208" i="14" s="1"/>
  <c r="L209" i="14" s="1"/>
  <c r="N209" i="14" s="1"/>
  <c r="K217" i="13"/>
  <c r="N217" i="13"/>
  <c r="J208" i="15"/>
  <c r="N212" i="16"/>
  <c r="K212" i="16"/>
  <c r="K209" i="14" l="1"/>
  <c r="J209" i="14" s="1"/>
  <c r="J212" i="16"/>
  <c r="Q212" i="16" s="1"/>
  <c r="P212" i="16" s="1"/>
  <c r="J217" i="13"/>
  <c r="Q208" i="15"/>
  <c r="P208" i="15" s="1"/>
  <c r="R208" i="15" s="1"/>
  <c r="T208" i="15" s="1"/>
  <c r="M209" i="15" s="1"/>
  <c r="P218" i="17"/>
  <c r="R218" i="17" s="1"/>
  <c r="T218" i="17" s="1"/>
  <c r="M219" i="17" s="1"/>
  <c r="O208" i="15" l="1"/>
  <c r="S208" i="15" s="1"/>
  <c r="L209" i="15" s="1"/>
  <c r="N209" i="15" s="1"/>
  <c r="Q217" i="13"/>
  <c r="P217" i="13" s="1"/>
  <c r="R217" i="13" s="1"/>
  <c r="T217" i="13" s="1"/>
  <c r="M218" i="13" s="1"/>
  <c r="O212" i="16"/>
  <c r="S212" i="16" s="1"/>
  <c r="L213" i="16" s="1"/>
  <c r="R212" i="16"/>
  <c r="T212" i="16" s="1"/>
  <c r="M213" i="16" s="1"/>
  <c r="Q209" i="14"/>
  <c r="P209" i="14" s="1"/>
  <c r="R209" i="14" s="1"/>
  <c r="T209" i="14" s="1"/>
  <c r="M210" i="14" s="1"/>
  <c r="O218" i="17"/>
  <c r="S218" i="17" s="1"/>
  <c r="L219" i="17" s="1"/>
  <c r="K209" i="15" l="1"/>
  <c r="J209" i="15" s="1"/>
  <c r="Q209" i="15" s="1"/>
  <c r="P209" i="15" s="1"/>
  <c r="R209" i="15" s="1"/>
  <c r="T209" i="15" s="1"/>
  <c r="M210" i="15" s="1"/>
  <c r="O217" i="13"/>
  <c r="S217" i="13" s="1"/>
  <c r="L218" i="13" s="1"/>
  <c r="O209" i="14"/>
  <c r="S209" i="14" s="1"/>
  <c r="L210" i="14" s="1"/>
  <c r="K213" i="16"/>
  <c r="N213" i="16"/>
  <c r="K219" i="17"/>
  <c r="N219" i="17"/>
  <c r="O209" i="15" l="1"/>
  <c r="S209" i="15" s="1"/>
  <c r="L210" i="15" s="1"/>
  <c r="K210" i="15" s="1"/>
  <c r="K218" i="13"/>
  <c r="N218" i="13"/>
  <c r="J213" i="16"/>
  <c r="K210" i="14"/>
  <c r="N210" i="14"/>
  <c r="J219" i="17"/>
  <c r="N210" i="15" l="1"/>
  <c r="J210" i="15" s="1"/>
  <c r="Q210" i="15" s="1"/>
  <c r="P210" i="15" s="1"/>
  <c r="R210" i="15" s="1"/>
  <c r="T210" i="15" s="1"/>
  <c r="M211" i="15" s="1"/>
  <c r="J218" i="13"/>
  <c r="J210" i="14"/>
  <c r="Q213" i="16"/>
  <c r="P213" i="16" s="1"/>
  <c r="R213" i="16" s="1"/>
  <c r="T213" i="16" s="1"/>
  <c r="M214" i="16" s="1"/>
  <c r="Q219" i="17"/>
  <c r="P219" i="17" s="1"/>
  <c r="R219" i="17" s="1"/>
  <c r="T219" i="17" s="1"/>
  <c r="M220" i="17" s="1"/>
  <c r="O210" i="15" l="1"/>
  <c r="S210" i="15" s="1"/>
  <c r="L211" i="15" s="1"/>
  <c r="K211" i="15" s="1"/>
  <c r="Q218" i="13"/>
  <c r="P218" i="13" s="1"/>
  <c r="R218" i="13" s="1"/>
  <c r="T218" i="13" s="1"/>
  <c r="M219" i="13" s="1"/>
  <c r="O213" i="16"/>
  <c r="S213" i="16" s="1"/>
  <c r="L214" i="16" s="1"/>
  <c r="O219" i="17"/>
  <c r="S219" i="17" s="1"/>
  <c r="L220" i="17" s="1"/>
  <c r="N220" i="17" s="1"/>
  <c r="Q210" i="14"/>
  <c r="P210" i="14" s="1"/>
  <c r="R210" i="14" s="1"/>
  <c r="T210" i="14" s="1"/>
  <c r="M211" i="14" s="1"/>
  <c r="N211" i="15" l="1"/>
  <c r="J211" i="15" s="1"/>
  <c r="O218" i="13"/>
  <c r="S218" i="13" s="1"/>
  <c r="L219" i="13" s="1"/>
  <c r="K219" i="13" s="1"/>
  <c r="K220" i="17"/>
  <c r="J220" i="17" s="1"/>
  <c r="Q220" i="17" s="1"/>
  <c r="O210" i="14"/>
  <c r="S210" i="14" s="1"/>
  <c r="L211" i="14" s="1"/>
  <c r="K211" i="14" s="1"/>
  <c r="K214" i="16"/>
  <c r="N214" i="16"/>
  <c r="N219" i="13" l="1"/>
  <c r="J219" i="13" s="1"/>
  <c r="N211" i="14"/>
  <c r="J211" i="14" s="1"/>
  <c r="J214" i="16"/>
  <c r="Q214" i="16" s="1"/>
  <c r="P214" i="16" s="1"/>
  <c r="R214" i="16" s="1"/>
  <c r="T214" i="16" s="1"/>
  <c r="M215" i="16" s="1"/>
  <c r="Q211" i="15"/>
  <c r="P211" i="15" s="1"/>
  <c r="R211" i="15" s="1"/>
  <c r="T211" i="15" s="1"/>
  <c r="M212" i="15" s="1"/>
  <c r="P220" i="17"/>
  <c r="R220" i="17" s="1"/>
  <c r="T220" i="17" s="1"/>
  <c r="M221" i="17" s="1"/>
  <c r="O214" i="16" l="1"/>
  <c r="S214" i="16" s="1"/>
  <c r="L215" i="16" s="1"/>
  <c r="K215" i="16" s="1"/>
  <c r="O211" i="15"/>
  <c r="S211" i="15" s="1"/>
  <c r="L212" i="15" s="1"/>
  <c r="N212" i="15" s="1"/>
  <c r="Q219" i="13"/>
  <c r="P219" i="13" s="1"/>
  <c r="Q211" i="14"/>
  <c r="P211" i="14" s="1"/>
  <c r="R211" i="14" s="1"/>
  <c r="T211" i="14" s="1"/>
  <c r="M212" i="14" s="1"/>
  <c r="O220" i="17"/>
  <c r="S220" i="17" s="1"/>
  <c r="L221" i="17" s="1"/>
  <c r="N215" i="16" l="1"/>
  <c r="J215" i="16" s="1"/>
  <c r="Q215" i="16" s="1"/>
  <c r="P215" i="16" s="1"/>
  <c r="K212" i="15"/>
  <c r="J212" i="15" s="1"/>
  <c r="Q212" i="15" s="1"/>
  <c r="P212" i="15" s="1"/>
  <c r="O212" i="15" s="1"/>
  <c r="S212" i="15" s="1"/>
  <c r="L213" i="15" s="1"/>
  <c r="R219" i="13"/>
  <c r="T219" i="13" s="1"/>
  <c r="M220" i="13" s="1"/>
  <c r="O219" i="13"/>
  <c r="S219" i="13" s="1"/>
  <c r="L220" i="13" s="1"/>
  <c r="K221" i="17"/>
  <c r="N221" i="17"/>
  <c r="O211" i="14"/>
  <c r="S211" i="14" s="1"/>
  <c r="L212" i="14" s="1"/>
  <c r="R212" i="15" l="1"/>
  <c r="T212" i="15" s="1"/>
  <c r="M213" i="15" s="1"/>
  <c r="K213" i="15" s="1"/>
  <c r="N220" i="13"/>
  <c r="K220" i="13"/>
  <c r="R215" i="16"/>
  <c r="T215" i="16" s="1"/>
  <c r="M216" i="16" s="1"/>
  <c r="O215" i="16"/>
  <c r="S215" i="16" s="1"/>
  <c r="L216" i="16" s="1"/>
  <c r="N213" i="15"/>
  <c r="J221" i="17"/>
  <c r="N212" i="14"/>
  <c r="K212" i="14"/>
  <c r="J220" i="13" l="1"/>
  <c r="Q220" i="13" s="1"/>
  <c r="P220" i="13" s="1"/>
  <c r="J213" i="15"/>
  <c r="Q213" i="15" s="1"/>
  <c r="P213" i="15" s="1"/>
  <c r="R213" i="15" s="1"/>
  <c r="T213" i="15" s="1"/>
  <c r="M214" i="15" s="1"/>
  <c r="J212" i="14"/>
  <c r="Q212" i="14" s="1"/>
  <c r="P212" i="14" s="1"/>
  <c r="Q221" i="17"/>
  <c r="P221" i="17" s="1"/>
  <c r="R221" i="17" s="1"/>
  <c r="T221" i="17" s="1"/>
  <c r="M222" i="17" s="1"/>
  <c r="K216" i="16"/>
  <c r="N216" i="16"/>
  <c r="R212" i="14" l="1"/>
  <c r="T212" i="14" s="1"/>
  <c r="M213" i="14" s="1"/>
  <c r="O212" i="14"/>
  <c r="S212" i="14" s="1"/>
  <c r="L213" i="14" s="1"/>
  <c r="N213" i="14" s="1"/>
  <c r="R220" i="13"/>
  <c r="T220" i="13" s="1"/>
  <c r="M221" i="13" s="1"/>
  <c r="O220" i="13"/>
  <c r="S220" i="13" s="1"/>
  <c r="L221" i="13" s="1"/>
  <c r="J216" i="16"/>
  <c r="Q216" i="16" s="1"/>
  <c r="P216" i="16" s="1"/>
  <c r="R216" i="16" s="1"/>
  <c r="T216" i="16" s="1"/>
  <c r="M217" i="16" s="1"/>
  <c r="O221" i="17"/>
  <c r="S221" i="17" s="1"/>
  <c r="L222" i="17" s="1"/>
  <c r="O213" i="15"/>
  <c r="S213" i="15" s="1"/>
  <c r="L214" i="15" s="1"/>
  <c r="K213" i="14" l="1"/>
  <c r="J213" i="14" s="1"/>
  <c r="O216" i="16"/>
  <c r="S216" i="16" s="1"/>
  <c r="L217" i="16" s="1"/>
  <c r="N217" i="16" s="1"/>
  <c r="K221" i="13"/>
  <c r="N221" i="13"/>
  <c r="N214" i="15"/>
  <c r="K214" i="15"/>
  <c r="N222" i="17"/>
  <c r="K222" i="17"/>
  <c r="J214" i="15" l="1"/>
  <c r="Q214" i="15" s="1"/>
  <c r="P214" i="15" s="1"/>
  <c r="K217" i="16"/>
  <c r="J217" i="16" s="1"/>
  <c r="J221" i="13"/>
  <c r="Q221" i="13" s="1"/>
  <c r="P221" i="13" s="1"/>
  <c r="R221" i="13" s="1"/>
  <c r="T221" i="13" s="1"/>
  <c r="M222" i="13" s="1"/>
  <c r="J222" i="17"/>
  <c r="Q222" i="17" s="1"/>
  <c r="Q213" i="14"/>
  <c r="P213" i="14" s="1"/>
  <c r="R213" i="14" s="1"/>
  <c r="T213" i="14" s="1"/>
  <c r="M214" i="14" s="1"/>
  <c r="O213" i="14" l="1"/>
  <c r="S213" i="14" s="1"/>
  <c r="L214" i="14" s="1"/>
  <c r="N214" i="14" s="1"/>
  <c r="O221" i="13"/>
  <c r="S221" i="13" s="1"/>
  <c r="L222" i="13" s="1"/>
  <c r="O214" i="15"/>
  <c r="S214" i="15" s="1"/>
  <c r="L215" i="15" s="1"/>
  <c r="R214" i="15"/>
  <c r="T214" i="15" s="1"/>
  <c r="M215" i="15" s="1"/>
  <c r="Q217" i="16"/>
  <c r="P222" i="17"/>
  <c r="R222" i="17" s="1"/>
  <c r="T222" i="17" s="1"/>
  <c r="M223" i="17" s="1"/>
  <c r="K214" i="14" l="1"/>
  <c r="J214" i="14" s="1"/>
  <c r="Q214" i="14" s="1"/>
  <c r="P214" i="14" s="1"/>
  <c r="N222" i="13"/>
  <c r="K222" i="13"/>
  <c r="O222" i="17"/>
  <c r="S222" i="17" s="1"/>
  <c r="L223" i="17" s="1"/>
  <c r="P217" i="16"/>
  <c r="R217" i="16" s="1"/>
  <c r="T217" i="16" s="1"/>
  <c r="M218" i="16" s="1"/>
  <c r="K215" i="15"/>
  <c r="N215" i="15"/>
  <c r="J222" i="13" l="1"/>
  <c r="Q222" i="13" s="1"/>
  <c r="P222" i="13" s="1"/>
  <c r="R222" i="13" s="1"/>
  <c r="T222" i="13" s="1"/>
  <c r="M223" i="13" s="1"/>
  <c r="R214" i="14"/>
  <c r="T214" i="14" s="1"/>
  <c r="M215" i="14" s="1"/>
  <c r="O214" i="14"/>
  <c r="S214" i="14" s="1"/>
  <c r="L215" i="14" s="1"/>
  <c r="J215" i="15"/>
  <c r="O217" i="16"/>
  <c r="S217" i="16" s="1"/>
  <c r="L218" i="16" s="1"/>
  <c r="K223" i="17"/>
  <c r="N223" i="17"/>
  <c r="O222" i="13" l="1"/>
  <c r="S222" i="13" s="1"/>
  <c r="L223" i="13" s="1"/>
  <c r="K223" i="13" s="1"/>
  <c r="K218" i="16"/>
  <c r="N218" i="16"/>
  <c r="J223" i="17"/>
  <c r="Q215" i="15"/>
  <c r="N215" i="14"/>
  <c r="K215" i="14"/>
  <c r="N223" i="13" l="1"/>
  <c r="J223" i="13" s="1"/>
  <c r="Q223" i="13" s="1"/>
  <c r="J215" i="14"/>
  <c r="P215" i="15"/>
  <c r="R215" i="15" s="1"/>
  <c r="T215" i="15" s="1"/>
  <c r="M216" i="15" s="1"/>
  <c r="J218" i="16"/>
  <c r="Q223" i="17"/>
  <c r="P223" i="17" s="1"/>
  <c r="R223" i="17" s="1"/>
  <c r="T223" i="17" s="1"/>
  <c r="M224" i="17" s="1"/>
  <c r="P223" i="13" l="1"/>
  <c r="R223" i="13" s="1"/>
  <c r="T223" i="13" s="1"/>
  <c r="M224" i="13" s="1"/>
  <c r="Q215" i="14"/>
  <c r="P215" i="14" s="1"/>
  <c r="R215" i="14" s="1"/>
  <c r="T215" i="14" s="1"/>
  <c r="M216" i="14" s="1"/>
  <c r="Q218" i="16"/>
  <c r="P218" i="16" s="1"/>
  <c r="R218" i="16" s="1"/>
  <c r="T218" i="16" s="1"/>
  <c r="M219" i="16" s="1"/>
  <c r="O223" i="17"/>
  <c r="S223" i="17" s="1"/>
  <c r="L224" i="17" s="1"/>
  <c r="O215" i="15"/>
  <c r="S215" i="15" s="1"/>
  <c r="L216" i="15" s="1"/>
  <c r="O223" i="13" l="1"/>
  <c r="S223" i="13" s="1"/>
  <c r="L224" i="13" s="1"/>
  <c r="O215" i="14"/>
  <c r="S215" i="14" s="1"/>
  <c r="L216" i="14" s="1"/>
  <c r="N224" i="17"/>
  <c r="K224" i="17"/>
  <c r="K216" i="15"/>
  <c r="N216" i="15"/>
  <c r="O218" i="16"/>
  <c r="S218" i="16" s="1"/>
  <c r="L219" i="16" s="1"/>
  <c r="J224" i="17" l="1"/>
  <c r="Q224" i="17" s="1"/>
  <c r="K224" i="13"/>
  <c r="N224" i="13"/>
  <c r="N216" i="14"/>
  <c r="K216" i="14"/>
  <c r="K219" i="16"/>
  <c r="N219" i="16"/>
  <c r="J216" i="15"/>
  <c r="J216" i="14" l="1"/>
  <c r="Q216" i="14" s="1"/>
  <c r="P216" i="14" s="1"/>
  <c r="R216" i="14" s="1"/>
  <c r="T216" i="14" s="1"/>
  <c r="M217" i="14" s="1"/>
  <c r="J224" i="13"/>
  <c r="Q224" i="13" s="1"/>
  <c r="P224" i="13" s="1"/>
  <c r="R224" i="13" s="1"/>
  <c r="T224" i="13" s="1"/>
  <c r="M225" i="13" s="1"/>
  <c r="J219" i="16"/>
  <c r="Q216" i="15"/>
  <c r="P216" i="15" s="1"/>
  <c r="R216" i="15" s="1"/>
  <c r="T216" i="15" s="1"/>
  <c r="M217" i="15" s="1"/>
  <c r="P224" i="17"/>
  <c r="R224" i="17" s="1"/>
  <c r="T224" i="17" s="1"/>
  <c r="M225" i="17" s="1"/>
  <c r="O224" i="13" l="1"/>
  <c r="S224" i="13" s="1"/>
  <c r="L225" i="13" s="1"/>
  <c r="K225" i="13" s="1"/>
  <c r="O216" i="15"/>
  <c r="S216" i="15" s="1"/>
  <c r="L217" i="15" s="1"/>
  <c r="N217" i="15" s="1"/>
  <c r="O216" i="14"/>
  <c r="S216" i="14" s="1"/>
  <c r="L217" i="14" s="1"/>
  <c r="N217" i="14" s="1"/>
  <c r="O224" i="17"/>
  <c r="S224" i="17" s="1"/>
  <c r="L225" i="17" s="1"/>
  <c r="Q219" i="16"/>
  <c r="P219" i="16" s="1"/>
  <c r="R219" i="16" s="1"/>
  <c r="T219" i="16" s="1"/>
  <c r="M220" i="16" s="1"/>
  <c r="K217" i="15" l="1"/>
  <c r="J217" i="15" s="1"/>
  <c r="Q217" i="15" s="1"/>
  <c r="P217" i="15" s="1"/>
  <c r="R217" i="15" s="1"/>
  <c r="T217" i="15" s="1"/>
  <c r="M218" i="15" s="1"/>
  <c r="N225" i="13"/>
  <c r="J225" i="13" s="1"/>
  <c r="K217" i="14"/>
  <c r="J217" i="14" s="1"/>
  <c r="Q217" i="14" s="1"/>
  <c r="P217" i="14" s="1"/>
  <c r="O219" i="16"/>
  <c r="S219" i="16" s="1"/>
  <c r="L220" i="16" s="1"/>
  <c r="N220" i="16" s="1"/>
  <c r="K225" i="17"/>
  <c r="N225" i="17"/>
  <c r="K220" i="16" l="1"/>
  <c r="J220" i="16" s="1"/>
  <c r="Q220" i="16" s="1"/>
  <c r="P220" i="16" s="1"/>
  <c r="R220" i="16" s="1"/>
  <c r="T220" i="16" s="1"/>
  <c r="M221" i="16" s="1"/>
  <c r="Q225" i="13"/>
  <c r="P225" i="13" s="1"/>
  <c r="R225" i="13" s="1"/>
  <c r="T225" i="13" s="1"/>
  <c r="M226" i="13" s="1"/>
  <c r="O217" i="14"/>
  <c r="S217" i="14" s="1"/>
  <c r="L218" i="14" s="1"/>
  <c r="N218" i="14" s="1"/>
  <c r="R217" i="14"/>
  <c r="T217" i="14" s="1"/>
  <c r="M218" i="14" s="1"/>
  <c r="O217" i="15"/>
  <c r="S217" i="15" s="1"/>
  <c r="L218" i="15" s="1"/>
  <c r="J225" i="17"/>
  <c r="K218" i="14" l="1"/>
  <c r="J218" i="14" s="1"/>
  <c r="O220" i="16"/>
  <c r="S220" i="16" s="1"/>
  <c r="L221" i="16" s="1"/>
  <c r="K221" i="16" s="1"/>
  <c r="O225" i="13"/>
  <c r="S225" i="13" s="1"/>
  <c r="L226" i="13" s="1"/>
  <c r="Q225" i="17"/>
  <c r="P225" i="17" s="1"/>
  <c r="R225" i="17" s="1"/>
  <c r="T225" i="17" s="1"/>
  <c r="M226" i="17" s="1"/>
  <c r="K218" i="15"/>
  <c r="N218" i="15"/>
  <c r="N221" i="16" l="1"/>
  <c r="J221" i="16" s="1"/>
  <c r="N226" i="13"/>
  <c r="K226" i="13"/>
  <c r="Q218" i="14"/>
  <c r="J218" i="15"/>
  <c r="O225" i="17"/>
  <c r="S225" i="17" s="1"/>
  <c r="L226" i="17" s="1"/>
  <c r="J226" i="13" l="1"/>
  <c r="Q226" i="13" s="1"/>
  <c r="P226" i="13" s="1"/>
  <c r="P218" i="14"/>
  <c r="R218" i="14" s="1"/>
  <c r="T218" i="14" s="1"/>
  <c r="M219" i="14" s="1"/>
  <c r="Q221" i="16"/>
  <c r="P221" i="16" s="1"/>
  <c r="K226" i="17"/>
  <c r="N226" i="17"/>
  <c r="Q218" i="15"/>
  <c r="P218" i="15" s="1"/>
  <c r="R218" i="15" s="1"/>
  <c r="T218" i="15" s="1"/>
  <c r="M219" i="15" s="1"/>
  <c r="O218" i="15" l="1"/>
  <c r="S218" i="15" s="1"/>
  <c r="L219" i="15" s="1"/>
  <c r="K219" i="15" s="1"/>
  <c r="O226" i="13"/>
  <c r="S226" i="13" s="1"/>
  <c r="L227" i="13" s="1"/>
  <c r="R226" i="13"/>
  <c r="T226" i="13" s="1"/>
  <c r="M227" i="13" s="1"/>
  <c r="O218" i="14"/>
  <c r="S218" i="14" s="1"/>
  <c r="L219" i="14" s="1"/>
  <c r="J226" i="17"/>
  <c r="O221" i="16"/>
  <c r="S221" i="16" s="1"/>
  <c r="L222" i="16" s="1"/>
  <c r="R221" i="16"/>
  <c r="T221" i="16" s="1"/>
  <c r="M222" i="16" s="1"/>
  <c r="N219" i="15" l="1"/>
  <c r="J219" i="15" s="1"/>
  <c r="K219" i="14"/>
  <c r="N219" i="14"/>
  <c r="N227" i="13"/>
  <c r="K227" i="13"/>
  <c r="K222" i="16"/>
  <c r="N222" i="16"/>
  <c r="Q226" i="17"/>
  <c r="P226" i="17" s="1"/>
  <c r="R226" i="17" s="1"/>
  <c r="T226" i="17" s="1"/>
  <c r="M227" i="17" s="1"/>
  <c r="J227" i="13" l="1"/>
  <c r="Q227" i="13" s="1"/>
  <c r="P227" i="13" s="1"/>
  <c r="R227" i="13" s="1"/>
  <c r="T227" i="13" s="1"/>
  <c r="M228" i="13" s="1"/>
  <c r="J219" i="14"/>
  <c r="Q219" i="15"/>
  <c r="P219" i="15" s="1"/>
  <c r="O226" i="17"/>
  <c r="S226" i="17" s="1"/>
  <c r="L227" i="17" s="1"/>
  <c r="J222" i="16"/>
  <c r="Q219" i="14" l="1"/>
  <c r="P219" i="14" s="1"/>
  <c r="R219" i="14" s="1"/>
  <c r="T219" i="14" s="1"/>
  <c r="M220" i="14" s="1"/>
  <c r="O227" i="13"/>
  <c r="S227" i="13" s="1"/>
  <c r="L228" i="13" s="1"/>
  <c r="Q222" i="16"/>
  <c r="P222" i="16" s="1"/>
  <c r="R222" i="16" s="1"/>
  <c r="T222" i="16" s="1"/>
  <c r="M223" i="16" s="1"/>
  <c r="K227" i="17"/>
  <c r="N227" i="17"/>
  <c r="O219" i="15"/>
  <c r="S219" i="15" s="1"/>
  <c r="L220" i="15" s="1"/>
  <c r="R219" i="15"/>
  <c r="T219" i="15" s="1"/>
  <c r="M220" i="15" s="1"/>
  <c r="O219" i="14" l="1"/>
  <c r="S219" i="14" s="1"/>
  <c r="L220" i="14" s="1"/>
  <c r="N220" i="14" s="1"/>
  <c r="O222" i="16"/>
  <c r="S222" i="16" s="1"/>
  <c r="L223" i="16" s="1"/>
  <c r="K223" i="16" s="1"/>
  <c r="N228" i="13"/>
  <c r="K228" i="13"/>
  <c r="K220" i="15"/>
  <c r="N220" i="15"/>
  <c r="J227" i="17"/>
  <c r="J228" i="13" l="1"/>
  <c r="Q228" i="13" s="1"/>
  <c r="P228" i="13" s="1"/>
  <c r="R228" i="13" s="1"/>
  <c r="T228" i="13" s="1"/>
  <c r="M229" i="13" s="1"/>
  <c r="K220" i="14"/>
  <c r="J220" i="14" s="1"/>
  <c r="Q220" i="14" s="1"/>
  <c r="P220" i="14" s="1"/>
  <c r="R220" i="14" s="1"/>
  <c r="T220" i="14" s="1"/>
  <c r="M221" i="14" s="1"/>
  <c r="N223" i="16"/>
  <c r="J223" i="16" s="1"/>
  <c r="Q227" i="17"/>
  <c r="P227" i="17" s="1"/>
  <c r="R227" i="17" s="1"/>
  <c r="T227" i="17" s="1"/>
  <c r="M228" i="17" s="1"/>
  <c r="J220" i="15"/>
  <c r="O220" i="14" l="1"/>
  <c r="S220" i="14" s="1"/>
  <c r="L221" i="14" s="1"/>
  <c r="K221" i="14" s="1"/>
  <c r="O228" i="13"/>
  <c r="S228" i="13" s="1"/>
  <c r="L229" i="13" s="1"/>
  <c r="K229" i="13" s="1"/>
  <c r="O227" i="17"/>
  <c r="S227" i="17" s="1"/>
  <c r="L228" i="17" s="1"/>
  <c r="N228" i="17" s="1"/>
  <c r="Q220" i="15"/>
  <c r="P220" i="15" s="1"/>
  <c r="R220" i="15" s="1"/>
  <c r="T220" i="15" s="1"/>
  <c r="M221" i="15" s="1"/>
  <c r="Q223" i="16"/>
  <c r="P223" i="16" s="1"/>
  <c r="R223" i="16" s="1"/>
  <c r="T223" i="16" s="1"/>
  <c r="M224" i="16" s="1"/>
  <c r="N221" i="14" l="1"/>
  <c r="J221" i="14" s="1"/>
  <c r="Q221" i="14" s="1"/>
  <c r="K228" i="17"/>
  <c r="J228" i="17" s="1"/>
  <c r="Q228" i="17" s="1"/>
  <c r="N229" i="13"/>
  <c r="J229" i="13" s="1"/>
  <c r="O220" i="15"/>
  <c r="S220" i="15" s="1"/>
  <c r="L221" i="15" s="1"/>
  <c r="K221" i="15" s="1"/>
  <c r="O223" i="16"/>
  <c r="S223" i="16" s="1"/>
  <c r="L224" i="16" s="1"/>
  <c r="K224" i="16" s="1"/>
  <c r="N221" i="15" l="1"/>
  <c r="J221" i="15" s="1"/>
  <c r="Q221" i="15" s="1"/>
  <c r="P221" i="15" s="1"/>
  <c r="N224" i="16"/>
  <c r="J224" i="16" s="1"/>
  <c r="Q224" i="16" s="1"/>
  <c r="P224" i="16" s="1"/>
  <c r="R224" i="16" s="1"/>
  <c r="T224" i="16" s="1"/>
  <c r="M225" i="16" s="1"/>
  <c r="Q229" i="13"/>
  <c r="P229" i="13" s="1"/>
  <c r="R229" i="13" s="1"/>
  <c r="T229" i="13" s="1"/>
  <c r="M230" i="13" s="1"/>
  <c r="P228" i="17"/>
  <c r="R228" i="17" s="1"/>
  <c r="T228" i="17" s="1"/>
  <c r="M229" i="17" s="1"/>
  <c r="P221" i="14"/>
  <c r="R221" i="14" s="1"/>
  <c r="T221" i="14" s="1"/>
  <c r="M222" i="14" s="1"/>
  <c r="O229" i="13" l="1"/>
  <c r="S229" i="13" s="1"/>
  <c r="L230" i="13" s="1"/>
  <c r="K230" i="13" s="1"/>
  <c r="R221" i="15"/>
  <c r="T221" i="15" s="1"/>
  <c r="M222" i="15" s="1"/>
  <c r="O221" i="15"/>
  <c r="S221" i="15" s="1"/>
  <c r="L222" i="15" s="1"/>
  <c r="O228" i="17"/>
  <c r="S228" i="17" s="1"/>
  <c r="L229" i="17" s="1"/>
  <c r="O224" i="16"/>
  <c r="S224" i="16" s="1"/>
  <c r="L225" i="16" s="1"/>
  <c r="O221" i="14"/>
  <c r="S221" i="14" s="1"/>
  <c r="L222" i="14" s="1"/>
  <c r="N230" i="13" l="1"/>
  <c r="J230" i="13" s="1"/>
  <c r="Q230" i="13" s="1"/>
  <c r="P230" i="13" s="1"/>
  <c r="R230" i="13" s="1"/>
  <c r="T230" i="13" s="1"/>
  <c r="M231" i="13" s="1"/>
  <c r="K225" i="16"/>
  <c r="N225" i="16"/>
  <c r="N222" i="15"/>
  <c r="K222" i="15"/>
  <c r="K229" i="17"/>
  <c r="N229" i="17"/>
  <c r="K222" i="14"/>
  <c r="N222" i="14"/>
  <c r="J222" i="15" l="1"/>
  <c r="Q222" i="15" s="1"/>
  <c r="P222" i="15" s="1"/>
  <c r="R222" i="15" s="1"/>
  <c r="T222" i="15" s="1"/>
  <c r="M223" i="15" s="1"/>
  <c r="O230" i="13"/>
  <c r="S230" i="13" s="1"/>
  <c r="L231" i="13" s="1"/>
  <c r="J229" i="17"/>
  <c r="J225" i="16"/>
  <c r="J222" i="14"/>
  <c r="K231" i="13" l="1"/>
  <c r="N231" i="13"/>
  <c r="Q225" i="16"/>
  <c r="P225" i="16" s="1"/>
  <c r="R225" i="16" s="1"/>
  <c r="T225" i="16" s="1"/>
  <c r="M226" i="16" s="1"/>
  <c r="Q229" i="17"/>
  <c r="O222" i="15"/>
  <c r="S222" i="15" s="1"/>
  <c r="L223" i="15" s="1"/>
  <c r="Q222" i="14"/>
  <c r="P222" i="14" s="1"/>
  <c r="R222" i="14" s="1"/>
  <c r="T222" i="14" s="1"/>
  <c r="M223" i="14" s="1"/>
  <c r="O225" i="16" l="1"/>
  <c r="S225" i="16" s="1"/>
  <c r="L226" i="16" s="1"/>
  <c r="N226" i="16" s="1"/>
  <c r="J231" i="13"/>
  <c r="N223" i="15"/>
  <c r="K223" i="15"/>
  <c r="O222" i="14"/>
  <c r="S222" i="14" s="1"/>
  <c r="L223" i="14" s="1"/>
  <c r="N223" i="14" s="1"/>
  <c r="P229" i="17"/>
  <c r="R229" i="17" s="1"/>
  <c r="T229" i="17" s="1"/>
  <c r="M230" i="17" s="1"/>
  <c r="K226" i="16" l="1"/>
  <c r="J226" i="16" s="1"/>
  <c r="Q226" i="16" s="1"/>
  <c r="P226" i="16" s="1"/>
  <c r="R226" i="16" s="1"/>
  <c r="T226" i="16" s="1"/>
  <c r="M227" i="16" s="1"/>
  <c r="J223" i="15"/>
  <c r="Q223" i="15" s="1"/>
  <c r="P223" i="15" s="1"/>
  <c r="R223" i="15" s="1"/>
  <c r="T223" i="15" s="1"/>
  <c r="M224" i="15" s="1"/>
  <c r="K223" i="14"/>
  <c r="J223" i="14" s="1"/>
  <c r="Q223" i="14" s="1"/>
  <c r="Q231" i="13"/>
  <c r="P231" i="13" s="1"/>
  <c r="R231" i="13" s="1"/>
  <c r="T231" i="13" s="1"/>
  <c r="M232" i="13" s="1"/>
  <c r="O229" i="17"/>
  <c r="S229" i="17" s="1"/>
  <c r="L230" i="17" s="1"/>
  <c r="O231" i="13" l="1"/>
  <c r="S231" i="13" s="1"/>
  <c r="L232" i="13" s="1"/>
  <c r="N232" i="13" s="1"/>
  <c r="P223" i="14"/>
  <c r="R223" i="14" s="1"/>
  <c r="T223" i="14" s="1"/>
  <c r="M224" i="14" s="1"/>
  <c r="O226" i="16"/>
  <c r="S226" i="16" s="1"/>
  <c r="L227" i="16" s="1"/>
  <c r="K230" i="17"/>
  <c r="N230" i="17"/>
  <c r="O223" i="15"/>
  <c r="S223" i="15" s="1"/>
  <c r="L224" i="15" s="1"/>
  <c r="K232" i="13" l="1"/>
  <c r="J232" i="13" s="1"/>
  <c r="Q232" i="13" s="1"/>
  <c r="P232" i="13" s="1"/>
  <c r="O223" i="14"/>
  <c r="S223" i="14" s="1"/>
  <c r="L224" i="14" s="1"/>
  <c r="K224" i="14" s="1"/>
  <c r="N224" i="15"/>
  <c r="K224" i="15"/>
  <c r="J230" i="17"/>
  <c r="K227" i="16"/>
  <c r="N227" i="16"/>
  <c r="N224" i="14" l="1"/>
  <c r="J224" i="14" s="1"/>
  <c r="J224" i="15"/>
  <c r="Q224" i="15" s="1"/>
  <c r="P224" i="15" s="1"/>
  <c r="R224" i="15" s="1"/>
  <c r="T224" i="15" s="1"/>
  <c r="M225" i="15" s="1"/>
  <c r="O232" i="13"/>
  <c r="S232" i="13" s="1"/>
  <c r="L233" i="13" s="1"/>
  <c r="R232" i="13"/>
  <c r="T232" i="13" s="1"/>
  <c r="M233" i="13" s="1"/>
  <c r="Q230" i="17"/>
  <c r="J227" i="16"/>
  <c r="N233" i="13" l="1"/>
  <c r="K233" i="13"/>
  <c r="P230" i="17"/>
  <c r="R230" i="17" s="1"/>
  <c r="T230" i="17" s="1"/>
  <c r="M231" i="17" s="1"/>
  <c r="Q227" i="16"/>
  <c r="P227" i="16" s="1"/>
  <c r="R227" i="16" s="1"/>
  <c r="T227" i="16" s="1"/>
  <c r="M228" i="16" s="1"/>
  <c r="O224" i="15"/>
  <c r="S224" i="15" s="1"/>
  <c r="L225" i="15" s="1"/>
  <c r="Q224" i="14"/>
  <c r="P224" i="14" s="1"/>
  <c r="R224" i="14" s="1"/>
  <c r="T224" i="14" s="1"/>
  <c r="M225" i="14" s="1"/>
  <c r="J233" i="13" l="1"/>
  <c r="Q233" i="13" s="1"/>
  <c r="P233" i="13" s="1"/>
  <c r="R233" i="13" s="1"/>
  <c r="T233" i="13" s="1"/>
  <c r="M234" i="13" s="1"/>
  <c r="O227" i="16"/>
  <c r="S227" i="16" s="1"/>
  <c r="L228" i="16" s="1"/>
  <c r="K228" i="16" s="1"/>
  <c r="O224" i="14"/>
  <c r="S224" i="14" s="1"/>
  <c r="L225" i="14" s="1"/>
  <c r="K225" i="14" s="1"/>
  <c r="N225" i="15"/>
  <c r="K225" i="15"/>
  <c r="O230" i="17"/>
  <c r="S230" i="17" s="1"/>
  <c r="L231" i="17" s="1"/>
  <c r="N228" i="16" l="1"/>
  <c r="J228" i="16" s="1"/>
  <c r="Q228" i="16" s="1"/>
  <c r="P228" i="16" s="1"/>
  <c r="J225" i="15"/>
  <c r="Q225" i="15" s="1"/>
  <c r="P225" i="15" s="1"/>
  <c r="O225" i="15" s="1"/>
  <c r="S225" i="15" s="1"/>
  <c r="L226" i="15" s="1"/>
  <c r="N225" i="14"/>
  <c r="J225" i="14" s="1"/>
  <c r="O233" i="13"/>
  <c r="S233" i="13" s="1"/>
  <c r="L234" i="13" s="1"/>
  <c r="N234" i="13" s="1"/>
  <c r="N231" i="17"/>
  <c r="K231" i="17"/>
  <c r="J231" i="17" l="1"/>
  <c r="Q231" i="17" s="1"/>
  <c r="P231" i="17" s="1"/>
  <c r="R231" i="17" s="1"/>
  <c r="T231" i="17" s="1"/>
  <c r="M232" i="17" s="1"/>
  <c r="K234" i="13"/>
  <c r="J234" i="13" s="1"/>
  <c r="Q234" i="13" s="1"/>
  <c r="P234" i="13" s="1"/>
  <c r="R228" i="16"/>
  <c r="T228" i="16" s="1"/>
  <c r="M229" i="16" s="1"/>
  <c r="O228" i="16"/>
  <c r="S228" i="16" s="1"/>
  <c r="L229" i="16" s="1"/>
  <c r="N226" i="15"/>
  <c r="R225" i="15"/>
  <c r="T225" i="15" s="1"/>
  <c r="M226" i="15" s="1"/>
  <c r="K226" i="15" s="1"/>
  <c r="Q225" i="14"/>
  <c r="P225" i="14" s="1"/>
  <c r="R225" i="14" s="1"/>
  <c r="T225" i="14" s="1"/>
  <c r="M226" i="14" s="1"/>
  <c r="J226" i="15" l="1"/>
  <c r="Q226" i="15" s="1"/>
  <c r="P226" i="15" s="1"/>
  <c r="O234" i="13"/>
  <c r="S234" i="13" s="1"/>
  <c r="L235" i="13" s="1"/>
  <c r="R234" i="13"/>
  <c r="T234" i="13" s="1"/>
  <c r="M235" i="13" s="1"/>
  <c r="O231" i="17"/>
  <c r="S231" i="17" s="1"/>
  <c r="L232" i="17" s="1"/>
  <c r="K232" i="17" s="1"/>
  <c r="K229" i="16"/>
  <c r="N229" i="16"/>
  <c r="O225" i="14"/>
  <c r="S225" i="14" s="1"/>
  <c r="L226" i="14" s="1"/>
  <c r="N226" i="14" s="1"/>
  <c r="K226" i="14" l="1"/>
  <c r="J226" i="14" s="1"/>
  <c r="N232" i="17"/>
  <c r="J232" i="17" s="1"/>
  <c r="Q232" i="17" s="1"/>
  <c r="P232" i="17" s="1"/>
  <c r="R232" i="17" s="1"/>
  <c r="T232" i="17" s="1"/>
  <c r="M233" i="17" s="1"/>
  <c r="N235" i="13"/>
  <c r="K235" i="13"/>
  <c r="O226" i="15"/>
  <c r="S226" i="15" s="1"/>
  <c r="L227" i="15" s="1"/>
  <c r="R226" i="15"/>
  <c r="T226" i="15" s="1"/>
  <c r="M227" i="15" s="1"/>
  <c r="J229" i="16"/>
  <c r="J235" i="13" l="1"/>
  <c r="Q235" i="13" s="1"/>
  <c r="P235" i="13" s="1"/>
  <c r="R235" i="13" s="1"/>
  <c r="T235" i="13" s="1"/>
  <c r="M236" i="13" s="1"/>
  <c r="O232" i="17"/>
  <c r="S232" i="17" s="1"/>
  <c r="L233" i="17" s="1"/>
  <c r="Q229" i="16"/>
  <c r="P229" i="16" s="1"/>
  <c r="R229" i="16" s="1"/>
  <c r="T229" i="16" s="1"/>
  <c r="M230" i="16" s="1"/>
  <c r="N227" i="15"/>
  <c r="K227" i="15"/>
  <c r="Q226" i="14"/>
  <c r="P226" i="14" s="1"/>
  <c r="R226" i="14" s="1"/>
  <c r="T226" i="14" s="1"/>
  <c r="M227" i="14" s="1"/>
  <c r="J227" i="15" l="1"/>
  <c r="Q227" i="15" s="1"/>
  <c r="P227" i="15" s="1"/>
  <c r="O235" i="13"/>
  <c r="S235" i="13" s="1"/>
  <c r="L236" i="13" s="1"/>
  <c r="O229" i="16"/>
  <c r="S229" i="16" s="1"/>
  <c r="L230" i="16" s="1"/>
  <c r="K233" i="17"/>
  <c r="N233" i="17"/>
  <c r="O226" i="14"/>
  <c r="S226" i="14" s="1"/>
  <c r="L227" i="14" s="1"/>
  <c r="K236" i="13" l="1"/>
  <c r="N236" i="13"/>
  <c r="R227" i="15"/>
  <c r="T227" i="15" s="1"/>
  <c r="M228" i="15" s="1"/>
  <c r="O227" i="15"/>
  <c r="S227" i="15" s="1"/>
  <c r="L228" i="15" s="1"/>
  <c r="J233" i="17"/>
  <c r="N230" i="16"/>
  <c r="K230" i="16"/>
  <c r="K227" i="14"/>
  <c r="N227" i="14"/>
  <c r="J230" i="16" l="1"/>
  <c r="Q230" i="16" s="1"/>
  <c r="P230" i="16" s="1"/>
  <c r="O230" i="16" s="1"/>
  <c r="S230" i="16" s="1"/>
  <c r="L231" i="16" s="1"/>
  <c r="J236" i="13"/>
  <c r="Q236" i="13" s="1"/>
  <c r="P236" i="13" s="1"/>
  <c r="R236" i="13" s="1"/>
  <c r="T236" i="13" s="1"/>
  <c r="M237" i="13" s="1"/>
  <c r="Q233" i="17"/>
  <c r="P233" i="17" s="1"/>
  <c r="R233" i="17" s="1"/>
  <c r="T233" i="17" s="1"/>
  <c r="M234" i="17" s="1"/>
  <c r="K228" i="15"/>
  <c r="N228" i="15"/>
  <c r="J227" i="14"/>
  <c r="O236" i="13" l="1"/>
  <c r="S236" i="13" s="1"/>
  <c r="L237" i="13" s="1"/>
  <c r="K237" i="13" s="1"/>
  <c r="O233" i="17"/>
  <c r="S233" i="17" s="1"/>
  <c r="L234" i="17" s="1"/>
  <c r="N231" i="16"/>
  <c r="R230" i="16"/>
  <c r="T230" i="16" s="1"/>
  <c r="M231" i="16" s="1"/>
  <c r="K231" i="16" s="1"/>
  <c r="J228" i="15"/>
  <c r="Q227" i="14"/>
  <c r="P227" i="14" s="1"/>
  <c r="R227" i="14" s="1"/>
  <c r="T227" i="14" s="1"/>
  <c r="M228" i="14" s="1"/>
  <c r="J231" i="16" l="1"/>
  <c r="Q231" i="16" s="1"/>
  <c r="N237" i="13"/>
  <c r="J237" i="13" s="1"/>
  <c r="O227" i="14"/>
  <c r="S227" i="14" s="1"/>
  <c r="L228" i="14" s="1"/>
  <c r="N228" i="14" s="1"/>
  <c r="Q228" i="15"/>
  <c r="P228" i="15" s="1"/>
  <c r="R228" i="15" s="1"/>
  <c r="T228" i="15" s="1"/>
  <c r="M229" i="15" s="1"/>
  <c r="N234" i="17"/>
  <c r="K234" i="17"/>
  <c r="K228" i="14" l="1"/>
  <c r="J228" i="14" s="1"/>
  <c r="Q228" i="14" s="1"/>
  <c r="P228" i="14" s="1"/>
  <c r="R228" i="14" s="1"/>
  <c r="T228" i="14" s="1"/>
  <c r="M229" i="14" s="1"/>
  <c r="J234" i="17"/>
  <c r="Q234" i="17" s="1"/>
  <c r="P234" i="17" s="1"/>
  <c r="R234" i="17" s="1"/>
  <c r="T234" i="17" s="1"/>
  <c r="M235" i="17" s="1"/>
  <c r="Q237" i="13"/>
  <c r="O228" i="15"/>
  <c r="S228" i="15" s="1"/>
  <c r="L229" i="15" s="1"/>
  <c r="P231" i="16"/>
  <c r="R231" i="16" s="1"/>
  <c r="T231" i="16" s="1"/>
  <c r="M232" i="16" s="1"/>
  <c r="P237" i="13" l="1"/>
  <c r="R237" i="13" s="1"/>
  <c r="T237" i="13" s="1"/>
  <c r="M238" i="13" s="1"/>
  <c r="O231" i="16"/>
  <c r="S231" i="16" s="1"/>
  <c r="L232" i="16" s="1"/>
  <c r="K229" i="15"/>
  <c r="N229" i="15"/>
  <c r="O234" i="17"/>
  <c r="S234" i="17" s="1"/>
  <c r="L235" i="17" s="1"/>
  <c r="O228" i="14"/>
  <c r="S228" i="14" s="1"/>
  <c r="L229" i="14" s="1"/>
  <c r="O237" i="13" l="1"/>
  <c r="S237" i="13" s="1"/>
  <c r="L238" i="13" s="1"/>
  <c r="K235" i="17"/>
  <c r="N235" i="17"/>
  <c r="J229" i="15"/>
  <c r="K232" i="16"/>
  <c r="N232" i="16"/>
  <c r="N229" i="14"/>
  <c r="K229" i="14"/>
  <c r="J229" i="14" l="1"/>
  <c r="Q229" i="14" s="1"/>
  <c r="P229" i="14" s="1"/>
  <c r="R229" i="14" s="1"/>
  <c r="T229" i="14" s="1"/>
  <c r="M230" i="14" s="1"/>
  <c r="N238" i="13"/>
  <c r="K238" i="13"/>
  <c r="J232" i="16"/>
  <c r="Q229" i="15"/>
  <c r="P229" i="15" s="1"/>
  <c r="R229" i="15" s="1"/>
  <c r="T229" i="15" s="1"/>
  <c r="M230" i="15" s="1"/>
  <c r="J235" i="17"/>
  <c r="J238" i="13" l="1"/>
  <c r="Q238" i="13" s="1"/>
  <c r="P238" i="13" s="1"/>
  <c r="R238" i="13" s="1"/>
  <c r="T238" i="13" s="1"/>
  <c r="M239" i="13" s="1"/>
  <c r="O229" i="15"/>
  <c r="S229" i="15" s="1"/>
  <c r="L230" i="15" s="1"/>
  <c r="N230" i="15" s="1"/>
  <c r="Q235" i="17"/>
  <c r="Q232" i="16"/>
  <c r="P232" i="16" s="1"/>
  <c r="R232" i="16" s="1"/>
  <c r="T232" i="16" s="1"/>
  <c r="M233" i="16" s="1"/>
  <c r="O229" i="14"/>
  <c r="S229" i="14" s="1"/>
  <c r="L230" i="14" s="1"/>
  <c r="O238" i="13" l="1"/>
  <c r="S238" i="13" s="1"/>
  <c r="L239" i="13" s="1"/>
  <c r="K239" i="13" s="1"/>
  <c r="K230" i="15"/>
  <c r="J230" i="15" s="1"/>
  <c r="O232" i="16"/>
  <c r="S232" i="16" s="1"/>
  <c r="L233" i="16" s="1"/>
  <c r="K233" i="16" s="1"/>
  <c r="P235" i="17"/>
  <c r="R235" i="17" s="1"/>
  <c r="T235" i="17" s="1"/>
  <c r="M236" i="17" s="1"/>
  <c r="K230" i="14"/>
  <c r="N230" i="14"/>
  <c r="N239" i="13" l="1"/>
  <c r="J239" i="13" s="1"/>
  <c r="Q239" i="13" s="1"/>
  <c r="P239" i="13" s="1"/>
  <c r="N233" i="16"/>
  <c r="J233" i="16" s="1"/>
  <c r="Q233" i="16" s="1"/>
  <c r="P233" i="16" s="1"/>
  <c r="R233" i="16" s="1"/>
  <c r="T233" i="16" s="1"/>
  <c r="M234" i="16" s="1"/>
  <c r="O235" i="17"/>
  <c r="S235" i="17" s="1"/>
  <c r="L236" i="17" s="1"/>
  <c r="Q230" i="15"/>
  <c r="P230" i="15" s="1"/>
  <c r="R230" i="15" s="1"/>
  <c r="T230" i="15" s="1"/>
  <c r="M231" i="15" s="1"/>
  <c r="J230" i="14"/>
  <c r="R239" i="13" l="1"/>
  <c r="T239" i="13" s="1"/>
  <c r="M240" i="13" s="1"/>
  <c r="O239" i="13"/>
  <c r="S239" i="13" s="1"/>
  <c r="L240" i="13" s="1"/>
  <c r="N240" i="13" s="1"/>
  <c r="O233" i="16"/>
  <c r="S233" i="16" s="1"/>
  <c r="L234" i="16" s="1"/>
  <c r="N234" i="16" s="1"/>
  <c r="O230" i="15"/>
  <c r="S230" i="15" s="1"/>
  <c r="L231" i="15" s="1"/>
  <c r="K236" i="17"/>
  <c r="N236" i="17"/>
  <c r="Q230" i="14"/>
  <c r="P230" i="14" s="1"/>
  <c r="R230" i="14" s="1"/>
  <c r="T230" i="14" s="1"/>
  <c r="M231" i="14" s="1"/>
  <c r="K240" i="13" l="1"/>
  <c r="J240" i="13" s="1"/>
  <c r="Q240" i="13" s="1"/>
  <c r="P240" i="13" s="1"/>
  <c r="R240" i="13" s="1"/>
  <c r="T240" i="13" s="1"/>
  <c r="M241" i="13" s="1"/>
  <c r="K234" i="16"/>
  <c r="J234" i="16" s="1"/>
  <c r="Q234" i="16" s="1"/>
  <c r="P234" i="16" s="1"/>
  <c r="R234" i="16" s="1"/>
  <c r="T234" i="16" s="1"/>
  <c r="M235" i="16" s="1"/>
  <c r="J236" i="17"/>
  <c r="K231" i="15"/>
  <c r="N231" i="15"/>
  <c r="O230" i="14"/>
  <c r="S230" i="14" s="1"/>
  <c r="L231" i="14" s="1"/>
  <c r="O240" i="13" l="1"/>
  <c r="S240" i="13" s="1"/>
  <c r="L241" i="13" s="1"/>
  <c r="K241" i="13" s="1"/>
  <c r="J231" i="15"/>
  <c r="O234" i="16"/>
  <c r="S234" i="16" s="1"/>
  <c r="L235" i="16" s="1"/>
  <c r="Q236" i="17"/>
  <c r="P236" i="17" s="1"/>
  <c r="R236" i="17" s="1"/>
  <c r="T236" i="17" s="1"/>
  <c r="M237" i="17" s="1"/>
  <c r="K231" i="14"/>
  <c r="N231" i="14"/>
  <c r="N241" i="13" l="1"/>
  <c r="J241" i="13" s="1"/>
  <c r="O236" i="17"/>
  <c r="S236" i="17" s="1"/>
  <c r="L237" i="17" s="1"/>
  <c r="N237" i="17" s="1"/>
  <c r="K235" i="16"/>
  <c r="N235" i="16"/>
  <c r="Q231" i="15"/>
  <c r="J231" i="14"/>
  <c r="K237" i="17" l="1"/>
  <c r="J237" i="17" s="1"/>
  <c r="Q237" i="17" s="1"/>
  <c r="P237" i="17" s="1"/>
  <c r="R237" i="17" s="1"/>
  <c r="T237" i="17" s="1"/>
  <c r="M238" i="17" s="1"/>
  <c r="P231" i="15"/>
  <c r="R231" i="15" s="1"/>
  <c r="T231" i="15" s="1"/>
  <c r="M232" i="15" s="1"/>
  <c r="Q241" i="13"/>
  <c r="P241" i="13" s="1"/>
  <c r="R241" i="13" s="1"/>
  <c r="T241" i="13" s="1"/>
  <c r="M242" i="13" s="1"/>
  <c r="J235" i="16"/>
  <c r="Q231" i="14"/>
  <c r="O241" i="13" l="1"/>
  <c r="S241" i="13" s="1"/>
  <c r="L242" i="13" s="1"/>
  <c r="K242" i="13" s="1"/>
  <c r="O231" i="15"/>
  <c r="S231" i="15" s="1"/>
  <c r="L232" i="15" s="1"/>
  <c r="O237" i="17"/>
  <c r="S237" i="17" s="1"/>
  <c r="L238" i="17" s="1"/>
  <c r="N238" i="17" s="1"/>
  <c r="Q235" i="16"/>
  <c r="P235" i="16" s="1"/>
  <c r="R235" i="16" s="1"/>
  <c r="T235" i="16" s="1"/>
  <c r="M236" i="16" s="1"/>
  <c r="P231" i="14"/>
  <c r="R231" i="14" s="1"/>
  <c r="T231" i="14" s="1"/>
  <c r="M232" i="14" s="1"/>
  <c r="N242" i="13" l="1"/>
  <c r="J242" i="13" s="1"/>
  <c r="K238" i="17"/>
  <c r="J238" i="17" s="1"/>
  <c r="Q238" i="17" s="1"/>
  <c r="K232" i="15"/>
  <c r="N232" i="15"/>
  <c r="O235" i="16"/>
  <c r="S235" i="16" s="1"/>
  <c r="L236" i="16" s="1"/>
  <c r="O231" i="14"/>
  <c r="S231" i="14" s="1"/>
  <c r="L232" i="14" s="1"/>
  <c r="P238" i="17" l="1"/>
  <c r="R238" i="17" s="1"/>
  <c r="T238" i="17" s="1"/>
  <c r="M239" i="17" s="1"/>
  <c r="J232" i="15"/>
  <c r="Q242" i="13"/>
  <c r="P242" i="13" s="1"/>
  <c r="R242" i="13" s="1"/>
  <c r="T242" i="13" s="1"/>
  <c r="M243" i="13" s="1"/>
  <c r="K236" i="16"/>
  <c r="N236" i="16"/>
  <c r="K232" i="14"/>
  <c r="N232" i="14"/>
  <c r="Q232" i="15" l="1"/>
  <c r="P232" i="15" s="1"/>
  <c r="R232" i="15" s="1"/>
  <c r="T232" i="15" s="1"/>
  <c r="M233" i="15" s="1"/>
  <c r="O238" i="17"/>
  <c r="S238" i="17" s="1"/>
  <c r="L239" i="17" s="1"/>
  <c r="O242" i="13"/>
  <c r="S242" i="13" s="1"/>
  <c r="L243" i="13" s="1"/>
  <c r="J236" i="16"/>
  <c r="J232" i="14"/>
  <c r="N239" i="17" l="1"/>
  <c r="K239" i="17"/>
  <c r="O232" i="15"/>
  <c r="S232" i="15" s="1"/>
  <c r="L233" i="15" s="1"/>
  <c r="N243" i="13"/>
  <c r="K243" i="13"/>
  <c r="Q236" i="16"/>
  <c r="P236" i="16" s="1"/>
  <c r="R236" i="16" s="1"/>
  <c r="T236" i="16" s="1"/>
  <c r="M237" i="16" s="1"/>
  <c r="Q232" i="14"/>
  <c r="P232" i="14" s="1"/>
  <c r="R232" i="14" s="1"/>
  <c r="T232" i="14" s="1"/>
  <c r="M233" i="14" s="1"/>
  <c r="J239" i="17" l="1"/>
  <c r="Q239" i="17" s="1"/>
  <c r="P239" i="17" s="1"/>
  <c r="R239" i="17" s="1"/>
  <c r="T239" i="17" s="1"/>
  <c r="M240" i="17" s="1"/>
  <c r="J243" i="13"/>
  <c r="Q243" i="13" s="1"/>
  <c r="P243" i="13" s="1"/>
  <c r="R243" i="13" s="1"/>
  <c r="T243" i="13" s="1"/>
  <c r="M244" i="13" s="1"/>
  <c r="O232" i="14"/>
  <c r="S232" i="14" s="1"/>
  <c r="L233" i="14" s="1"/>
  <c r="K233" i="14" s="1"/>
  <c r="N233" i="15"/>
  <c r="K233" i="15"/>
  <c r="O236" i="16"/>
  <c r="S236" i="16" s="1"/>
  <c r="L237" i="16" s="1"/>
  <c r="K237" i="16" s="1"/>
  <c r="O239" i="17" l="1"/>
  <c r="S239" i="17" s="1"/>
  <c r="L240" i="17" s="1"/>
  <c r="K240" i="17" s="1"/>
  <c r="N233" i="14"/>
  <c r="J233" i="14" s="1"/>
  <c r="Q233" i="14" s="1"/>
  <c r="J233" i="15"/>
  <c r="Q233" i="15" s="1"/>
  <c r="P233" i="15" s="1"/>
  <c r="R233" i="15" s="1"/>
  <c r="T233" i="15" s="1"/>
  <c r="M234" i="15" s="1"/>
  <c r="O243" i="13"/>
  <c r="S243" i="13" s="1"/>
  <c r="L244" i="13" s="1"/>
  <c r="K244" i="13" s="1"/>
  <c r="N237" i="16"/>
  <c r="J237" i="16" s="1"/>
  <c r="Q237" i="16" s="1"/>
  <c r="N240" i="17" l="1"/>
  <c r="J240" i="17" s="1"/>
  <c r="Q240" i="17" s="1"/>
  <c r="P240" i="17" s="1"/>
  <c r="N244" i="13"/>
  <c r="J244" i="13" s="1"/>
  <c r="Q244" i="13" s="1"/>
  <c r="P244" i="13" s="1"/>
  <c r="R244" i="13" s="1"/>
  <c r="T244" i="13" s="1"/>
  <c r="M245" i="13" s="1"/>
  <c r="O233" i="15"/>
  <c r="S233" i="15" s="1"/>
  <c r="L234" i="15" s="1"/>
  <c r="K234" i="15" s="1"/>
  <c r="P237" i="16"/>
  <c r="R237" i="16" s="1"/>
  <c r="T237" i="16" s="1"/>
  <c r="M238" i="16" s="1"/>
  <c r="P233" i="14"/>
  <c r="R233" i="14" s="1"/>
  <c r="T233" i="14" s="1"/>
  <c r="M234" i="14" s="1"/>
  <c r="O240" i="17" l="1"/>
  <c r="S240" i="17" s="1"/>
  <c r="L241" i="17" s="1"/>
  <c r="N241" i="17" s="1"/>
  <c r="R240" i="17"/>
  <c r="T240" i="17" s="1"/>
  <c r="M241" i="17" s="1"/>
  <c r="N234" i="15"/>
  <c r="J234" i="15" s="1"/>
  <c r="O237" i="16"/>
  <c r="S237" i="16" s="1"/>
  <c r="L238" i="16" s="1"/>
  <c r="O244" i="13"/>
  <c r="S244" i="13" s="1"/>
  <c r="L245" i="13" s="1"/>
  <c r="O233" i="14"/>
  <c r="S233" i="14" s="1"/>
  <c r="L234" i="14" s="1"/>
  <c r="K241" i="17" l="1"/>
  <c r="J241" i="17" s="1"/>
  <c r="Q234" i="15"/>
  <c r="P234" i="15" s="1"/>
  <c r="R234" i="15" s="1"/>
  <c r="T234" i="15" s="1"/>
  <c r="M235" i="15" s="1"/>
  <c r="K245" i="13"/>
  <c r="N245" i="13"/>
  <c r="K238" i="16"/>
  <c r="N238" i="16"/>
  <c r="K234" i="14"/>
  <c r="N234" i="14"/>
  <c r="O234" i="15" l="1"/>
  <c r="S234" i="15" s="1"/>
  <c r="L235" i="15" s="1"/>
  <c r="K235" i="15" s="1"/>
  <c r="J238" i="16"/>
  <c r="J245" i="13"/>
  <c r="J234" i="14"/>
  <c r="Q241" i="17"/>
  <c r="P241" i="17" s="1"/>
  <c r="R241" i="17" s="1"/>
  <c r="T241" i="17" s="1"/>
  <c r="M242" i="17" s="1"/>
  <c r="N235" i="15" l="1"/>
  <c r="J235" i="15" s="1"/>
  <c r="Q245" i="13"/>
  <c r="P245" i="13" s="1"/>
  <c r="R245" i="13" s="1"/>
  <c r="T245" i="13" s="1"/>
  <c r="M246" i="13" s="1"/>
  <c r="O241" i="17"/>
  <c r="S241" i="17" s="1"/>
  <c r="L242" i="17" s="1"/>
  <c r="K242" i="17" s="1"/>
  <c r="Q238" i="16"/>
  <c r="Q234" i="14"/>
  <c r="P234" i="14" s="1"/>
  <c r="R234" i="14" s="1"/>
  <c r="T234" i="14" s="1"/>
  <c r="M235" i="14" s="1"/>
  <c r="N242" i="17" l="1"/>
  <c r="J242" i="17" s="1"/>
  <c r="Q235" i="15"/>
  <c r="P235" i="15" s="1"/>
  <c r="R235" i="15" s="1"/>
  <c r="T235" i="15" s="1"/>
  <c r="M236" i="15" s="1"/>
  <c r="O245" i="13"/>
  <c r="S245" i="13" s="1"/>
  <c r="L246" i="13" s="1"/>
  <c r="K246" i="13" s="1"/>
  <c r="P238" i="16"/>
  <c r="R238" i="16" s="1"/>
  <c r="T238" i="16" s="1"/>
  <c r="M239" i="16" s="1"/>
  <c r="O234" i="14"/>
  <c r="S234" i="14" s="1"/>
  <c r="L235" i="14" s="1"/>
  <c r="N246" i="13" l="1"/>
  <c r="J246" i="13" s="1"/>
  <c r="O235" i="15"/>
  <c r="S235" i="15" s="1"/>
  <c r="L236" i="15" s="1"/>
  <c r="K236" i="15" s="1"/>
  <c r="O238" i="16"/>
  <c r="S238" i="16" s="1"/>
  <c r="L239" i="16" s="1"/>
  <c r="N235" i="14"/>
  <c r="K235" i="14"/>
  <c r="Q242" i="17"/>
  <c r="J235" i="14" l="1"/>
  <c r="Q235" i="14" s="1"/>
  <c r="N236" i="15"/>
  <c r="J236" i="15" s="1"/>
  <c r="Q246" i="13"/>
  <c r="P246" i="13" s="1"/>
  <c r="R246" i="13" s="1"/>
  <c r="T246" i="13" s="1"/>
  <c r="M247" i="13" s="1"/>
  <c r="N239" i="16"/>
  <c r="K239" i="16"/>
  <c r="P242" i="17"/>
  <c r="R242" i="17" s="1"/>
  <c r="T242" i="17" s="1"/>
  <c r="M243" i="17" s="1"/>
  <c r="P235" i="14" l="1"/>
  <c r="R235" i="14" s="1"/>
  <c r="T235" i="14" s="1"/>
  <c r="M236" i="14" s="1"/>
  <c r="Q236" i="15"/>
  <c r="P236" i="15" s="1"/>
  <c r="R236" i="15" s="1"/>
  <c r="T236" i="15" s="1"/>
  <c r="M237" i="15" s="1"/>
  <c r="J239" i="16"/>
  <c r="Q239" i="16" s="1"/>
  <c r="P239" i="16" s="1"/>
  <c r="O246" i="13"/>
  <c r="S246" i="13" s="1"/>
  <c r="L247" i="13" s="1"/>
  <c r="K247" i="13" s="1"/>
  <c r="O242" i="17"/>
  <c r="S242" i="17" s="1"/>
  <c r="L243" i="17" s="1"/>
  <c r="O235" i="14" l="1"/>
  <c r="S235" i="14" s="1"/>
  <c r="L236" i="14" s="1"/>
  <c r="N236" i="14" s="1"/>
  <c r="N247" i="13"/>
  <c r="J247" i="13" s="1"/>
  <c r="O236" i="15"/>
  <c r="S236" i="15" s="1"/>
  <c r="L237" i="15" s="1"/>
  <c r="R239" i="16"/>
  <c r="T239" i="16" s="1"/>
  <c r="M240" i="16" s="1"/>
  <c r="O239" i="16"/>
  <c r="S239" i="16" s="1"/>
  <c r="L240" i="16" s="1"/>
  <c r="N243" i="17"/>
  <c r="K243" i="17"/>
  <c r="K236" i="14" l="1"/>
  <c r="J236" i="14" s="1"/>
  <c r="Q236" i="14" s="1"/>
  <c r="P236" i="14" s="1"/>
  <c r="R236" i="14" s="1"/>
  <c r="T236" i="14" s="1"/>
  <c r="M237" i="14" s="1"/>
  <c r="K237" i="15"/>
  <c r="N237" i="15"/>
  <c r="J243" i="17"/>
  <c r="Q243" i="17" s="1"/>
  <c r="P243" i="17" s="1"/>
  <c r="R243" i="17" s="1"/>
  <c r="T243" i="17" s="1"/>
  <c r="M244" i="17" s="1"/>
  <c r="Q247" i="13"/>
  <c r="P247" i="13" s="1"/>
  <c r="R247" i="13" s="1"/>
  <c r="T247" i="13" s="1"/>
  <c r="M248" i="13" s="1"/>
  <c r="N240" i="16"/>
  <c r="K240" i="16"/>
  <c r="O236" i="14" l="1"/>
  <c r="S236" i="14" s="1"/>
  <c r="L237" i="14" s="1"/>
  <c r="K237" i="14" s="1"/>
  <c r="O247" i="13"/>
  <c r="S247" i="13" s="1"/>
  <c r="L248" i="13" s="1"/>
  <c r="K248" i="13" s="1"/>
  <c r="J237" i="15"/>
  <c r="J240" i="16"/>
  <c r="Q240" i="16" s="1"/>
  <c r="P240" i="16" s="1"/>
  <c r="R240" i="16" s="1"/>
  <c r="T240" i="16" s="1"/>
  <c r="M241" i="16" s="1"/>
  <c r="O243" i="17"/>
  <c r="S243" i="17" s="1"/>
  <c r="L244" i="17" s="1"/>
  <c r="N237" i="14" l="1"/>
  <c r="J237" i="14" s="1"/>
  <c r="N248" i="13"/>
  <c r="J248" i="13" s="1"/>
  <c r="Q237" i="15"/>
  <c r="P237" i="15" s="1"/>
  <c r="R237" i="15" s="1"/>
  <c r="T237" i="15" s="1"/>
  <c r="M238" i="15" s="1"/>
  <c r="O240" i="16"/>
  <c r="S240" i="16" s="1"/>
  <c r="L241" i="16" s="1"/>
  <c r="N244" i="17"/>
  <c r="K244" i="17"/>
  <c r="J244" i="17" l="1"/>
  <c r="Q244" i="17" s="1"/>
  <c r="P244" i="17" s="1"/>
  <c r="R244" i="17" s="1"/>
  <c r="T244" i="17" s="1"/>
  <c r="M245" i="17" s="1"/>
  <c r="O237" i="15"/>
  <c r="S237" i="15" s="1"/>
  <c r="L238" i="15" s="1"/>
  <c r="K238" i="15" s="1"/>
  <c r="Q248" i="13"/>
  <c r="P248" i="13" s="1"/>
  <c r="R248" i="13" s="1"/>
  <c r="T248" i="13" s="1"/>
  <c r="M249" i="13" s="1"/>
  <c r="K241" i="16"/>
  <c r="N241" i="16"/>
  <c r="Q237" i="14"/>
  <c r="P237" i="14" s="1"/>
  <c r="R237" i="14" s="1"/>
  <c r="T237" i="14" s="1"/>
  <c r="M238" i="14" s="1"/>
  <c r="N238" i="15" l="1"/>
  <c r="J238" i="15" s="1"/>
  <c r="O248" i="13"/>
  <c r="S248" i="13" s="1"/>
  <c r="L249" i="13" s="1"/>
  <c r="K249" i="13" s="1"/>
  <c r="J241" i="16"/>
  <c r="O244" i="17"/>
  <c r="S244" i="17" s="1"/>
  <c r="L245" i="17" s="1"/>
  <c r="O237" i="14"/>
  <c r="S237" i="14" s="1"/>
  <c r="L238" i="14" s="1"/>
  <c r="Q238" i="15" l="1"/>
  <c r="P238" i="15" s="1"/>
  <c r="R238" i="15" s="1"/>
  <c r="T238" i="15" s="1"/>
  <c r="M239" i="15" s="1"/>
  <c r="N249" i="13"/>
  <c r="J249" i="13" s="1"/>
  <c r="Q249" i="13" s="1"/>
  <c r="P249" i="13" s="1"/>
  <c r="R249" i="13" s="1"/>
  <c r="T249" i="13" s="1"/>
  <c r="M250" i="13" s="1"/>
  <c r="Q241" i="16"/>
  <c r="K245" i="17"/>
  <c r="N245" i="17"/>
  <c r="N238" i="14"/>
  <c r="K238" i="14"/>
  <c r="O238" i="15" l="1"/>
  <c r="S238" i="15" s="1"/>
  <c r="L239" i="15" s="1"/>
  <c r="N239" i="15" s="1"/>
  <c r="J238" i="14"/>
  <c r="Q238" i="14" s="1"/>
  <c r="P238" i="14" s="1"/>
  <c r="R238" i="14" s="1"/>
  <c r="T238" i="14" s="1"/>
  <c r="M239" i="14" s="1"/>
  <c r="O249" i="13"/>
  <c r="S249" i="13" s="1"/>
  <c r="L250" i="13" s="1"/>
  <c r="N250" i="13" s="1"/>
  <c r="P241" i="16"/>
  <c r="R241" i="16" s="1"/>
  <c r="T241" i="16" s="1"/>
  <c r="M242" i="16" s="1"/>
  <c r="J245" i="17"/>
  <c r="K239" i="15" l="1"/>
  <c r="J239" i="15" s="1"/>
  <c r="K250" i="13"/>
  <c r="J250" i="13" s="1"/>
  <c r="O241" i="16"/>
  <c r="S241" i="16" s="1"/>
  <c r="L242" i="16" s="1"/>
  <c r="Q245" i="17"/>
  <c r="P245" i="17" s="1"/>
  <c r="R245" i="17" s="1"/>
  <c r="T245" i="17" s="1"/>
  <c r="M246" i="17" s="1"/>
  <c r="O238" i="14"/>
  <c r="S238" i="14" s="1"/>
  <c r="L239" i="14" s="1"/>
  <c r="Q239" i="15" l="1"/>
  <c r="P239" i="15" s="1"/>
  <c r="R239" i="15" s="1"/>
  <c r="T239" i="15" s="1"/>
  <c r="M240" i="15" s="1"/>
  <c r="N242" i="16"/>
  <c r="K242" i="16"/>
  <c r="Q250" i="13"/>
  <c r="P250" i="13" s="1"/>
  <c r="O245" i="17"/>
  <c r="S245" i="17" s="1"/>
  <c r="L246" i="17" s="1"/>
  <c r="K239" i="14"/>
  <c r="N239" i="14"/>
  <c r="O239" i="15" l="1"/>
  <c r="S239" i="15" s="1"/>
  <c r="L240" i="15" s="1"/>
  <c r="K240" i="15" s="1"/>
  <c r="J242" i="16"/>
  <c r="Q242" i="16" s="1"/>
  <c r="P242" i="16" s="1"/>
  <c r="O242" i="16" s="1"/>
  <c r="S242" i="16" s="1"/>
  <c r="L243" i="16" s="1"/>
  <c r="R250" i="13"/>
  <c r="T250" i="13" s="1"/>
  <c r="M251" i="13" s="1"/>
  <c r="O250" i="13"/>
  <c r="S250" i="13" s="1"/>
  <c r="L251" i="13" s="1"/>
  <c r="K246" i="17"/>
  <c r="N246" i="17"/>
  <c r="J239" i="14"/>
  <c r="N240" i="15" l="1"/>
  <c r="J240" i="15" s="1"/>
  <c r="R242" i="16"/>
  <c r="T242" i="16" s="1"/>
  <c r="M243" i="16" s="1"/>
  <c r="K243" i="16" s="1"/>
  <c r="N243" i="16"/>
  <c r="N251" i="13"/>
  <c r="K251" i="13"/>
  <c r="J246" i="17"/>
  <c r="Q239" i="14"/>
  <c r="P239" i="14" s="1"/>
  <c r="R239" i="14" s="1"/>
  <c r="T239" i="14" s="1"/>
  <c r="M240" i="14" s="1"/>
  <c r="Q240" i="15" l="1"/>
  <c r="P240" i="15" s="1"/>
  <c r="R240" i="15" s="1"/>
  <c r="T240" i="15" s="1"/>
  <c r="M241" i="15" s="1"/>
  <c r="J251" i="13"/>
  <c r="Q251" i="13" s="1"/>
  <c r="P251" i="13" s="1"/>
  <c r="J243" i="16"/>
  <c r="Q243" i="16" s="1"/>
  <c r="P243" i="16" s="1"/>
  <c r="R243" i="16" s="1"/>
  <c r="T243" i="16" s="1"/>
  <c r="M244" i="16" s="1"/>
  <c r="O239" i="14"/>
  <c r="S239" i="14" s="1"/>
  <c r="L240" i="14" s="1"/>
  <c r="N240" i="14" s="1"/>
  <c r="Q246" i="17"/>
  <c r="P246" i="17" s="1"/>
  <c r="R246" i="17" s="1"/>
  <c r="T246" i="17" s="1"/>
  <c r="M247" i="17" s="1"/>
  <c r="O240" i="15" l="1"/>
  <c r="S240" i="15" s="1"/>
  <c r="L241" i="15" s="1"/>
  <c r="K240" i="14"/>
  <c r="J240" i="14" s="1"/>
  <c r="R251" i="13"/>
  <c r="T251" i="13" s="1"/>
  <c r="M252" i="13" s="1"/>
  <c r="O251" i="13"/>
  <c r="S251" i="13" s="1"/>
  <c r="L252" i="13" s="1"/>
  <c r="O243" i="16"/>
  <c r="S243" i="16" s="1"/>
  <c r="L244" i="16" s="1"/>
  <c r="O246" i="17"/>
  <c r="S246" i="17" s="1"/>
  <c r="L247" i="17" s="1"/>
  <c r="N247" i="17" s="1"/>
  <c r="K252" i="13" l="1"/>
  <c r="N252" i="13"/>
  <c r="N241" i="15"/>
  <c r="K241" i="15"/>
  <c r="K247" i="17"/>
  <c r="J247" i="17" s="1"/>
  <c r="Q247" i="17" s="1"/>
  <c r="N244" i="16"/>
  <c r="K244" i="16"/>
  <c r="Q240" i="14"/>
  <c r="P240" i="14" s="1"/>
  <c r="J252" i="13" l="1"/>
  <c r="Q252" i="13" s="1"/>
  <c r="P252" i="13" s="1"/>
  <c r="R252" i="13" s="1"/>
  <c r="T252" i="13" s="1"/>
  <c r="M253" i="13" s="1"/>
  <c r="J244" i="16"/>
  <c r="Q244" i="16" s="1"/>
  <c r="P244" i="16" s="1"/>
  <c r="R244" i="16" s="1"/>
  <c r="T244" i="16" s="1"/>
  <c r="M245" i="16" s="1"/>
  <c r="J241" i="15"/>
  <c r="Q241" i="15" s="1"/>
  <c r="P247" i="17"/>
  <c r="R247" i="17" s="1"/>
  <c r="T247" i="17" s="1"/>
  <c r="M248" i="17" s="1"/>
  <c r="R240" i="14"/>
  <c r="T240" i="14" s="1"/>
  <c r="M241" i="14" s="1"/>
  <c r="O240" i="14"/>
  <c r="S240" i="14" s="1"/>
  <c r="L241" i="14" s="1"/>
  <c r="P241" i="15" l="1"/>
  <c r="R241" i="15" s="1"/>
  <c r="T241" i="15" s="1"/>
  <c r="M242" i="15" s="1"/>
  <c r="O247" i="17"/>
  <c r="S247" i="17" s="1"/>
  <c r="L248" i="17" s="1"/>
  <c r="N248" i="17" s="1"/>
  <c r="O244" i="16"/>
  <c r="S244" i="16" s="1"/>
  <c r="L245" i="16" s="1"/>
  <c r="N245" i="16" s="1"/>
  <c r="O252" i="13"/>
  <c r="S252" i="13" s="1"/>
  <c r="L253" i="13" s="1"/>
  <c r="K253" i="13" s="1"/>
  <c r="K241" i="14"/>
  <c r="N241" i="14"/>
  <c r="O241" i="15" l="1"/>
  <c r="S241" i="15" s="1"/>
  <c r="L242" i="15" s="1"/>
  <c r="K245" i="16"/>
  <c r="J245" i="16" s="1"/>
  <c r="Q245" i="16" s="1"/>
  <c r="P245" i="16" s="1"/>
  <c r="N253" i="13"/>
  <c r="J253" i="13" s="1"/>
  <c r="K248" i="17"/>
  <c r="J248" i="17" s="1"/>
  <c r="Q248" i="17" s="1"/>
  <c r="P248" i="17" s="1"/>
  <c r="O248" i="17" s="1"/>
  <c r="S248" i="17" s="1"/>
  <c r="L249" i="17" s="1"/>
  <c r="J241" i="14"/>
  <c r="K242" i="15" l="1"/>
  <c r="N242" i="15"/>
  <c r="R248" i="17"/>
  <c r="T248" i="17" s="1"/>
  <c r="M249" i="17" s="1"/>
  <c r="K249" i="17" s="1"/>
  <c r="O245" i="16"/>
  <c r="S245" i="16" s="1"/>
  <c r="L246" i="16" s="1"/>
  <c r="R245" i="16"/>
  <c r="T245" i="16" s="1"/>
  <c r="M246" i="16" s="1"/>
  <c r="Q253" i="13"/>
  <c r="P253" i="13" s="1"/>
  <c r="R253" i="13" s="1"/>
  <c r="T253" i="13" s="1"/>
  <c r="M254" i="13" s="1"/>
  <c r="N249" i="17"/>
  <c r="Q241" i="14"/>
  <c r="P241" i="14" s="1"/>
  <c r="R241" i="14" s="1"/>
  <c r="T241" i="14" s="1"/>
  <c r="M242" i="14" s="1"/>
  <c r="J242" i="15" l="1"/>
  <c r="Q242" i="15" s="1"/>
  <c r="P242" i="15" s="1"/>
  <c r="R242" i="15" s="1"/>
  <c r="T242" i="15" s="1"/>
  <c r="M243" i="15" s="1"/>
  <c r="O253" i="13"/>
  <c r="S253" i="13" s="1"/>
  <c r="L254" i="13" s="1"/>
  <c r="N254" i="13" s="1"/>
  <c r="O241" i="14"/>
  <c r="S241" i="14" s="1"/>
  <c r="L242" i="14" s="1"/>
  <c r="K242" i="14" s="1"/>
  <c r="K246" i="16"/>
  <c r="N246" i="16"/>
  <c r="J249" i="17"/>
  <c r="O242" i="15" l="1"/>
  <c r="S242" i="15" s="1"/>
  <c r="L243" i="15" s="1"/>
  <c r="N243" i="15" s="1"/>
  <c r="K254" i="13"/>
  <c r="J254" i="13" s="1"/>
  <c r="Q254" i="13" s="1"/>
  <c r="P254" i="13" s="1"/>
  <c r="N242" i="14"/>
  <c r="J242" i="14" s="1"/>
  <c r="J246" i="16"/>
  <c r="Q249" i="17"/>
  <c r="P249" i="17" s="1"/>
  <c r="R249" i="17" s="1"/>
  <c r="T249" i="17" s="1"/>
  <c r="M250" i="17" s="1"/>
  <c r="K243" i="15" l="1"/>
  <c r="J243" i="15" s="1"/>
  <c r="Q243" i="15" s="1"/>
  <c r="P243" i="15" s="1"/>
  <c r="R243" i="15" s="1"/>
  <c r="T243" i="15" s="1"/>
  <c r="M244" i="15" s="1"/>
  <c r="O249" i="17"/>
  <c r="S249" i="17" s="1"/>
  <c r="L250" i="17" s="1"/>
  <c r="N250" i="17" s="1"/>
  <c r="R254" i="13"/>
  <c r="T254" i="13" s="1"/>
  <c r="M255" i="13" s="1"/>
  <c r="O254" i="13"/>
  <c r="S254" i="13" s="1"/>
  <c r="L255" i="13" s="1"/>
  <c r="Q246" i="16"/>
  <c r="P246" i="16" s="1"/>
  <c r="Q242" i="14"/>
  <c r="P242" i="14" s="1"/>
  <c r="R242" i="14" s="1"/>
  <c r="T242" i="14" s="1"/>
  <c r="M243" i="14" s="1"/>
  <c r="K250" i="17" l="1"/>
  <c r="J250" i="17" s="1"/>
  <c r="Q250" i="17" s="1"/>
  <c r="O243" i="15"/>
  <c r="S243" i="15" s="1"/>
  <c r="L244" i="15" s="1"/>
  <c r="N244" i="15" s="1"/>
  <c r="R246" i="16"/>
  <c r="T246" i="16" s="1"/>
  <c r="M247" i="16" s="1"/>
  <c r="O246" i="16"/>
  <c r="S246" i="16" s="1"/>
  <c r="L247" i="16" s="1"/>
  <c r="K255" i="13"/>
  <c r="N255" i="13"/>
  <c r="O242" i="14"/>
  <c r="S242" i="14" s="1"/>
  <c r="L243" i="14" s="1"/>
  <c r="K244" i="15" l="1"/>
  <c r="J244" i="15" s="1"/>
  <c r="Q244" i="15" s="1"/>
  <c r="P244" i="15" s="1"/>
  <c r="R244" i="15" s="1"/>
  <c r="T244" i="15" s="1"/>
  <c r="M245" i="15" s="1"/>
  <c r="P250" i="17"/>
  <c r="R250" i="17" s="1"/>
  <c r="T250" i="17" s="1"/>
  <c r="M251" i="17" s="1"/>
  <c r="K247" i="16"/>
  <c r="N247" i="16"/>
  <c r="J255" i="13"/>
  <c r="N243" i="14"/>
  <c r="K243" i="14"/>
  <c r="J247" i="16" l="1"/>
  <c r="Q247" i="16" s="1"/>
  <c r="P247" i="16" s="1"/>
  <c r="O244" i="15"/>
  <c r="S244" i="15" s="1"/>
  <c r="L245" i="15" s="1"/>
  <c r="N245" i="15" s="1"/>
  <c r="Q255" i="13"/>
  <c r="P255" i="13" s="1"/>
  <c r="R255" i="13" s="1"/>
  <c r="T255" i="13" s="1"/>
  <c r="M256" i="13" s="1"/>
  <c r="O250" i="17"/>
  <c r="S250" i="17" s="1"/>
  <c r="L251" i="17" s="1"/>
  <c r="J243" i="14"/>
  <c r="K245" i="15" l="1"/>
  <c r="J245" i="15" s="1"/>
  <c r="Q245" i="15" s="1"/>
  <c r="P245" i="15" s="1"/>
  <c r="R245" i="15" s="1"/>
  <c r="T245" i="15" s="1"/>
  <c r="M246" i="15" s="1"/>
  <c r="R247" i="16"/>
  <c r="T247" i="16" s="1"/>
  <c r="M248" i="16" s="1"/>
  <c r="O247" i="16"/>
  <c r="S247" i="16" s="1"/>
  <c r="L248" i="16" s="1"/>
  <c r="N248" i="16" s="1"/>
  <c r="O255" i="13"/>
  <c r="S255" i="13" s="1"/>
  <c r="L256" i="13" s="1"/>
  <c r="N251" i="17"/>
  <c r="K251" i="17"/>
  <c r="Q243" i="14"/>
  <c r="P243" i="14" s="1"/>
  <c r="R243" i="14" s="1"/>
  <c r="T243" i="14" s="1"/>
  <c r="M244" i="14" s="1"/>
  <c r="J251" i="17" l="1"/>
  <c r="Q251" i="17" s="1"/>
  <c r="P251" i="17" s="1"/>
  <c r="O251" i="17" s="1"/>
  <c r="S251" i="17" s="1"/>
  <c r="L252" i="17" s="1"/>
  <c r="O245" i="15"/>
  <c r="S245" i="15" s="1"/>
  <c r="L246" i="15" s="1"/>
  <c r="N246" i="15" s="1"/>
  <c r="K248" i="16"/>
  <c r="J248" i="16" s="1"/>
  <c r="Q248" i="16" s="1"/>
  <c r="K256" i="13"/>
  <c r="N256" i="13"/>
  <c r="O243" i="14"/>
  <c r="S243" i="14" s="1"/>
  <c r="L244" i="14" s="1"/>
  <c r="K246" i="15" l="1"/>
  <c r="J246" i="15" s="1"/>
  <c r="Q246" i="15" s="1"/>
  <c r="P246" i="15" s="1"/>
  <c r="R246" i="15" s="1"/>
  <c r="T246" i="15" s="1"/>
  <c r="M247" i="15" s="1"/>
  <c r="J256" i="13"/>
  <c r="N252" i="17"/>
  <c r="R251" i="17"/>
  <c r="T251" i="17" s="1"/>
  <c r="M252" i="17" s="1"/>
  <c r="K252" i="17" s="1"/>
  <c r="P248" i="16"/>
  <c r="R248" i="16" s="1"/>
  <c r="T248" i="16" s="1"/>
  <c r="M249" i="16" s="1"/>
  <c r="N244" i="14"/>
  <c r="K244" i="14"/>
  <c r="J252" i="17" l="1"/>
  <c r="Q252" i="17" s="1"/>
  <c r="P252" i="17" s="1"/>
  <c r="O248" i="16"/>
  <c r="S248" i="16" s="1"/>
  <c r="L249" i="16" s="1"/>
  <c r="Q256" i="13"/>
  <c r="P256" i="13" s="1"/>
  <c r="R256" i="13" s="1"/>
  <c r="T256" i="13" s="1"/>
  <c r="M257" i="13" s="1"/>
  <c r="O246" i="15"/>
  <c r="S246" i="15" s="1"/>
  <c r="L247" i="15" s="1"/>
  <c r="K247" i="15" s="1"/>
  <c r="J244" i="14"/>
  <c r="O252" i="17" l="1"/>
  <c r="S252" i="17" s="1"/>
  <c r="L253" i="17" s="1"/>
  <c r="N253" i="17" s="1"/>
  <c r="R252" i="17"/>
  <c r="T252" i="17" s="1"/>
  <c r="M253" i="17" s="1"/>
  <c r="O256" i="13"/>
  <c r="S256" i="13" s="1"/>
  <c r="L257" i="13" s="1"/>
  <c r="N247" i="15"/>
  <c r="J247" i="15" s="1"/>
  <c r="N249" i="16"/>
  <c r="K249" i="16"/>
  <c r="Q244" i="14"/>
  <c r="P244" i="14" s="1"/>
  <c r="R244" i="14" s="1"/>
  <c r="T244" i="14" s="1"/>
  <c r="M245" i="14" s="1"/>
  <c r="J249" i="16" l="1"/>
  <c r="Q249" i="16" s="1"/>
  <c r="P249" i="16" s="1"/>
  <c r="K253" i="17"/>
  <c r="J253" i="17" s="1"/>
  <c r="N257" i="13"/>
  <c r="K257" i="13"/>
  <c r="Q247" i="15"/>
  <c r="P247" i="15" s="1"/>
  <c r="R247" i="15" s="1"/>
  <c r="T247" i="15" s="1"/>
  <c r="M248" i="15" s="1"/>
  <c r="O244" i="14"/>
  <c r="S244" i="14" s="1"/>
  <c r="L245" i="14" s="1"/>
  <c r="J257" i="13" l="1"/>
  <c r="Q257" i="13" s="1"/>
  <c r="P257" i="13" s="1"/>
  <c r="Q253" i="17"/>
  <c r="P253" i="17" s="1"/>
  <c r="R253" i="17" s="1"/>
  <c r="T253" i="17" s="1"/>
  <c r="M254" i="17" s="1"/>
  <c r="O249" i="16"/>
  <c r="S249" i="16" s="1"/>
  <c r="L250" i="16" s="1"/>
  <c r="N250" i="16" s="1"/>
  <c r="R249" i="16"/>
  <c r="T249" i="16" s="1"/>
  <c r="M250" i="16" s="1"/>
  <c r="O247" i="15"/>
  <c r="S247" i="15" s="1"/>
  <c r="L248" i="15" s="1"/>
  <c r="N245" i="14"/>
  <c r="K245" i="14"/>
  <c r="K250" i="16" l="1"/>
  <c r="J250" i="16" s="1"/>
  <c r="Q250" i="16" s="1"/>
  <c r="P250" i="16" s="1"/>
  <c r="R250" i="16" s="1"/>
  <c r="T250" i="16" s="1"/>
  <c r="M251" i="16" s="1"/>
  <c r="O253" i="17"/>
  <c r="S253" i="17" s="1"/>
  <c r="L254" i="17" s="1"/>
  <c r="K254" i="17" s="1"/>
  <c r="R257" i="13"/>
  <c r="T257" i="13" s="1"/>
  <c r="M258" i="13" s="1"/>
  <c r="O257" i="13"/>
  <c r="S257" i="13" s="1"/>
  <c r="L258" i="13" s="1"/>
  <c r="N258" i="13" s="1"/>
  <c r="J245" i="14"/>
  <c r="Q245" i="14" s="1"/>
  <c r="P245" i="14" s="1"/>
  <c r="R245" i="14" s="1"/>
  <c r="T245" i="14" s="1"/>
  <c r="M246" i="14" s="1"/>
  <c r="K248" i="15"/>
  <c r="N248" i="15"/>
  <c r="N254" i="17" l="1"/>
  <c r="J254" i="17" s="1"/>
  <c r="Q254" i="17" s="1"/>
  <c r="P254" i="17" s="1"/>
  <c r="K258" i="13"/>
  <c r="J258" i="13" s="1"/>
  <c r="Q258" i="13" s="1"/>
  <c r="O250" i="16"/>
  <c r="S250" i="16" s="1"/>
  <c r="L251" i="16" s="1"/>
  <c r="J248" i="15"/>
  <c r="O245" i="14"/>
  <c r="S245" i="14" s="1"/>
  <c r="L246" i="14" s="1"/>
  <c r="P258" i="13" l="1"/>
  <c r="R258" i="13" s="1"/>
  <c r="T258" i="13" s="1"/>
  <c r="M259" i="13" s="1"/>
  <c r="K251" i="16"/>
  <c r="N251" i="16"/>
  <c r="O254" i="17"/>
  <c r="S254" i="17" s="1"/>
  <c r="L255" i="17" s="1"/>
  <c r="R254" i="17"/>
  <c r="T254" i="17" s="1"/>
  <c r="M255" i="17" s="1"/>
  <c r="Q248" i="15"/>
  <c r="P248" i="15" s="1"/>
  <c r="N246" i="14"/>
  <c r="K246" i="14"/>
  <c r="O258" i="13" l="1"/>
  <c r="S258" i="13" s="1"/>
  <c r="L259" i="13" s="1"/>
  <c r="J246" i="14"/>
  <c r="Q246" i="14" s="1"/>
  <c r="P246" i="14" s="1"/>
  <c r="R246" i="14" s="1"/>
  <c r="T246" i="14" s="1"/>
  <c r="M247" i="14" s="1"/>
  <c r="J251" i="16"/>
  <c r="R248" i="15"/>
  <c r="T248" i="15" s="1"/>
  <c r="M249" i="15" s="1"/>
  <c r="O248" i="15"/>
  <c r="S248" i="15" s="1"/>
  <c r="L249" i="15" s="1"/>
  <c r="K255" i="17"/>
  <c r="N255" i="17"/>
  <c r="K259" i="13" l="1"/>
  <c r="N259" i="13"/>
  <c r="Q251" i="16"/>
  <c r="P251" i="16" s="1"/>
  <c r="R251" i="16" s="1"/>
  <c r="T251" i="16" s="1"/>
  <c r="M252" i="16" s="1"/>
  <c r="J255" i="17"/>
  <c r="K249" i="15"/>
  <c r="N249" i="15"/>
  <c r="O246" i="14"/>
  <c r="S246" i="14" s="1"/>
  <c r="L247" i="14" s="1"/>
  <c r="J259" i="13" l="1"/>
  <c r="O251" i="16"/>
  <c r="S251" i="16" s="1"/>
  <c r="L252" i="16" s="1"/>
  <c r="N252" i="16" s="1"/>
  <c r="J249" i="15"/>
  <c r="Q249" i="15" s="1"/>
  <c r="Q255" i="17"/>
  <c r="P255" i="17" s="1"/>
  <c r="R255" i="17" s="1"/>
  <c r="T255" i="17" s="1"/>
  <c r="M256" i="17" s="1"/>
  <c r="K247" i="14"/>
  <c r="N247" i="14"/>
  <c r="K252" i="16" l="1"/>
  <c r="J252" i="16" s="1"/>
  <c r="Q252" i="16" s="1"/>
  <c r="P252" i="16" s="1"/>
  <c r="R252" i="16" s="1"/>
  <c r="T252" i="16" s="1"/>
  <c r="M253" i="16" s="1"/>
  <c r="Q259" i="13"/>
  <c r="P259" i="13" s="1"/>
  <c r="R259" i="13" s="1"/>
  <c r="T259" i="13" s="1"/>
  <c r="M260" i="13" s="1"/>
  <c r="P249" i="15"/>
  <c r="R249" i="15" s="1"/>
  <c r="T249" i="15" s="1"/>
  <c r="M250" i="15" s="1"/>
  <c r="O255" i="17"/>
  <c r="S255" i="17" s="1"/>
  <c r="L256" i="17" s="1"/>
  <c r="J247" i="14"/>
  <c r="O259" i="13" l="1"/>
  <c r="S259" i="13" s="1"/>
  <c r="L260" i="13" s="1"/>
  <c r="O249" i="15"/>
  <c r="S249" i="15" s="1"/>
  <c r="L250" i="15" s="1"/>
  <c r="K250" i="15" s="1"/>
  <c r="O252" i="16"/>
  <c r="S252" i="16" s="1"/>
  <c r="L253" i="16" s="1"/>
  <c r="N253" i="16" s="1"/>
  <c r="N256" i="17"/>
  <c r="K256" i="17"/>
  <c r="Q247" i="14"/>
  <c r="K253" i="16" l="1"/>
  <c r="J253" i="16" s="1"/>
  <c r="Q253" i="16" s="1"/>
  <c r="P253" i="16" s="1"/>
  <c r="R253" i="16" s="1"/>
  <c r="T253" i="16" s="1"/>
  <c r="M254" i="16" s="1"/>
  <c r="N250" i="15"/>
  <c r="J250" i="15" s="1"/>
  <c r="K260" i="13"/>
  <c r="N260" i="13"/>
  <c r="J256" i="17"/>
  <c r="Q256" i="17" s="1"/>
  <c r="P256" i="17" s="1"/>
  <c r="R256" i="17" s="1"/>
  <c r="T256" i="17" s="1"/>
  <c r="M257" i="17" s="1"/>
  <c r="P247" i="14"/>
  <c r="R247" i="14" s="1"/>
  <c r="T247" i="14" s="1"/>
  <c r="M248" i="14" s="1"/>
  <c r="J260" i="13" l="1"/>
  <c r="O256" i="17"/>
  <c r="S256" i="17" s="1"/>
  <c r="L257" i="17" s="1"/>
  <c r="N257" i="17" s="1"/>
  <c r="O253" i="16"/>
  <c r="S253" i="16" s="1"/>
  <c r="L254" i="16" s="1"/>
  <c r="Q250" i="15"/>
  <c r="P250" i="15" s="1"/>
  <c r="R250" i="15" s="1"/>
  <c r="T250" i="15" s="1"/>
  <c r="M251" i="15" s="1"/>
  <c r="O247" i="14"/>
  <c r="S247" i="14" s="1"/>
  <c r="L248" i="14" s="1"/>
  <c r="K257" i="17" l="1"/>
  <c r="J257" i="17" s="1"/>
  <c r="Q257" i="17" s="1"/>
  <c r="P257" i="17" s="1"/>
  <c r="O257" i="17" s="1"/>
  <c r="S257" i="17" s="1"/>
  <c r="L258" i="17" s="1"/>
  <c r="Q260" i="13"/>
  <c r="P260" i="13" s="1"/>
  <c r="R260" i="13" s="1"/>
  <c r="T260" i="13" s="1"/>
  <c r="M261" i="13" s="1"/>
  <c r="N254" i="16"/>
  <c r="K254" i="16"/>
  <c r="O250" i="15"/>
  <c r="S250" i="15" s="1"/>
  <c r="L251" i="15" s="1"/>
  <c r="K251" i="15" s="1"/>
  <c r="K248" i="14"/>
  <c r="N248" i="14"/>
  <c r="J254" i="16" l="1"/>
  <c r="Q254" i="16" s="1"/>
  <c r="P254" i="16" s="1"/>
  <c r="R254" i="16" s="1"/>
  <c r="T254" i="16" s="1"/>
  <c r="M255" i="16" s="1"/>
  <c r="O260" i="13"/>
  <c r="S260" i="13" s="1"/>
  <c r="L261" i="13" s="1"/>
  <c r="N251" i="15"/>
  <c r="J251" i="15" s="1"/>
  <c r="J248" i="14"/>
  <c r="N258" i="17"/>
  <c r="R257" i="17"/>
  <c r="T257" i="17" s="1"/>
  <c r="M258" i="17" s="1"/>
  <c r="K258" i="17" s="1"/>
  <c r="N261" i="13" l="1"/>
  <c r="K261" i="13"/>
  <c r="O254" i="16"/>
  <c r="S254" i="16" s="1"/>
  <c r="L255" i="16" s="1"/>
  <c r="N255" i="16" s="1"/>
  <c r="J258" i="17"/>
  <c r="Q258" i="17" s="1"/>
  <c r="Q251" i="15"/>
  <c r="P251" i="15" s="1"/>
  <c r="R251" i="15" s="1"/>
  <c r="T251" i="15" s="1"/>
  <c r="M252" i="15" s="1"/>
  <c r="Q248" i="14"/>
  <c r="P248" i="14" s="1"/>
  <c r="R248" i="14" s="1"/>
  <c r="T248" i="14" s="1"/>
  <c r="M249" i="14" s="1"/>
  <c r="J261" i="13" l="1"/>
  <c r="Q261" i="13" s="1"/>
  <c r="P261" i="13" s="1"/>
  <c r="O261" i="13" s="1"/>
  <c r="S261" i="13" s="1"/>
  <c r="L262" i="13" s="1"/>
  <c r="N262" i="13" s="1"/>
  <c r="K255" i="16"/>
  <c r="J255" i="16" s="1"/>
  <c r="Q255" i="16" s="1"/>
  <c r="P258" i="17"/>
  <c r="R258" i="17" s="1"/>
  <c r="T258" i="17" s="1"/>
  <c r="M259" i="17" s="1"/>
  <c r="O248" i="14"/>
  <c r="S248" i="14" s="1"/>
  <c r="L249" i="14" s="1"/>
  <c r="N249" i="14" s="1"/>
  <c r="O251" i="15"/>
  <c r="S251" i="15" s="1"/>
  <c r="L252" i="15" s="1"/>
  <c r="R261" i="13" l="1"/>
  <c r="T261" i="13" s="1"/>
  <c r="M262" i="13" s="1"/>
  <c r="K262" i="13" s="1"/>
  <c r="J262" i="13" s="1"/>
  <c r="Q262" i="13" s="1"/>
  <c r="P262" i="13" s="1"/>
  <c r="R262" i="13" s="1"/>
  <c r="T262" i="13" s="1"/>
  <c r="M263" i="13" s="1"/>
  <c r="O258" i="17"/>
  <c r="S258" i="17" s="1"/>
  <c r="L259" i="17" s="1"/>
  <c r="K259" i="17" s="1"/>
  <c r="K249" i="14"/>
  <c r="J249" i="14" s="1"/>
  <c r="Q249" i="14" s="1"/>
  <c r="P249" i="14" s="1"/>
  <c r="R249" i="14" s="1"/>
  <c r="T249" i="14" s="1"/>
  <c r="M250" i="14" s="1"/>
  <c r="P255" i="16"/>
  <c r="R255" i="16" s="1"/>
  <c r="T255" i="16" s="1"/>
  <c r="M256" i="16" s="1"/>
  <c r="N252" i="15"/>
  <c r="K252" i="15"/>
  <c r="N259" i="17" l="1"/>
  <c r="J259" i="17" s="1"/>
  <c r="O262" i="13"/>
  <c r="S262" i="13" s="1"/>
  <c r="L263" i="13" s="1"/>
  <c r="O255" i="16"/>
  <c r="S255" i="16" s="1"/>
  <c r="L256" i="16" s="1"/>
  <c r="O249" i="14"/>
  <c r="S249" i="14" s="1"/>
  <c r="L250" i="14" s="1"/>
  <c r="J252" i="15"/>
  <c r="N263" i="13" l="1"/>
  <c r="K263" i="13"/>
  <c r="K256" i="16"/>
  <c r="N256" i="16"/>
  <c r="Q259" i="17"/>
  <c r="P259" i="17" s="1"/>
  <c r="R259" i="17" s="1"/>
  <c r="T259" i="17" s="1"/>
  <c r="M260" i="17" s="1"/>
  <c r="Q252" i="15"/>
  <c r="P252" i="15" s="1"/>
  <c r="R252" i="15" s="1"/>
  <c r="T252" i="15" s="1"/>
  <c r="M253" i="15" s="1"/>
  <c r="N250" i="14"/>
  <c r="K250" i="14"/>
  <c r="J263" i="13" l="1"/>
  <c r="Q263" i="13" s="1"/>
  <c r="P263" i="13" s="1"/>
  <c r="R263" i="13" s="1"/>
  <c r="T263" i="13" s="1"/>
  <c r="M264" i="13" s="1"/>
  <c r="J250" i="14"/>
  <c r="Q250" i="14" s="1"/>
  <c r="P250" i="14" s="1"/>
  <c r="R250" i="14" s="1"/>
  <c r="T250" i="14" s="1"/>
  <c r="M251" i="14" s="1"/>
  <c r="J256" i="16"/>
  <c r="O252" i="15"/>
  <c r="S252" i="15" s="1"/>
  <c r="L253" i="15" s="1"/>
  <c r="O259" i="17"/>
  <c r="S259" i="17" s="1"/>
  <c r="L260" i="17" s="1"/>
  <c r="O263" i="13" l="1"/>
  <c r="S263" i="13" s="1"/>
  <c r="L264" i="13" s="1"/>
  <c r="N264" i="13" s="1"/>
  <c r="Q256" i="16"/>
  <c r="P256" i="16" s="1"/>
  <c r="N260" i="17"/>
  <c r="K260" i="17"/>
  <c r="O250" i="14"/>
  <c r="S250" i="14" s="1"/>
  <c r="L251" i="14" s="1"/>
  <c r="N253" i="15"/>
  <c r="K253" i="15"/>
  <c r="J260" i="17" l="1"/>
  <c r="Q260" i="17" s="1"/>
  <c r="P260" i="17" s="1"/>
  <c r="R260" i="17" s="1"/>
  <c r="T260" i="17" s="1"/>
  <c r="M261" i="17" s="1"/>
  <c r="K264" i="13"/>
  <c r="J264" i="13" s="1"/>
  <c r="Q264" i="13" s="1"/>
  <c r="P264" i="13" s="1"/>
  <c r="R264" i="13" s="1"/>
  <c r="T264" i="13" s="1"/>
  <c r="M265" i="13" s="1"/>
  <c r="J253" i="15"/>
  <c r="Q253" i="15" s="1"/>
  <c r="P253" i="15" s="1"/>
  <c r="R253" i="15" s="1"/>
  <c r="T253" i="15" s="1"/>
  <c r="M254" i="15" s="1"/>
  <c r="R256" i="16"/>
  <c r="T256" i="16" s="1"/>
  <c r="M257" i="16" s="1"/>
  <c r="O256" i="16"/>
  <c r="S256" i="16" s="1"/>
  <c r="L257" i="16" s="1"/>
  <c r="K251" i="14"/>
  <c r="N251" i="14"/>
  <c r="O264" i="13" l="1"/>
  <c r="S264" i="13" s="1"/>
  <c r="L265" i="13" s="1"/>
  <c r="O253" i="15"/>
  <c r="S253" i="15" s="1"/>
  <c r="L254" i="15" s="1"/>
  <c r="N254" i="15" s="1"/>
  <c r="N257" i="16"/>
  <c r="K257" i="16"/>
  <c r="O260" i="17"/>
  <c r="S260" i="17" s="1"/>
  <c r="L261" i="17" s="1"/>
  <c r="J251" i="14"/>
  <c r="K254" i="15" l="1"/>
  <c r="J254" i="15" s="1"/>
  <c r="Q254" i="15" s="1"/>
  <c r="P254" i="15" s="1"/>
  <c r="R254" i="15" s="1"/>
  <c r="T254" i="15" s="1"/>
  <c r="M255" i="15" s="1"/>
  <c r="J257" i="16"/>
  <c r="Q257" i="16" s="1"/>
  <c r="P257" i="16" s="1"/>
  <c r="N265" i="13"/>
  <c r="K265" i="13"/>
  <c r="Q251" i="14"/>
  <c r="K261" i="17"/>
  <c r="N261" i="17"/>
  <c r="J265" i="13" l="1"/>
  <c r="Q265" i="13" s="1"/>
  <c r="P265" i="13" s="1"/>
  <c r="R265" i="13" s="1"/>
  <c r="T265" i="13" s="1"/>
  <c r="M266" i="13" s="1"/>
  <c r="O257" i="16"/>
  <c r="S257" i="16" s="1"/>
  <c r="L258" i="16" s="1"/>
  <c r="R257" i="16"/>
  <c r="T257" i="16" s="1"/>
  <c r="M258" i="16" s="1"/>
  <c r="P251" i="14"/>
  <c r="R251" i="14" s="1"/>
  <c r="T251" i="14" s="1"/>
  <c r="M252" i="14" s="1"/>
  <c r="O254" i="15"/>
  <c r="S254" i="15" s="1"/>
  <c r="L255" i="15" s="1"/>
  <c r="J261" i="17"/>
  <c r="O265" i="13" l="1"/>
  <c r="S265" i="13" s="1"/>
  <c r="L266" i="13" s="1"/>
  <c r="O251" i="14"/>
  <c r="S251" i="14" s="1"/>
  <c r="L252" i="14" s="1"/>
  <c r="N258" i="16"/>
  <c r="K258" i="16"/>
  <c r="Q261" i="17"/>
  <c r="P261" i="17" s="1"/>
  <c r="N255" i="15"/>
  <c r="K255" i="15"/>
  <c r="J258" i="16" l="1"/>
  <c r="Q258" i="16" s="1"/>
  <c r="P258" i="16" s="1"/>
  <c r="R258" i="16" s="1"/>
  <c r="T258" i="16" s="1"/>
  <c r="M259" i="16" s="1"/>
  <c r="N266" i="13"/>
  <c r="K266" i="13"/>
  <c r="J255" i="15"/>
  <c r="Q255" i="15" s="1"/>
  <c r="P255" i="15" s="1"/>
  <c r="R255" i="15" s="1"/>
  <c r="T255" i="15" s="1"/>
  <c r="M256" i="15" s="1"/>
  <c r="R261" i="17"/>
  <c r="T261" i="17" s="1"/>
  <c r="M262" i="17" s="1"/>
  <c r="O261" i="17"/>
  <c r="S261" i="17" s="1"/>
  <c r="L262" i="17" s="1"/>
  <c r="N262" i="17" s="1"/>
  <c r="K252" i="14"/>
  <c r="N252" i="14"/>
  <c r="J266" i="13" l="1"/>
  <c r="Q266" i="13" s="1"/>
  <c r="P266" i="13" s="1"/>
  <c r="R266" i="13" s="1"/>
  <c r="T266" i="13" s="1"/>
  <c r="M267" i="13" s="1"/>
  <c r="O258" i="16"/>
  <c r="S258" i="16" s="1"/>
  <c r="L259" i="16" s="1"/>
  <c r="N259" i="16" s="1"/>
  <c r="K262" i="17"/>
  <c r="J262" i="17" s="1"/>
  <c r="J252" i="14"/>
  <c r="Q252" i="14" s="1"/>
  <c r="P252" i="14" s="1"/>
  <c r="R252" i="14" s="1"/>
  <c r="T252" i="14" s="1"/>
  <c r="M253" i="14" s="1"/>
  <c r="O255" i="15"/>
  <c r="S255" i="15" s="1"/>
  <c r="L256" i="15" s="1"/>
  <c r="K259" i="16" l="1"/>
  <c r="J259" i="16" s="1"/>
  <c r="O266" i="13"/>
  <c r="S266" i="13" s="1"/>
  <c r="L267" i="13" s="1"/>
  <c r="N267" i="13" s="1"/>
  <c r="O252" i="14"/>
  <c r="S252" i="14" s="1"/>
  <c r="L253" i="14" s="1"/>
  <c r="N253" i="14" s="1"/>
  <c r="Q262" i="17"/>
  <c r="K256" i="15"/>
  <c r="N256" i="15"/>
  <c r="Q259" i="16" l="1"/>
  <c r="P259" i="16" s="1"/>
  <c r="K267" i="13"/>
  <c r="J267" i="13" s="1"/>
  <c r="Q267" i="13" s="1"/>
  <c r="P267" i="13" s="1"/>
  <c r="R267" i="13" s="1"/>
  <c r="T267" i="13" s="1"/>
  <c r="M268" i="13" s="1"/>
  <c r="K253" i="14"/>
  <c r="J253" i="14" s="1"/>
  <c r="Q253" i="14" s="1"/>
  <c r="P253" i="14" s="1"/>
  <c r="R253" i="14" s="1"/>
  <c r="T253" i="14" s="1"/>
  <c r="M254" i="14" s="1"/>
  <c r="J256" i="15"/>
  <c r="P262" i="17"/>
  <c r="R262" i="17" s="1"/>
  <c r="T262" i="17" s="1"/>
  <c r="M263" i="17" s="1"/>
  <c r="R259" i="16" l="1"/>
  <c r="T259" i="16" s="1"/>
  <c r="M260" i="16" s="1"/>
  <c r="O259" i="16"/>
  <c r="S259" i="16" s="1"/>
  <c r="L260" i="16" s="1"/>
  <c r="N260" i="16" s="1"/>
  <c r="O267" i="13"/>
  <c r="S267" i="13" s="1"/>
  <c r="L268" i="13" s="1"/>
  <c r="K268" i="13" s="1"/>
  <c r="Q256" i="15"/>
  <c r="P256" i="15" s="1"/>
  <c r="R256" i="15" s="1"/>
  <c r="T256" i="15" s="1"/>
  <c r="M257" i="15" s="1"/>
  <c r="O262" i="17"/>
  <c r="S262" i="17" s="1"/>
  <c r="L263" i="17" s="1"/>
  <c r="O253" i="14"/>
  <c r="S253" i="14" s="1"/>
  <c r="L254" i="14" s="1"/>
  <c r="K260" i="16" l="1"/>
  <c r="J260" i="16" s="1"/>
  <c r="N268" i="13"/>
  <c r="J268" i="13" s="1"/>
  <c r="K254" i="14"/>
  <c r="N254" i="14"/>
  <c r="N263" i="17"/>
  <c r="K263" i="17"/>
  <c r="O256" i="15"/>
  <c r="S256" i="15" s="1"/>
  <c r="L257" i="15" s="1"/>
  <c r="J263" i="17" l="1"/>
  <c r="Q263" i="17" s="1"/>
  <c r="Q268" i="13"/>
  <c r="P268" i="13" s="1"/>
  <c r="R268" i="13" s="1"/>
  <c r="T268" i="13" s="1"/>
  <c r="M269" i="13" s="1"/>
  <c r="N257" i="15"/>
  <c r="K257" i="15"/>
  <c r="J254" i="14"/>
  <c r="Q260" i="16"/>
  <c r="P260" i="16" s="1"/>
  <c r="R260" i="16" s="1"/>
  <c r="T260" i="16" s="1"/>
  <c r="M261" i="16" s="1"/>
  <c r="J257" i="15" l="1"/>
  <c r="Q257" i="15" s="1"/>
  <c r="P257" i="15" s="1"/>
  <c r="R257" i="15" s="1"/>
  <c r="T257" i="15" s="1"/>
  <c r="M258" i="15" s="1"/>
  <c r="O268" i="13"/>
  <c r="S268" i="13" s="1"/>
  <c r="L269" i="13" s="1"/>
  <c r="P263" i="17"/>
  <c r="R263" i="17" s="1"/>
  <c r="T263" i="17" s="1"/>
  <c r="M264" i="17" s="1"/>
  <c r="Q254" i="14"/>
  <c r="P254" i="14" s="1"/>
  <c r="O260" i="16"/>
  <c r="S260" i="16" s="1"/>
  <c r="L261" i="16" s="1"/>
  <c r="K269" i="13" l="1"/>
  <c r="N269" i="13"/>
  <c r="O254" i="14"/>
  <c r="S254" i="14" s="1"/>
  <c r="L255" i="14" s="1"/>
  <c r="R254" i="14"/>
  <c r="T254" i="14" s="1"/>
  <c r="M255" i="14" s="1"/>
  <c r="O257" i="15"/>
  <c r="S257" i="15" s="1"/>
  <c r="L258" i="15" s="1"/>
  <c r="O263" i="17"/>
  <c r="S263" i="17" s="1"/>
  <c r="L264" i="17" s="1"/>
  <c r="N261" i="16"/>
  <c r="K261" i="16"/>
  <c r="J269" i="13" l="1"/>
  <c r="K264" i="17"/>
  <c r="N264" i="17"/>
  <c r="N258" i="15"/>
  <c r="K258" i="15"/>
  <c r="J261" i="16"/>
  <c r="Q261" i="16" s="1"/>
  <c r="P261" i="16" s="1"/>
  <c r="R261" i="16" s="1"/>
  <c r="T261" i="16" s="1"/>
  <c r="M262" i="16" s="1"/>
  <c r="N255" i="14"/>
  <c r="K255" i="14"/>
  <c r="Q269" i="13" l="1"/>
  <c r="P269" i="13" s="1"/>
  <c r="R269" i="13" s="1"/>
  <c r="T269" i="13" s="1"/>
  <c r="M270" i="13" s="1"/>
  <c r="J258" i="15"/>
  <c r="Q258" i="15" s="1"/>
  <c r="P258" i="15" s="1"/>
  <c r="R258" i="15" s="1"/>
  <c r="T258" i="15" s="1"/>
  <c r="M259" i="15" s="1"/>
  <c r="J264" i="17"/>
  <c r="Q264" i="17" s="1"/>
  <c r="P264" i="17" s="1"/>
  <c r="R264" i="17" s="1"/>
  <c r="T264" i="17" s="1"/>
  <c r="M265" i="17" s="1"/>
  <c r="J255" i="14"/>
  <c r="O261" i="16"/>
  <c r="S261" i="16" s="1"/>
  <c r="L262" i="16" s="1"/>
  <c r="O269" i="13" l="1"/>
  <c r="S269" i="13" s="1"/>
  <c r="L270" i="13" s="1"/>
  <c r="N270" i="13" s="1"/>
  <c r="O264" i="17"/>
  <c r="S264" i="17" s="1"/>
  <c r="L265" i="17" s="1"/>
  <c r="N265" i="17" s="1"/>
  <c r="O258" i="15"/>
  <c r="S258" i="15" s="1"/>
  <c r="L259" i="15" s="1"/>
  <c r="K259" i="15" s="1"/>
  <c r="Q255" i="14"/>
  <c r="P255" i="14" s="1"/>
  <c r="R255" i="14" s="1"/>
  <c r="T255" i="14" s="1"/>
  <c r="M256" i="14" s="1"/>
  <c r="N262" i="16"/>
  <c r="K262" i="16"/>
  <c r="N259" i="15" l="1"/>
  <c r="J259" i="15" s="1"/>
  <c r="Q259" i="15" s="1"/>
  <c r="P259" i="15" s="1"/>
  <c r="R259" i="15" s="1"/>
  <c r="T259" i="15" s="1"/>
  <c r="M260" i="15" s="1"/>
  <c r="K265" i="17"/>
  <c r="J265" i="17" s="1"/>
  <c r="K270" i="13"/>
  <c r="J270" i="13" s="1"/>
  <c r="J262" i="16"/>
  <c r="Q262" i="16" s="1"/>
  <c r="P262" i="16" s="1"/>
  <c r="R262" i="16" s="1"/>
  <c r="T262" i="16" s="1"/>
  <c r="M263" i="16" s="1"/>
  <c r="O255" i="14"/>
  <c r="S255" i="14" s="1"/>
  <c r="L256" i="14" s="1"/>
  <c r="Q270" i="13" l="1"/>
  <c r="P270" i="13" s="1"/>
  <c r="R270" i="13" s="1"/>
  <c r="T270" i="13" s="1"/>
  <c r="M271" i="13" s="1"/>
  <c r="Q265" i="17"/>
  <c r="P265" i="17" s="1"/>
  <c r="R265" i="17" s="1"/>
  <c r="T265" i="17" s="1"/>
  <c r="M266" i="17" s="1"/>
  <c r="O262" i="16"/>
  <c r="S262" i="16" s="1"/>
  <c r="L263" i="16" s="1"/>
  <c r="K263" i="16" s="1"/>
  <c r="K256" i="14"/>
  <c r="N256" i="14"/>
  <c r="O259" i="15"/>
  <c r="S259" i="15" s="1"/>
  <c r="L260" i="15" s="1"/>
  <c r="N263" i="16" l="1"/>
  <c r="J263" i="16" s="1"/>
  <c r="Q263" i="16" s="1"/>
  <c r="P263" i="16" s="1"/>
  <c r="R263" i="16" s="1"/>
  <c r="T263" i="16" s="1"/>
  <c r="M264" i="16" s="1"/>
  <c r="O270" i="13"/>
  <c r="S270" i="13" s="1"/>
  <c r="L271" i="13" s="1"/>
  <c r="K271" i="13" s="1"/>
  <c r="O265" i="17"/>
  <c r="S265" i="17" s="1"/>
  <c r="L266" i="17" s="1"/>
  <c r="K266" i="17" s="1"/>
  <c r="N260" i="15"/>
  <c r="K260" i="15"/>
  <c r="J256" i="14"/>
  <c r="N271" i="13" l="1"/>
  <c r="J271" i="13" s="1"/>
  <c r="N266" i="17"/>
  <c r="J266" i="17" s="1"/>
  <c r="Q266" i="17" s="1"/>
  <c r="P266" i="17" s="1"/>
  <c r="R266" i="17" s="1"/>
  <c r="T266" i="17" s="1"/>
  <c r="M267" i="17" s="1"/>
  <c r="J260" i="15"/>
  <c r="Q260" i="15" s="1"/>
  <c r="Q256" i="14"/>
  <c r="P256" i="14" s="1"/>
  <c r="R256" i="14" s="1"/>
  <c r="T256" i="14" s="1"/>
  <c r="M257" i="14" s="1"/>
  <c r="O263" i="16"/>
  <c r="S263" i="16" s="1"/>
  <c r="L264" i="16" s="1"/>
  <c r="Q271" i="13" l="1"/>
  <c r="P271" i="13" s="1"/>
  <c r="R271" i="13" s="1"/>
  <c r="T271" i="13" s="1"/>
  <c r="M272" i="13" s="1"/>
  <c r="O256" i="14"/>
  <c r="S256" i="14" s="1"/>
  <c r="L257" i="14" s="1"/>
  <c r="K257" i="14" s="1"/>
  <c r="P260" i="15"/>
  <c r="R260" i="15" s="1"/>
  <c r="T260" i="15" s="1"/>
  <c r="M261" i="15" s="1"/>
  <c r="O266" i="17"/>
  <c r="S266" i="17" s="1"/>
  <c r="L267" i="17" s="1"/>
  <c r="N264" i="16"/>
  <c r="K264" i="16"/>
  <c r="N257" i="14" l="1"/>
  <c r="J257" i="14" s="1"/>
  <c r="O271" i="13"/>
  <c r="S271" i="13" s="1"/>
  <c r="L272" i="13" s="1"/>
  <c r="K272" i="13" s="1"/>
  <c r="J264" i="16"/>
  <c r="Q264" i="16" s="1"/>
  <c r="P264" i="16" s="1"/>
  <c r="O264" i="16" s="1"/>
  <c r="S264" i="16" s="1"/>
  <c r="L265" i="16" s="1"/>
  <c r="O260" i="15"/>
  <c r="S260" i="15" s="1"/>
  <c r="L261" i="15" s="1"/>
  <c r="K267" i="17"/>
  <c r="N267" i="17"/>
  <c r="N272" i="13" l="1"/>
  <c r="J272" i="13" s="1"/>
  <c r="K261" i="15"/>
  <c r="N261" i="15"/>
  <c r="R264" i="16"/>
  <c r="T264" i="16" s="1"/>
  <c r="M265" i="16" s="1"/>
  <c r="K265" i="16" s="1"/>
  <c r="Q257" i="14"/>
  <c r="P257" i="14" s="1"/>
  <c r="R257" i="14" s="1"/>
  <c r="T257" i="14" s="1"/>
  <c r="M258" i="14" s="1"/>
  <c r="J267" i="17"/>
  <c r="N265" i="16"/>
  <c r="Q272" i="13" l="1"/>
  <c r="P272" i="13" s="1"/>
  <c r="R272" i="13" s="1"/>
  <c r="T272" i="13" s="1"/>
  <c r="M273" i="13" s="1"/>
  <c r="J265" i="16"/>
  <c r="Q265" i="16" s="1"/>
  <c r="P265" i="16" s="1"/>
  <c r="R265" i="16" s="1"/>
  <c r="T265" i="16" s="1"/>
  <c r="M266" i="16" s="1"/>
  <c r="J261" i="15"/>
  <c r="Q261" i="15" s="1"/>
  <c r="Q267" i="17"/>
  <c r="P267" i="17" s="1"/>
  <c r="R267" i="17" s="1"/>
  <c r="T267" i="17" s="1"/>
  <c r="M268" i="17" s="1"/>
  <c r="O257" i="14"/>
  <c r="S257" i="14" s="1"/>
  <c r="L258" i="14" s="1"/>
  <c r="O272" i="13" l="1"/>
  <c r="S272" i="13" s="1"/>
  <c r="L273" i="13" s="1"/>
  <c r="P261" i="15"/>
  <c r="R261" i="15" s="1"/>
  <c r="T261" i="15" s="1"/>
  <c r="M262" i="15" s="1"/>
  <c r="O267" i="17"/>
  <c r="S267" i="17" s="1"/>
  <c r="L268" i="17" s="1"/>
  <c r="K268" i="17" s="1"/>
  <c r="K258" i="14"/>
  <c r="N258" i="14"/>
  <c r="O265" i="16"/>
  <c r="S265" i="16" s="1"/>
  <c r="L266" i="16" s="1"/>
  <c r="K266" i="16" s="1"/>
  <c r="N268" i="17" l="1"/>
  <c r="J268" i="17" s="1"/>
  <c r="Q268" i="17" s="1"/>
  <c r="P268" i="17" s="1"/>
  <c r="R268" i="17" s="1"/>
  <c r="T268" i="17" s="1"/>
  <c r="M269" i="17" s="1"/>
  <c r="O261" i="15"/>
  <c r="S261" i="15" s="1"/>
  <c r="L262" i="15" s="1"/>
  <c r="N262" i="15" s="1"/>
  <c r="N273" i="13"/>
  <c r="K273" i="13"/>
  <c r="N266" i="16"/>
  <c r="J266" i="16" s="1"/>
  <c r="Q266" i="16" s="1"/>
  <c r="P266" i="16" s="1"/>
  <c r="R266" i="16" s="1"/>
  <c r="T266" i="16" s="1"/>
  <c r="M267" i="16" s="1"/>
  <c r="J258" i="14"/>
  <c r="K262" i="15" l="1"/>
  <c r="J262" i="15" s="1"/>
  <c r="J273" i="13"/>
  <c r="Q273" i="13" s="1"/>
  <c r="O268" i="17"/>
  <c r="S268" i="17" s="1"/>
  <c r="L269" i="17" s="1"/>
  <c r="K269" i="17" s="1"/>
  <c r="Q258" i="14"/>
  <c r="P258" i="14" s="1"/>
  <c r="R258" i="14" s="1"/>
  <c r="T258" i="14" s="1"/>
  <c r="M259" i="14" s="1"/>
  <c r="O266" i="16"/>
  <c r="S266" i="16" s="1"/>
  <c r="L267" i="16" s="1"/>
  <c r="P273" i="13" l="1"/>
  <c r="R273" i="13" s="1"/>
  <c r="T273" i="13" s="1"/>
  <c r="M274" i="13" s="1"/>
  <c r="N269" i="17"/>
  <c r="J269" i="17" s="1"/>
  <c r="Q269" i="17" s="1"/>
  <c r="P269" i="17" s="1"/>
  <c r="R269" i="17" s="1"/>
  <c r="T269" i="17" s="1"/>
  <c r="M270" i="17" s="1"/>
  <c r="Q262" i="15"/>
  <c r="P262" i="15" s="1"/>
  <c r="R262" i="15" s="1"/>
  <c r="T262" i="15" s="1"/>
  <c r="M263" i="15" s="1"/>
  <c r="O258" i="14"/>
  <c r="S258" i="14" s="1"/>
  <c r="L259" i="14" s="1"/>
  <c r="N267" i="16"/>
  <c r="K267" i="16"/>
  <c r="O273" i="13" l="1"/>
  <c r="S273" i="13" s="1"/>
  <c r="L274" i="13" s="1"/>
  <c r="J267" i="16"/>
  <c r="Q267" i="16" s="1"/>
  <c r="P267" i="16" s="1"/>
  <c r="R267" i="16" s="1"/>
  <c r="T267" i="16" s="1"/>
  <c r="M268" i="16" s="1"/>
  <c r="O269" i="17"/>
  <c r="S269" i="17" s="1"/>
  <c r="L270" i="17" s="1"/>
  <c r="N270" i="17" s="1"/>
  <c r="K259" i="14"/>
  <c r="N259" i="14"/>
  <c r="O262" i="15"/>
  <c r="S262" i="15" s="1"/>
  <c r="L263" i="15" s="1"/>
  <c r="N274" i="13" l="1"/>
  <c r="K274" i="13"/>
  <c r="K270" i="17"/>
  <c r="J270" i="17" s="1"/>
  <c r="Q270" i="17" s="1"/>
  <c r="P270" i="17" s="1"/>
  <c r="R270" i="17" s="1"/>
  <c r="T270" i="17" s="1"/>
  <c r="M271" i="17" s="1"/>
  <c r="K263" i="15"/>
  <c r="D6" i="15" s="1"/>
  <c r="N263" i="15"/>
  <c r="J259" i="14"/>
  <c r="O267" i="16"/>
  <c r="S267" i="16" s="1"/>
  <c r="L268" i="16" s="1"/>
  <c r="J274" i="13" l="1"/>
  <c r="Q274" i="13" s="1"/>
  <c r="P274" i="13" s="1"/>
  <c r="R274" i="13" s="1"/>
  <c r="T274" i="13" s="1"/>
  <c r="M275" i="13" s="1"/>
  <c r="O270" i="17"/>
  <c r="S270" i="17" s="1"/>
  <c r="L271" i="17" s="1"/>
  <c r="K271" i="17" s="1"/>
  <c r="Q259" i="14"/>
  <c r="P259" i="14" s="1"/>
  <c r="R259" i="14" s="1"/>
  <c r="T259" i="14" s="1"/>
  <c r="M260" i="14" s="1"/>
  <c r="J263" i="15"/>
  <c r="K268" i="16"/>
  <c r="N268" i="16"/>
  <c r="O274" i="13" l="1"/>
  <c r="S274" i="13" s="1"/>
  <c r="L275" i="13" s="1"/>
  <c r="K275" i="13" s="1"/>
  <c r="N271" i="17"/>
  <c r="J271" i="17" s="1"/>
  <c r="Q263" i="15"/>
  <c r="J268" i="16"/>
  <c r="Q268" i="16" s="1"/>
  <c r="P268" i="16" s="1"/>
  <c r="R268" i="16" s="1"/>
  <c r="T268" i="16" s="1"/>
  <c r="M269" i="16" s="1"/>
  <c r="O259" i="14"/>
  <c r="S259" i="14" s="1"/>
  <c r="L260" i="14" s="1"/>
  <c r="N275" i="13" l="1"/>
  <c r="J275" i="13" s="1"/>
  <c r="N260" i="14"/>
  <c r="K260" i="14"/>
  <c r="Q271" i="17"/>
  <c r="P271" i="17" s="1"/>
  <c r="R271" i="17" s="1"/>
  <c r="T271" i="17" s="1"/>
  <c r="M272" i="17" s="1"/>
  <c r="P263" i="15"/>
  <c r="R263" i="15" s="1"/>
  <c r="T263" i="15" s="1"/>
  <c r="M264" i="15" s="1"/>
  <c r="O268" i="16"/>
  <c r="S268" i="16" s="1"/>
  <c r="L269" i="16" s="1"/>
  <c r="J260" i="14" l="1"/>
  <c r="Q260" i="14" s="1"/>
  <c r="P260" i="14" s="1"/>
  <c r="Q275" i="13"/>
  <c r="P275" i="13" s="1"/>
  <c r="R275" i="13" s="1"/>
  <c r="T275" i="13" s="1"/>
  <c r="M276" i="13" s="1"/>
  <c r="O271" i="17"/>
  <c r="S271" i="17" s="1"/>
  <c r="L272" i="17" s="1"/>
  <c r="K272" i="17" s="1"/>
  <c r="O263" i="15"/>
  <c r="S263" i="15" s="1"/>
  <c r="L264" i="15" s="1"/>
  <c r="N269" i="16"/>
  <c r="K269" i="16"/>
  <c r="O275" i="13" l="1"/>
  <c r="S275" i="13" s="1"/>
  <c r="L276" i="13" s="1"/>
  <c r="N276" i="13" s="1"/>
  <c r="N272" i="17"/>
  <c r="J272" i="17" s="1"/>
  <c r="Q272" i="17" s="1"/>
  <c r="P272" i="17" s="1"/>
  <c r="R260" i="14"/>
  <c r="T260" i="14" s="1"/>
  <c r="M261" i="14" s="1"/>
  <c r="O260" i="14"/>
  <c r="S260" i="14" s="1"/>
  <c r="L261" i="14" s="1"/>
  <c r="K264" i="15"/>
  <c r="N264" i="15"/>
  <c r="J269" i="16"/>
  <c r="K276" i="13" l="1"/>
  <c r="J276" i="13" s="1"/>
  <c r="Q276" i="13" s="1"/>
  <c r="P276" i="13" s="1"/>
  <c r="R276" i="13" s="1"/>
  <c r="T276" i="13" s="1"/>
  <c r="M277" i="13" s="1"/>
  <c r="R272" i="17"/>
  <c r="T272" i="17" s="1"/>
  <c r="M273" i="17" s="1"/>
  <c r="O272" i="17"/>
  <c r="S272" i="17" s="1"/>
  <c r="L273" i="17" s="1"/>
  <c r="N273" i="17" s="1"/>
  <c r="J264" i="15"/>
  <c r="N261" i="14"/>
  <c r="K261" i="14"/>
  <c r="Q269" i="16"/>
  <c r="P269" i="16" s="1"/>
  <c r="R269" i="16" s="1"/>
  <c r="T269" i="16" s="1"/>
  <c r="M270" i="16" s="1"/>
  <c r="O276" i="13" l="1"/>
  <c r="S276" i="13" s="1"/>
  <c r="L277" i="13" s="1"/>
  <c r="N277" i="13" s="1"/>
  <c r="K273" i="17"/>
  <c r="J273" i="17" s="1"/>
  <c r="J261" i="14"/>
  <c r="Q261" i="14" s="1"/>
  <c r="Q264" i="15"/>
  <c r="O269" i="16"/>
  <c r="S269" i="16" s="1"/>
  <c r="L270" i="16" s="1"/>
  <c r="K277" i="13" l="1"/>
  <c r="J277" i="13" s="1"/>
  <c r="Q277" i="13" s="1"/>
  <c r="P277" i="13" s="1"/>
  <c r="R277" i="13" s="1"/>
  <c r="T277" i="13" s="1"/>
  <c r="M278" i="13" s="1"/>
  <c r="P261" i="14"/>
  <c r="R261" i="14" s="1"/>
  <c r="T261" i="14" s="1"/>
  <c r="M262" i="14" s="1"/>
  <c r="Q273" i="17"/>
  <c r="P273" i="17" s="1"/>
  <c r="P264" i="15"/>
  <c r="R264" i="15" s="1"/>
  <c r="T264" i="15" s="1"/>
  <c r="M265" i="15" s="1"/>
  <c r="K270" i="16"/>
  <c r="N270" i="16"/>
  <c r="O261" i="14" l="1"/>
  <c r="S261" i="14" s="1"/>
  <c r="L262" i="14" s="1"/>
  <c r="O277" i="13"/>
  <c r="S277" i="13" s="1"/>
  <c r="L278" i="13" s="1"/>
  <c r="O273" i="17"/>
  <c r="S273" i="17" s="1"/>
  <c r="L274" i="17" s="1"/>
  <c r="R273" i="17"/>
  <c r="T273" i="17" s="1"/>
  <c r="M274" i="17" s="1"/>
  <c r="O264" i="15"/>
  <c r="S264" i="15" s="1"/>
  <c r="L265" i="15" s="1"/>
  <c r="J270" i="16"/>
  <c r="K262" i="14" l="1"/>
  <c r="N262" i="14"/>
  <c r="K278" i="13"/>
  <c r="N278" i="13"/>
  <c r="K265" i="15"/>
  <c r="N265" i="15"/>
  <c r="N274" i="17"/>
  <c r="K274" i="17"/>
  <c r="Q270" i="16"/>
  <c r="P270" i="16" s="1"/>
  <c r="R270" i="16" s="1"/>
  <c r="T270" i="16" s="1"/>
  <c r="M271" i="16" s="1"/>
  <c r="J262" i="14" l="1"/>
  <c r="Q262" i="14" s="1"/>
  <c r="P262" i="14" s="1"/>
  <c r="R262" i="14" s="1"/>
  <c r="T262" i="14" s="1"/>
  <c r="M263" i="14" s="1"/>
  <c r="J278" i="13"/>
  <c r="O270" i="16"/>
  <c r="S270" i="16" s="1"/>
  <c r="L271" i="16" s="1"/>
  <c r="K271" i="16" s="1"/>
  <c r="J265" i="15"/>
  <c r="J274" i="17"/>
  <c r="N271" i="16" l="1"/>
  <c r="J271" i="16" s="1"/>
  <c r="Q271" i="16" s="1"/>
  <c r="P271" i="16" s="1"/>
  <c r="R271" i="16" s="1"/>
  <c r="T271" i="16" s="1"/>
  <c r="M272" i="16" s="1"/>
  <c r="O262" i="14"/>
  <c r="S262" i="14" s="1"/>
  <c r="L263" i="14" s="1"/>
  <c r="N263" i="14" s="1"/>
  <c r="Q278" i="13"/>
  <c r="P278" i="13" s="1"/>
  <c r="R278" i="13" s="1"/>
  <c r="T278" i="13" s="1"/>
  <c r="M279" i="13" s="1"/>
  <c r="Q265" i="15"/>
  <c r="P265" i="15" s="1"/>
  <c r="Q274" i="17"/>
  <c r="P274" i="17" s="1"/>
  <c r="R274" i="17" s="1"/>
  <c r="T274" i="17" s="1"/>
  <c r="M275" i="17" s="1"/>
  <c r="K263" i="14" l="1"/>
  <c r="O278" i="13"/>
  <c r="S278" i="13" s="1"/>
  <c r="L279" i="13" s="1"/>
  <c r="K279" i="13" s="1"/>
  <c r="R265" i="15"/>
  <c r="T265" i="15" s="1"/>
  <c r="M266" i="15" s="1"/>
  <c r="O265" i="15"/>
  <c r="S265" i="15" s="1"/>
  <c r="L266" i="15" s="1"/>
  <c r="N266" i="15" s="1"/>
  <c r="O274" i="17"/>
  <c r="S274" i="17" s="1"/>
  <c r="L275" i="17" s="1"/>
  <c r="K275" i="17" s="1"/>
  <c r="O271" i="16"/>
  <c r="S271" i="16" s="1"/>
  <c r="L272" i="16" s="1"/>
  <c r="N272" i="16" s="1"/>
  <c r="J263" i="14" l="1"/>
  <c r="Q263" i="14" s="1"/>
  <c r="P263" i="14" s="1"/>
  <c r="R263" i="14" s="1"/>
  <c r="T263" i="14" s="1"/>
  <c r="M264" i="14" s="1"/>
  <c r="D6" i="14"/>
  <c r="N279" i="13"/>
  <c r="J279" i="13" s="1"/>
  <c r="Q279" i="13" s="1"/>
  <c r="P279" i="13" s="1"/>
  <c r="R279" i="13" s="1"/>
  <c r="T279" i="13" s="1"/>
  <c r="M280" i="13" s="1"/>
  <c r="K266" i="15"/>
  <c r="J266" i="15" s="1"/>
  <c r="Q266" i="15" s="1"/>
  <c r="P266" i="15" s="1"/>
  <c r="R266" i="15" s="1"/>
  <c r="T266" i="15" s="1"/>
  <c r="M267" i="15" s="1"/>
  <c r="N275" i="17"/>
  <c r="J275" i="17" s="1"/>
  <c r="Q275" i="17" s="1"/>
  <c r="K272" i="16"/>
  <c r="J272" i="16" s="1"/>
  <c r="Q272" i="16" s="1"/>
  <c r="P272" i="16" s="1"/>
  <c r="R272" i="16" s="1"/>
  <c r="T272" i="16" s="1"/>
  <c r="M273" i="16" s="1"/>
  <c r="O263" i="14" l="1"/>
  <c r="S263" i="14" s="1"/>
  <c r="L264" i="14" s="1"/>
  <c r="K264" i="14" s="1"/>
  <c r="O266" i="15"/>
  <c r="S266" i="15" s="1"/>
  <c r="L267" i="15" s="1"/>
  <c r="K267" i="15" s="1"/>
  <c r="O279" i="13"/>
  <c r="S279" i="13" s="1"/>
  <c r="L280" i="13" s="1"/>
  <c r="P275" i="17"/>
  <c r="R275" i="17" s="1"/>
  <c r="T275" i="17" s="1"/>
  <c r="M276" i="17" s="1"/>
  <c r="O272" i="16"/>
  <c r="S272" i="16" s="1"/>
  <c r="L273" i="16" s="1"/>
  <c r="N273" i="16" s="1"/>
  <c r="N264" i="14" l="1"/>
  <c r="J264" i="14" s="1"/>
  <c r="Q264" i="14" s="1"/>
  <c r="P264" i="14" s="1"/>
  <c r="R264" i="14" s="1"/>
  <c r="T264" i="14" s="1"/>
  <c r="M265" i="14" s="1"/>
  <c r="N267" i="15"/>
  <c r="J267" i="15" s="1"/>
  <c r="K280" i="13"/>
  <c r="N280" i="13"/>
  <c r="O275" i="17"/>
  <c r="S275" i="17" s="1"/>
  <c r="L276" i="17" s="1"/>
  <c r="K273" i="16"/>
  <c r="J273" i="16" s="1"/>
  <c r="Q273" i="16" s="1"/>
  <c r="P273" i="16" s="1"/>
  <c r="O264" i="14" l="1"/>
  <c r="S264" i="14" s="1"/>
  <c r="L265" i="14" s="1"/>
  <c r="K265" i="14" s="1"/>
  <c r="J280" i="13"/>
  <c r="Q280" i="13" s="1"/>
  <c r="P280" i="13" s="1"/>
  <c r="R280" i="13" s="1"/>
  <c r="T280" i="13" s="1"/>
  <c r="M281" i="13" s="1"/>
  <c r="K276" i="17"/>
  <c r="N276" i="17"/>
  <c r="Q267" i="15"/>
  <c r="P267" i="15" s="1"/>
  <c r="R267" i="15" s="1"/>
  <c r="T267" i="15" s="1"/>
  <c r="M268" i="15" s="1"/>
  <c r="R273" i="16"/>
  <c r="T273" i="16" s="1"/>
  <c r="M274" i="16" s="1"/>
  <c r="O273" i="16"/>
  <c r="S273" i="16" s="1"/>
  <c r="L274" i="16" s="1"/>
  <c r="N265" i="14" l="1"/>
  <c r="J265" i="14" s="1"/>
  <c r="Q265" i="14" s="1"/>
  <c r="P265" i="14" s="1"/>
  <c r="R265" i="14" s="1"/>
  <c r="T265" i="14" s="1"/>
  <c r="M266" i="14" s="1"/>
  <c r="O280" i="13"/>
  <c r="S280" i="13" s="1"/>
  <c r="L281" i="13" s="1"/>
  <c r="J276" i="17"/>
  <c r="O267" i="15"/>
  <c r="S267" i="15" s="1"/>
  <c r="L268" i="15" s="1"/>
  <c r="K268" i="15" s="1"/>
  <c r="N274" i="16"/>
  <c r="K274" i="16"/>
  <c r="K281" i="13" l="1"/>
  <c r="N281" i="13"/>
  <c r="N268" i="15"/>
  <c r="J268" i="15" s="1"/>
  <c r="Q268" i="15" s="1"/>
  <c r="P268" i="15" s="1"/>
  <c r="R268" i="15" s="1"/>
  <c r="T268" i="15" s="1"/>
  <c r="M269" i="15" s="1"/>
  <c r="O265" i="14"/>
  <c r="S265" i="14" s="1"/>
  <c r="L266" i="14" s="1"/>
  <c r="K266" i="14" s="1"/>
  <c r="Q276" i="17"/>
  <c r="P276" i="17" s="1"/>
  <c r="R276" i="17" s="1"/>
  <c r="T276" i="17" s="1"/>
  <c r="M277" i="17" s="1"/>
  <c r="J274" i="16"/>
  <c r="J281" i="13" l="1"/>
  <c r="O276" i="17"/>
  <c r="S276" i="17" s="1"/>
  <c r="L277" i="17" s="1"/>
  <c r="K277" i="17" s="1"/>
  <c r="N266" i="14"/>
  <c r="J266" i="14" s="1"/>
  <c r="Q274" i="16"/>
  <c r="P274" i="16" s="1"/>
  <c r="O268" i="15"/>
  <c r="S268" i="15" s="1"/>
  <c r="L269" i="15" s="1"/>
  <c r="K269" i="15" s="1"/>
  <c r="N277" i="17" l="1"/>
  <c r="J277" i="17" s="1"/>
  <c r="Q281" i="13"/>
  <c r="P281" i="13" s="1"/>
  <c r="R281" i="13" s="1"/>
  <c r="T281" i="13" s="1"/>
  <c r="M282" i="13" s="1"/>
  <c r="Q266" i="14"/>
  <c r="P266" i="14" s="1"/>
  <c r="R266" i="14" s="1"/>
  <c r="T266" i="14" s="1"/>
  <c r="M267" i="14" s="1"/>
  <c r="O274" i="16"/>
  <c r="S274" i="16" s="1"/>
  <c r="L275" i="16" s="1"/>
  <c r="R274" i="16"/>
  <c r="T274" i="16" s="1"/>
  <c r="M275" i="16" s="1"/>
  <c r="N269" i="15"/>
  <c r="J269" i="15" s="1"/>
  <c r="O281" i="13" l="1"/>
  <c r="S281" i="13" s="1"/>
  <c r="L282" i="13" s="1"/>
  <c r="K282" i="13" s="1"/>
  <c r="O266" i="14"/>
  <c r="S266" i="14" s="1"/>
  <c r="L267" i="14" s="1"/>
  <c r="Q277" i="17"/>
  <c r="P277" i="17" s="1"/>
  <c r="R277" i="17" s="1"/>
  <c r="T277" i="17" s="1"/>
  <c r="M278" i="17" s="1"/>
  <c r="N275" i="16"/>
  <c r="K275" i="16"/>
  <c r="Q269" i="15"/>
  <c r="J275" i="16" l="1"/>
  <c r="Q275" i="16" s="1"/>
  <c r="N282" i="13"/>
  <c r="J282" i="13" s="1"/>
  <c r="K267" i="14"/>
  <c r="N267" i="14"/>
  <c r="O277" i="17"/>
  <c r="S277" i="17" s="1"/>
  <c r="L278" i="17" s="1"/>
  <c r="N278" i="17" s="1"/>
  <c r="P269" i="15"/>
  <c r="R269" i="15" s="1"/>
  <c r="T269" i="15" s="1"/>
  <c r="M270" i="15" s="1"/>
  <c r="P275" i="16" l="1"/>
  <c r="R275" i="16" s="1"/>
  <c r="T275" i="16" s="1"/>
  <c r="M276" i="16" s="1"/>
  <c r="K278" i="17"/>
  <c r="J278" i="17" s="1"/>
  <c r="Q282" i="13"/>
  <c r="P282" i="13" s="1"/>
  <c r="R282" i="13" s="1"/>
  <c r="T282" i="13" s="1"/>
  <c r="M283" i="13" s="1"/>
  <c r="J267" i="14"/>
  <c r="O269" i="15"/>
  <c r="S269" i="15" s="1"/>
  <c r="L270" i="15" s="1"/>
  <c r="O275" i="16" l="1"/>
  <c r="S275" i="16" s="1"/>
  <c r="L276" i="16" s="1"/>
  <c r="K276" i="16" s="1"/>
  <c r="O282" i="13"/>
  <c r="S282" i="13" s="1"/>
  <c r="L283" i="13" s="1"/>
  <c r="N283" i="13" s="1"/>
  <c r="Q267" i="14"/>
  <c r="P267" i="14" s="1"/>
  <c r="R267" i="14" s="1"/>
  <c r="T267" i="14" s="1"/>
  <c r="M268" i="14" s="1"/>
  <c r="Q278" i="17"/>
  <c r="P278" i="17" s="1"/>
  <c r="N270" i="15"/>
  <c r="K270" i="15"/>
  <c r="N276" i="16" l="1"/>
  <c r="J276" i="16" s="1"/>
  <c r="Q276" i="16" s="1"/>
  <c r="P276" i="16" s="1"/>
  <c r="R276" i="16" s="1"/>
  <c r="T276" i="16" s="1"/>
  <c r="M277" i="16" s="1"/>
  <c r="K283" i="13"/>
  <c r="J283" i="13" s="1"/>
  <c r="Q283" i="13" s="1"/>
  <c r="P283" i="13" s="1"/>
  <c r="R283" i="13" s="1"/>
  <c r="T283" i="13" s="1"/>
  <c r="M284" i="13" s="1"/>
  <c r="O267" i="14"/>
  <c r="S267" i="14" s="1"/>
  <c r="L268" i="14" s="1"/>
  <c r="N268" i="14" s="1"/>
  <c r="R278" i="17"/>
  <c r="T278" i="17" s="1"/>
  <c r="M279" i="17" s="1"/>
  <c r="O278" i="17"/>
  <c r="S278" i="17" s="1"/>
  <c r="L279" i="17" s="1"/>
  <c r="N279" i="17" s="1"/>
  <c r="J270" i="15"/>
  <c r="Q270" i="15" s="1"/>
  <c r="P270" i="15" s="1"/>
  <c r="O270" i="15" s="1"/>
  <c r="S270" i="15" s="1"/>
  <c r="L271" i="15" s="1"/>
  <c r="K268" i="14" l="1"/>
  <c r="J268" i="14" s="1"/>
  <c r="Q268" i="14" s="1"/>
  <c r="P268" i="14" s="1"/>
  <c r="O268" i="14" s="1"/>
  <c r="S268" i="14" s="1"/>
  <c r="L269" i="14" s="1"/>
  <c r="K279" i="17"/>
  <c r="J279" i="17" s="1"/>
  <c r="O283" i="13"/>
  <c r="S283" i="13" s="1"/>
  <c r="L284" i="13" s="1"/>
  <c r="R270" i="15"/>
  <c r="T270" i="15" s="1"/>
  <c r="M271" i="15" s="1"/>
  <c r="K271" i="15" s="1"/>
  <c r="N271" i="15"/>
  <c r="O276" i="16"/>
  <c r="S276" i="16" s="1"/>
  <c r="L277" i="16" s="1"/>
  <c r="N277" i="16" s="1"/>
  <c r="R268" i="14" l="1"/>
  <c r="T268" i="14" s="1"/>
  <c r="M269" i="14" s="1"/>
  <c r="K269" i="14" s="1"/>
  <c r="N269" i="14"/>
  <c r="Q279" i="17"/>
  <c r="P279" i="17" s="1"/>
  <c r="R279" i="17" s="1"/>
  <c r="T279" i="17" s="1"/>
  <c r="M280" i="17" s="1"/>
  <c r="K284" i="13"/>
  <c r="N284" i="13"/>
  <c r="J271" i="15"/>
  <c r="Q271" i="15" s="1"/>
  <c r="P271" i="15" s="1"/>
  <c r="R271" i="15" s="1"/>
  <c r="T271" i="15" s="1"/>
  <c r="M272" i="15" s="1"/>
  <c r="K277" i="16"/>
  <c r="J277" i="16" s="1"/>
  <c r="Q277" i="16" s="1"/>
  <c r="P277" i="16" s="1"/>
  <c r="R277" i="16" s="1"/>
  <c r="T277" i="16" s="1"/>
  <c r="M278" i="16" s="1"/>
  <c r="J269" i="14" l="1"/>
  <c r="Q269" i="14" s="1"/>
  <c r="P269" i="14" s="1"/>
  <c r="R269" i="14" s="1"/>
  <c r="T269" i="14" s="1"/>
  <c r="M270" i="14" s="1"/>
  <c r="O279" i="17"/>
  <c r="S279" i="17" s="1"/>
  <c r="L280" i="17" s="1"/>
  <c r="N280" i="17" s="1"/>
  <c r="J284" i="13"/>
  <c r="Q284" i="13" s="1"/>
  <c r="P284" i="13" s="1"/>
  <c r="R284" i="13" s="1"/>
  <c r="T284" i="13" s="1"/>
  <c r="M285" i="13" s="1"/>
  <c r="O271" i="15"/>
  <c r="S271" i="15" s="1"/>
  <c r="L272" i="15" s="1"/>
  <c r="N272" i="15" s="1"/>
  <c r="O277" i="16"/>
  <c r="S277" i="16" s="1"/>
  <c r="L278" i="16" s="1"/>
  <c r="N278" i="16" s="1"/>
  <c r="O269" i="14" l="1"/>
  <c r="S269" i="14" s="1"/>
  <c r="L270" i="14" s="1"/>
  <c r="K270" i="14" s="1"/>
  <c r="K280" i="17"/>
  <c r="J280" i="17" s="1"/>
  <c r="O284" i="13"/>
  <c r="S284" i="13" s="1"/>
  <c r="L285" i="13" s="1"/>
  <c r="K285" i="13" s="1"/>
  <c r="K272" i="15"/>
  <c r="J272" i="15" s="1"/>
  <c r="Q272" i="15" s="1"/>
  <c r="P272" i="15" s="1"/>
  <c r="O272" i="15" s="1"/>
  <c r="S272" i="15" s="1"/>
  <c r="L273" i="15" s="1"/>
  <c r="K278" i="16"/>
  <c r="J278" i="16" s="1"/>
  <c r="Q278" i="16" s="1"/>
  <c r="P278" i="16" s="1"/>
  <c r="R278" i="16" s="1"/>
  <c r="T278" i="16" s="1"/>
  <c r="M279" i="16" s="1"/>
  <c r="N270" i="14" l="1"/>
  <c r="J270" i="14" s="1"/>
  <c r="Q270" i="14" s="1"/>
  <c r="P270" i="14" s="1"/>
  <c r="Q280" i="17"/>
  <c r="P280" i="17" s="1"/>
  <c r="R280" i="17" s="1"/>
  <c r="T280" i="17" s="1"/>
  <c r="M281" i="17" s="1"/>
  <c r="N285" i="13"/>
  <c r="J285" i="13" s="1"/>
  <c r="R272" i="15"/>
  <c r="T272" i="15" s="1"/>
  <c r="M273" i="15" s="1"/>
  <c r="K273" i="15" s="1"/>
  <c r="N273" i="15"/>
  <c r="O278" i="16"/>
  <c r="S278" i="16" s="1"/>
  <c r="L279" i="16" s="1"/>
  <c r="O280" i="17" l="1"/>
  <c r="S280" i="17" s="1"/>
  <c r="L281" i="17" s="1"/>
  <c r="N281" i="17" s="1"/>
  <c r="Q285" i="13"/>
  <c r="P285" i="13" s="1"/>
  <c r="R285" i="13" s="1"/>
  <c r="T285" i="13" s="1"/>
  <c r="M286" i="13" s="1"/>
  <c r="J273" i="15"/>
  <c r="Q273" i="15" s="1"/>
  <c r="P273" i="15" s="1"/>
  <c r="R273" i="15" s="1"/>
  <c r="T273" i="15" s="1"/>
  <c r="M274" i="15" s="1"/>
  <c r="R270" i="14"/>
  <c r="T270" i="14" s="1"/>
  <c r="M271" i="14" s="1"/>
  <c r="O270" i="14"/>
  <c r="S270" i="14" s="1"/>
  <c r="L271" i="14" s="1"/>
  <c r="N271" i="14" s="1"/>
  <c r="K279" i="16"/>
  <c r="N279" i="16"/>
  <c r="K281" i="17" l="1"/>
  <c r="J281" i="17" s="1"/>
  <c r="O285" i="13"/>
  <c r="S285" i="13" s="1"/>
  <c r="L286" i="13" s="1"/>
  <c r="K286" i="13" s="1"/>
  <c r="K271" i="14"/>
  <c r="J271" i="14" s="1"/>
  <c r="Q271" i="14" s="1"/>
  <c r="P271" i="14" s="1"/>
  <c r="R271" i="14" s="1"/>
  <c r="T271" i="14" s="1"/>
  <c r="M272" i="14" s="1"/>
  <c r="O273" i="15"/>
  <c r="S273" i="15" s="1"/>
  <c r="L274" i="15" s="1"/>
  <c r="J279" i="16"/>
  <c r="N286" i="13" l="1"/>
  <c r="J286" i="13" s="1"/>
  <c r="Q286" i="13" s="1"/>
  <c r="P286" i="13" s="1"/>
  <c r="R286" i="13" s="1"/>
  <c r="T286" i="13" s="1"/>
  <c r="M287" i="13" s="1"/>
  <c r="Q281" i="17"/>
  <c r="P281" i="17" s="1"/>
  <c r="O271" i="14"/>
  <c r="S271" i="14" s="1"/>
  <c r="L272" i="14" s="1"/>
  <c r="K272" i="14" s="1"/>
  <c r="N274" i="15"/>
  <c r="K274" i="15"/>
  <c r="Q279" i="16"/>
  <c r="P279" i="16" s="1"/>
  <c r="R279" i="16" s="1"/>
  <c r="T279" i="16" s="1"/>
  <c r="M280" i="16" s="1"/>
  <c r="O281" i="17" l="1"/>
  <c r="S281" i="17" s="1"/>
  <c r="L282" i="17" s="1"/>
  <c r="N282" i="17" s="1"/>
  <c r="R281" i="17"/>
  <c r="T281" i="17" s="1"/>
  <c r="M282" i="17" s="1"/>
  <c r="O286" i="13"/>
  <c r="S286" i="13" s="1"/>
  <c r="L287" i="13" s="1"/>
  <c r="K287" i="13" s="1"/>
  <c r="J274" i="15"/>
  <c r="Q274" i="15" s="1"/>
  <c r="P274" i="15" s="1"/>
  <c r="R274" i="15" s="1"/>
  <c r="T274" i="15" s="1"/>
  <c r="M275" i="15" s="1"/>
  <c r="N272" i="14"/>
  <c r="J272" i="14" s="1"/>
  <c r="O279" i="16"/>
  <c r="S279" i="16" s="1"/>
  <c r="L280" i="16" s="1"/>
  <c r="K282" i="17" l="1"/>
  <c r="J282" i="17" s="1"/>
  <c r="N287" i="13"/>
  <c r="J287" i="13" s="1"/>
  <c r="O274" i="15"/>
  <c r="S274" i="15" s="1"/>
  <c r="L275" i="15" s="1"/>
  <c r="K275" i="15" s="1"/>
  <c r="Q272" i="14"/>
  <c r="P272" i="14" s="1"/>
  <c r="R272" i="14" s="1"/>
  <c r="T272" i="14" s="1"/>
  <c r="M273" i="14" s="1"/>
  <c r="N280" i="16"/>
  <c r="K280" i="16"/>
  <c r="Q282" i="17" l="1"/>
  <c r="P282" i="17" s="1"/>
  <c r="R282" i="17" s="1"/>
  <c r="T282" i="17" s="1"/>
  <c r="M283" i="17" s="1"/>
  <c r="Q287" i="13"/>
  <c r="P287" i="13" s="1"/>
  <c r="N275" i="15"/>
  <c r="J275" i="15" s="1"/>
  <c r="J280" i="16"/>
  <c r="Q280" i="16" s="1"/>
  <c r="P280" i="16" s="1"/>
  <c r="R280" i="16" s="1"/>
  <c r="T280" i="16" s="1"/>
  <c r="M281" i="16" s="1"/>
  <c r="O272" i="14"/>
  <c r="S272" i="14" s="1"/>
  <c r="L273" i="14" s="1"/>
  <c r="O282" i="17" l="1"/>
  <c r="S282" i="17" s="1"/>
  <c r="L283" i="17" s="1"/>
  <c r="N283" i="17" s="1"/>
  <c r="R287" i="13"/>
  <c r="T287" i="13" s="1"/>
  <c r="M288" i="13" s="1"/>
  <c r="O287" i="13"/>
  <c r="S287" i="13" s="1"/>
  <c r="L288" i="13" s="1"/>
  <c r="O280" i="16"/>
  <c r="S280" i="16" s="1"/>
  <c r="L281" i="16" s="1"/>
  <c r="N281" i="16" s="1"/>
  <c r="Q275" i="15"/>
  <c r="P275" i="15" s="1"/>
  <c r="R275" i="15" s="1"/>
  <c r="T275" i="15" s="1"/>
  <c r="M276" i="15" s="1"/>
  <c r="N273" i="14"/>
  <c r="K273" i="14"/>
  <c r="K283" i="17" l="1"/>
  <c r="J283" i="17" s="1"/>
  <c r="Q283" i="17" s="1"/>
  <c r="P283" i="17" s="1"/>
  <c r="R283" i="17" s="1"/>
  <c r="T283" i="17" s="1"/>
  <c r="M284" i="17" s="1"/>
  <c r="K288" i="13"/>
  <c r="N288" i="13"/>
  <c r="K281" i="16"/>
  <c r="J281" i="16" s="1"/>
  <c r="J273" i="14"/>
  <c r="Q273" i="14" s="1"/>
  <c r="O275" i="15"/>
  <c r="S275" i="15" s="1"/>
  <c r="L276" i="15" s="1"/>
  <c r="O283" i="17" l="1"/>
  <c r="S283" i="17" s="1"/>
  <c r="L284" i="17" s="1"/>
  <c r="N284" i="17" s="1"/>
  <c r="J288" i="13"/>
  <c r="N276" i="15"/>
  <c r="K276" i="15"/>
  <c r="Q281" i="16"/>
  <c r="P281" i="16" s="1"/>
  <c r="R281" i="16" s="1"/>
  <c r="T281" i="16" s="1"/>
  <c r="M282" i="16" s="1"/>
  <c r="P273" i="14"/>
  <c r="R273" i="14" s="1"/>
  <c r="T273" i="14" s="1"/>
  <c r="M274" i="14" s="1"/>
  <c r="K284" i="17" l="1"/>
  <c r="J284" i="17" s="1"/>
  <c r="Q284" i="17" s="1"/>
  <c r="P284" i="17" s="1"/>
  <c r="R284" i="17" s="1"/>
  <c r="T284" i="17" s="1"/>
  <c r="M285" i="17" s="1"/>
  <c r="J276" i="15"/>
  <c r="Q276" i="15" s="1"/>
  <c r="Q288" i="13"/>
  <c r="P288" i="13" s="1"/>
  <c r="R288" i="13" s="1"/>
  <c r="T288" i="13" s="1"/>
  <c r="M289" i="13" s="1"/>
  <c r="O281" i="16"/>
  <c r="S281" i="16" s="1"/>
  <c r="L282" i="16" s="1"/>
  <c r="O273" i="14"/>
  <c r="S273" i="14" s="1"/>
  <c r="L274" i="14" s="1"/>
  <c r="O284" i="17" l="1"/>
  <c r="S284" i="17" s="1"/>
  <c r="L285" i="17" s="1"/>
  <c r="O288" i="13"/>
  <c r="S288" i="13" s="1"/>
  <c r="L289" i="13" s="1"/>
  <c r="K289" i="13" s="1"/>
  <c r="P276" i="15"/>
  <c r="R276" i="15" s="1"/>
  <c r="T276" i="15" s="1"/>
  <c r="M277" i="15" s="1"/>
  <c r="N282" i="16"/>
  <c r="K282" i="16"/>
  <c r="K274" i="14"/>
  <c r="N274" i="14"/>
  <c r="N285" i="17" l="1"/>
  <c r="K285" i="17"/>
  <c r="N289" i="13"/>
  <c r="J289" i="13" s="1"/>
  <c r="O276" i="15"/>
  <c r="S276" i="15" s="1"/>
  <c r="L277" i="15" s="1"/>
  <c r="J274" i="14"/>
  <c r="J282" i="16"/>
  <c r="J285" i="17" l="1"/>
  <c r="Q289" i="13"/>
  <c r="P289" i="13" s="1"/>
  <c r="R289" i="13" s="1"/>
  <c r="T289" i="13" s="1"/>
  <c r="M290" i="13" s="1"/>
  <c r="N277" i="15"/>
  <c r="K277" i="15"/>
  <c r="Q282" i="16"/>
  <c r="Q274" i="14"/>
  <c r="P274" i="14" s="1"/>
  <c r="R274" i="14" s="1"/>
  <c r="T274" i="14" s="1"/>
  <c r="M275" i="14" s="1"/>
  <c r="Q285" i="17" l="1"/>
  <c r="P285" i="17" s="1"/>
  <c r="R285" i="17" s="1"/>
  <c r="T285" i="17" s="1"/>
  <c r="M286" i="17" s="1"/>
  <c r="J277" i="15"/>
  <c r="Q277" i="15" s="1"/>
  <c r="P277" i="15" s="1"/>
  <c r="R277" i="15" s="1"/>
  <c r="T277" i="15" s="1"/>
  <c r="M278" i="15" s="1"/>
  <c r="O289" i="13"/>
  <c r="S289" i="13" s="1"/>
  <c r="L290" i="13" s="1"/>
  <c r="K290" i="13" s="1"/>
  <c r="P282" i="16"/>
  <c r="R282" i="16" s="1"/>
  <c r="T282" i="16" s="1"/>
  <c r="M283" i="16" s="1"/>
  <c r="O274" i="14"/>
  <c r="S274" i="14" s="1"/>
  <c r="L275" i="14" s="1"/>
  <c r="O285" i="17" l="1"/>
  <c r="S285" i="17" s="1"/>
  <c r="L286" i="17" s="1"/>
  <c r="N290" i="13"/>
  <c r="J290" i="13" s="1"/>
  <c r="O277" i="15"/>
  <c r="S277" i="15" s="1"/>
  <c r="L278" i="15" s="1"/>
  <c r="O282" i="16"/>
  <c r="S282" i="16" s="1"/>
  <c r="L283" i="16" s="1"/>
  <c r="N275" i="14"/>
  <c r="K275" i="14"/>
  <c r="N286" i="17" l="1"/>
  <c r="K286" i="17"/>
  <c r="Q290" i="13"/>
  <c r="P290" i="13" s="1"/>
  <c r="R290" i="13" s="1"/>
  <c r="T290" i="13" s="1"/>
  <c r="M291" i="13" s="1"/>
  <c r="J275" i="14"/>
  <c r="Q275" i="14" s="1"/>
  <c r="P275" i="14" s="1"/>
  <c r="R275" i="14" s="1"/>
  <c r="T275" i="14" s="1"/>
  <c r="M276" i="14" s="1"/>
  <c r="N278" i="15"/>
  <c r="K278" i="15"/>
  <c r="K283" i="16"/>
  <c r="N283" i="16"/>
  <c r="J286" i="17" l="1"/>
  <c r="Q286" i="17" s="1"/>
  <c r="P286" i="17" s="1"/>
  <c r="R286" i="17" s="1"/>
  <c r="T286" i="17" s="1"/>
  <c r="M287" i="17" s="1"/>
  <c r="O290" i="13"/>
  <c r="S290" i="13" s="1"/>
  <c r="L291" i="13" s="1"/>
  <c r="N291" i="13" s="1"/>
  <c r="J278" i="15"/>
  <c r="Q278" i="15" s="1"/>
  <c r="J283" i="16"/>
  <c r="O275" i="14"/>
  <c r="S275" i="14" s="1"/>
  <c r="L276" i="14" s="1"/>
  <c r="O286" i="17" l="1"/>
  <c r="S286" i="17" s="1"/>
  <c r="L287" i="17" s="1"/>
  <c r="K291" i="13"/>
  <c r="J291" i="13" s="1"/>
  <c r="Q291" i="13" s="1"/>
  <c r="P291" i="13" s="1"/>
  <c r="R291" i="13" s="1"/>
  <c r="T291" i="13" s="1"/>
  <c r="M292" i="13" s="1"/>
  <c r="P278" i="15"/>
  <c r="R278" i="15" s="1"/>
  <c r="T278" i="15" s="1"/>
  <c r="M279" i="15" s="1"/>
  <c r="Q283" i="16"/>
  <c r="P283" i="16" s="1"/>
  <c r="R283" i="16" s="1"/>
  <c r="T283" i="16" s="1"/>
  <c r="M284" i="16" s="1"/>
  <c r="N276" i="14"/>
  <c r="K276" i="14"/>
  <c r="K287" i="17" l="1"/>
  <c r="N287" i="17"/>
  <c r="O291" i="13"/>
  <c r="S291" i="13" s="1"/>
  <c r="L292" i="13" s="1"/>
  <c r="N292" i="13" s="1"/>
  <c r="J276" i="14"/>
  <c r="Q276" i="14" s="1"/>
  <c r="P276" i="14" s="1"/>
  <c r="O283" i="16"/>
  <c r="S283" i="16" s="1"/>
  <c r="L284" i="16" s="1"/>
  <c r="O278" i="15"/>
  <c r="S278" i="15" s="1"/>
  <c r="L279" i="15" s="1"/>
  <c r="J287" i="17" l="1"/>
  <c r="Q287" i="17" s="1"/>
  <c r="P287" i="17" s="1"/>
  <c r="R287" i="17" s="1"/>
  <c r="T287" i="17" s="1"/>
  <c r="M288" i="17" s="1"/>
  <c r="K292" i="13"/>
  <c r="J292" i="13" s="1"/>
  <c r="Q292" i="13" s="1"/>
  <c r="K279" i="15"/>
  <c r="N279" i="15"/>
  <c r="N284" i="16"/>
  <c r="K284" i="16"/>
  <c r="R276" i="14"/>
  <c r="T276" i="14" s="1"/>
  <c r="M277" i="14" s="1"/>
  <c r="O276" i="14"/>
  <c r="S276" i="14" s="1"/>
  <c r="L277" i="14" s="1"/>
  <c r="O287" i="17" l="1"/>
  <c r="S287" i="17" s="1"/>
  <c r="L288" i="17" s="1"/>
  <c r="P292" i="13"/>
  <c r="R292" i="13" s="1"/>
  <c r="T292" i="13" s="1"/>
  <c r="M293" i="13" s="1"/>
  <c r="J284" i="16"/>
  <c r="Q284" i="16" s="1"/>
  <c r="J279" i="15"/>
  <c r="N277" i="14"/>
  <c r="K277" i="14"/>
  <c r="N288" i="17" l="1"/>
  <c r="K288" i="17"/>
  <c r="O292" i="13"/>
  <c r="S292" i="13" s="1"/>
  <c r="L293" i="13" s="1"/>
  <c r="K293" i="13" s="1"/>
  <c r="P284" i="16"/>
  <c r="R284" i="16" s="1"/>
  <c r="T284" i="16" s="1"/>
  <c r="M285" i="16" s="1"/>
  <c r="J277" i="14"/>
  <c r="Q277" i="14" s="1"/>
  <c r="P277" i="14" s="1"/>
  <c r="R277" i="14" s="1"/>
  <c r="T277" i="14" s="1"/>
  <c r="M278" i="14" s="1"/>
  <c r="Q279" i="15"/>
  <c r="P279" i="15" s="1"/>
  <c r="R279" i="15" s="1"/>
  <c r="T279" i="15" s="1"/>
  <c r="M280" i="15" s="1"/>
  <c r="J288" i="17" l="1"/>
  <c r="Q288" i="17" s="1"/>
  <c r="P288" i="17" s="1"/>
  <c r="R288" i="17" s="1"/>
  <c r="T288" i="17" s="1"/>
  <c r="M289" i="17" s="1"/>
  <c r="N293" i="13"/>
  <c r="J293" i="13" s="1"/>
  <c r="Q293" i="13" s="1"/>
  <c r="P293" i="13" s="1"/>
  <c r="R293" i="13" s="1"/>
  <c r="T293" i="13" s="1"/>
  <c r="M294" i="13" s="1"/>
  <c r="O284" i="16"/>
  <c r="S284" i="16" s="1"/>
  <c r="L285" i="16" s="1"/>
  <c r="K285" i="16" s="1"/>
  <c r="O277" i="14"/>
  <c r="S277" i="14" s="1"/>
  <c r="L278" i="14" s="1"/>
  <c r="N278" i="14" s="1"/>
  <c r="O279" i="15"/>
  <c r="S279" i="15" s="1"/>
  <c r="L280" i="15" s="1"/>
  <c r="N280" i="15" s="1"/>
  <c r="N285" i="16" l="1"/>
  <c r="J285" i="16" s="1"/>
  <c r="Q285" i="16" s="1"/>
  <c r="O288" i="17"/>
  <c r="S288" i="17" s="1"/>
  <c r="L289" i="17" s="1"/>
  <c r="K278" i="14"/>
  <c r="J278" i="14" s="1"/>
  <c r="Q278" i="14" s="1"/>
  <c r="P278" i="14" s="1"/>
  <c r="R278" i="14" s="1"/>
  <c r="T278" i="14" s="1"/>
  <c r="M279" i="14" s="1"/>
  <c r="O293" i="13"/>
  <c r="S293" i="13" s="1"/>
  <c r="L294" i="13" s="1"/>
  <c r="K280" i="15"/>
  <c r="J280" i="15" s="1"/>
  <c r="Q280" i="15" s="1"/>
  <c r="P280" i="15" s="1"/>
  <c r="R280" i="15" s="1"/>
  <c r="T280" i="15" s="1"/>
  <c r="M281" i="15" s="1"/>
  <c r="N289" i="17" l="1"/>
  <c r="K289" i="17"/>
  <c r="N294" i="13"/>
  <c r="K294" i="13"/>
  <c r="O280" i="15"/>
  <c r="S280" i="15" s="1"/>
  <c r="L281" i="15" s="1"/>
  <c r="K281" i="15" s="1"/>
  <c r="O278" i="14"/>
  <c r="S278" i="14" s="1"/>
  <c r="L279" i="14" s="1"/>
  <c r="P285" i="16"/>
  <c r="R285" i="16" s="1"/>
  <c r="T285" i="16" s="1"/>
  <c r="M286" i="16" s="1"/>
  <c r="J289" i="17" l="1"/>
  <c r="N281" i="15"/>
  <c r="J281" i="15" s="1"/>
  <c r="J294" i="13"/>
  <c r="Q294" i="13" s="1"/>
  <c r="P294" i="13" s="1"/>
  <c r="O294" i="13" s="1"/>
  <c r="S294" i="13" s="1"/>
  <c r="L295" i="13" s="1"/>
  <c r="N295" i="13" s="1"/>
  <c r="K279" i="14"/>
  <c r="N279" i="14"/>
  <c r="O285" i="16"/>
  <c r="S285" i="16" s="1"/>
  <c r="L286" i="16" s="1"/>
  <c r="Q289" i="17" l="1"/>
  <c r="P289" i="17" s="1"/>
  <c r="R289" i="17" s="1"/>
  <c r="T289" i="17" s="1"/>
  <c r="M290" i="17" s="1"/>
  <c r="R294" i="13"/>
  <c r="T294" i="13" s="1"/>
  <c r="M295" i="13" s="1"/>
  <c r="K295" i="13" s="1"/>
  <c r="J295" i="13" s="1"/>
  <c r="Q295" i="13" s="1"/>
  <c r="P295" i="13" s="1"/>
  <c r="R295" i="13" s="1"/>
  <c r="T295" i="13" s="1"/>
  <c r="M296" i="13" s="1"/>
  <c r="Q281" i="15"/>
  <c r="P281" i="15" s="1"/>
  <c r="R281" i="15" s="1"/>
  <c r="T281" i="15" s="1"/>
  <c r="M282" i="15" s="1"/>
  <c r="K286" i="16"/>
  <c r="N286" i="16"/>
  <c r="J279" i="14"/>
  <c r="O289" i="17" l="1"/>
  <c r="S289" i="17" s="1"/>
  <c r="L290" i="17" s="1"/>
  <c r="O295" i="13"/>
  <c r="S295" i="13" s="1"/>
  <c r="L296" i="13" s="1"/>
  <c r="K296" i="13" s="1"/>
  <c r="O281" i="15"/>
  <c r="S281" i="15" s="1"/>
  <c r="L282" i="15" s="1"/>
  <c r="K282" i="15" s="1"/>
  <c r="Q279" i="14"/>
  <c r="J286" i="16"/>
  <c r="N290" i="17" l="1"/>
  <c r="K290" i="17"/>
  <c r="N296" i="13"/>
  <c r="J296" i="13" s="1"/>
  <c r="Q296" i="13" s="1"/>
  <c r="N282" i="15"/>
  <c r="J282" i="15" s="1"/>
  <c r="Q286" i="16"/>
  <c r="P286" i="16" s="1"/>
  <c r="P279" i="14"/>
  <c r="R279" i="14" s="1"/>
  <c r="T279" i="14" s="1"/>
  <c r="M280" i="14" s="1"/>
  <c r="J290" i="17" l="1"/>
  <c r="P296" i="13"/>
  <c r="R296" i="13" s="1"/>
  <c r="T296" i="13" s="1"/>
  <c r="M297" i="13" s="1"/>
  <c r="Q282" i="15"/>
  <c r="P282" i="15" s="1"/>
  <c r="R282" i="15" s="1"/>
  <c r="T282" i="15" s="1"/>
  <c r="M283" i="15" s="1"/>
  <c r="R286" i="16"/>
  <c r="T286" i="16" s="1"/>
  <c r="M287" i="16" s="1"/>
  <c r="O286" i="16"/>
  <c r="S286" i="16" s="1"/>
  <c r="L287" i="16" s="1"/>
  <c r="O279" i="14"/>
  <c r="S279" i="14" s="1"/>
  <c r="L280" i="14" s="1"/>
  <c r="Q290" i="17" l="1"/>
  <c r="P290" i="17" s="1"/>
  <c r="R290" i="17" s="1"/>
  <c r="T290" i="17" s="1"/>
  <c r="M291" i="17" s="1"/>
  <c r="O296" i="13"/>
  <c r="S296" i="13" s="1"/>
  <c r="L297" i="13" s="1"/>
  <c r="O282" i="15"/>
  <c r="S282" i="15" s="1"/>
  <c r="L283" i="15" s="1"/>
  <c r="K283" i="15" s="1"/>
  <c r="N280" i="14"/>
  <c r="K280" i="14"/>
  <c r="N287" i="16"/>
  <c r="K287" i="16"/>
  <c r="O290" i="17" l="1"/>
  <c r="S290" i="17" s="1"/>
  <c r="L291" i="17" s="1"/>
  <c r="N297" i="13"/>
  <c r="K297" i="13"/>
  <c r="N283" i="15"/>
  <c r="J283" i="15" s="1"/>
  <c r="J280" i="14"/>
  <c r="Q280" i="14" s="1"/>
  <c r="J287" i="16"/>
  <c r="J297" i="13" l="1"/>
  <c r="Q297" i="13" s="1"/>
  <c r="P297" i="13" s="1"/>
  <c r="R297" i="13" s="1"/>
  <c r="T297" i="13" s="1"/>
  <c r="M298" i="13" s="1"/>
  <c r="K291" i="17"/>
  <c r="N291" i="17"/>
  <c r="Q283" i="15"/>
  <c r="P283" i="15" s="1"/>
  <c r="R283" i="15" s="1"/>
  <c r="T283" i="15" s="1"/>
  <c r="M284" i="15" s="1"/>
  <c r="Q287" i="16"/>
  <c r="P287" i="16" s="1"/>
  <c r="R287" i="16" s="1"/>
  <c r="T287" i="16" s="1"/>
  <c r="M288" i="16" s="1"/>
  <c r="P280" i="14"/>
  <c r="R280" i="14" s="1"/>
  <c r="T280" i="14" s="1"/>
  <c r="M281" i="14" s="1"/>
  <c r="O297" i="13" l="1"/>
  <c r="S297" i="13" s="1"/>
  <c r="L298" i="13" s="1"/>
  <c r="K298" i="13" s="1"/>
  <c r="J291" i="17"/>
  <c r="Q291" i="17" s="1"/>
  <c r="P291" i="17" s="1"/>
  <c r="R291" i="17" s="1"/>
  <c r="T291" i="17" s="1"/>
  <c r="M292" i="17" s="1"/>
  <c r="O287" i="16"/>
  <c r="S287" i="16" s="1"/>
  <c r="L288" i="16" s="1"/>
  <c r="N288" i="16" s="1"/>
  <c r="O283" i="15"/>
  <c r="S283" i="15" s="1"/>
  <c r="L284" i="15" s="1"/>
  <c r="O280" i="14"/>
  <c r="S280" i="14" s="1"/>
  <c r="L281" i="14" s="1"/>
  <c r="N298" i="13" l="1"/>
  <c r="J298" i="13" s="1"/>
  <c r="Q298" i="13" s="1"/>
  <c r="P298" i="13" s="1"/>
  <c r="R298" i="13" s="1"/>
  <c r="T298" i="13" s="1"/>
  <c r="M299" i="13" s="1"/>
  <c r="O291" i="17"/>
  <c r="S291" i="17" s="1"/>
  <c r="L292" i="17" s="1"/>
  <c r="K292" i="17" s="1"/>
  <c r="K288" i="16"/>
  <c r="J288" i="16" s="1"/>
  <c r="Q288" i="16" s="1"/>
  <c r="P288" i="16" s="1"/>
  <c r="R288" i="16" s="1"/>
  <c r="T288" i="16" s="1"/>
  <c r="M289" i="16" s="1"/>
  <c r="K284" i="15"/>
  <c r="N284" i="15"/>
  <c r="N281" i="14"/>
  <c r="K281" i="14"/>
  <c r="N292" i="17" l="1"/>
  <c r="J292" i="17" s="1"/>
  <c r="Q292" i="17" s="1"/>
  <c r="P292" i="17" s="1"/>
  <c r="R292" i="17" s="1"/>
  <c r="T292" i="17" s="1"/>
  <c r="M293" i="17" s="1"/>
  <c r="O298" i="13"/>
  <c r="S298" i="13" s="1"/>
  <c r="L299" i="13" s="1"/>
  <c r="J281" i="14"/>
  <c r="Q281" i="14" s="1"/>
  <c r="O288" i="16"/>
  <c r="S288" i="16" s="1"/>
  <c r="L289" i="16" s="1"/>
  <c r="N289" i="16" s="1"/>
  <c r="J284" i="15"/>
  <c r="O292" i="17" l="1"/>
  <c r="S292" i="17" s="1"/>
  <c r="L293" i="17" s="1"/>
  <c r="K289" i="16"/>
  <c r="J289" i="16" s="1"/>
  <c r="K299" i="13"/>
  <c r="N299" i="13"/>
  <c r="Q284" i="15"/>
  <c r="P284" i="15" s="1"/>
  <c r="R284" i="15" s="1"/>
  <c r="T284" i="15" s="1"/>
  <c r="M285" i="15" s="1"/>
  <c r="P281" i="14"/>
  <c r="R281" i="14" s="1"/>
  <c r="T281" i="14" s="1"/>
  <c r="M282" i="14" s="1"/>
  <c r="N293" i="17" l="1"/>
  <c r="K293" i="17"/>
  <c r="J299" i="13"/>
  <c r="O281" i="14"/>
  <c r="S281" i="14" s="1"/>
  <c r="L282" i="14" s="1"/>
  <c r="O284" i="15"/>
  <c r="S284" i="15" s="1"/>
  <c r="L285" i="15" s="1"/>
  <c r="Q289" i="16"/>
  <c r="P289" i="16" s="1"/>
  <c r="R289" i="16" s="1"/>
  <c r="T289" i="16" s="1"/>
  <c r="M290" i="16" s="1"/>
  <c r="J293" i="17" l="1"/>
  <c r="Q293" i="17" s="1"/>
  <c r="P293" i="17" s="1"/>
  <c r="R293" i="17" s="1"/>
  <c r="T293" i="17" s="1"/>
  <c r="M294" i="17" s="1"/>
  <c r="Q299" i="13"/>
  <c r="P299" i="13" s="1"/>
  <c r="R299" i="13" s="1"/>
  <c r="T299" i="13" s="1"/>
  <c r="M300" i="13" s="1"/>
  <c r="O289" i="16"/>
  <c r="S289" i="16" s="1"/>
  <c r="L290" i="16" s="1"/>
  <c r="K290" i="16" s="1"/>
  <c r="N285" i="15"/>
  <c r="K285" i="15"/>
  <c r="K282" i="14"/>
  <c r="N282" i="14"/>
  <c r="O293" i="17" l="1"/>
  <c r="S293" i="17" s="1"/>
  <c r="L294" i="17" s="1"/>
  <c r="N294" i="17" s="1"/>
  <c r="O299" i="13"/>
  <c r="S299" i="13" s="1"/>
  <c r="L300" i="13" s="1"/>
  <c r="K300" i="13" s="1"/>
  <c r="J285" i="15"/>
  <c r="Q285" i="15" s="1"/>
  <c r="P285" i="15" s="1"/>
  <c r="J282" i="14"/>
  <c r="Q282" i="14" s="1"/>
  <c r="P282" i="14" s="1"/>
  <c r="R282" i="14" s="1"/>
  <c r="T282" i="14" s="1"/>
  <c r="M283" i="14" s="1"/>
  <c r="N290" i="16"/>
  <c r="J290" i="16" s="1"/>
  <c r="K294" i="17" l="1"/>
  <c r="J294" i="17" s="1"/>
  <c r="Q294" i="17" s="1"/>
  <c r="P294" i="17" s="1"/>
  <c r="R294" i="17" s="1"/>
  <c r="T294" i="17" s="1"/>
  <c r="M295" i="17" s="1"/>
  <c r="N300" i="13"/>
  <c r="J300" i="13" s="1"/>
  <c r="R285" i="15"/>
  <c r="T285" i="15" s="1"/>
  <c r="M286" i="15" s="1"/>
  <c r="O285" i="15"/>
  <c r="S285" i="15" s="1"/>
  <c r="L286" i="15" s="1"/>
  <c r="O282" i="14"/>
  <c r="S282" i="14" s="1"/>
  <c r="L283" i="14" s="1"/>
  <c r="Q290" i="16"/>
  <c r="O294" i="17" l="1"/>
  <c r="S294" i="17" s="1"/>
  <c r="L295" i="17" s="1"/>
  <c r="N295" i="17" s="1"/>
  <c r="Q300" i="13"/>
  <c r="P300" i="13" s="1"/>
  <c r="R300" i="13" s="1"/>
  <c r="T300" i="13" s="1"/>
  <c r="M301" i="13" s="1"/>
  <c r="P290" i="16"/>
  <c r="R290" i="16" s="1"/>
  <c r="T290" i="16" s="1"/>
  <c r="M291" i="16" s="1"/>
  <c r="K283" i="14"/>
  <c r="N283" i="14"/>
  <c r="N286" i="15"/>
  <c r="K286" i="15"/>
  <c r="K295" i="17" l="1"/>
  <c r="J295" i="17" s="1"/>
  <c r="Q295" i="17" s="1"/>
  <c r="P295" i="17" s="1"/>
  <c r="R295" i="17" s="1"/>
  <c r="T295" i="17" s="1"/>
  <c r="M296" i="17" s="1"/>
  <c r="O300" i="13"/>
  <c r="S300" i="13" s="1"/>
  <c r="L301" i="13" s="1"/>
  <c r="J286" i="15"/>
  <c r="Q286" i="15" s="1"/>
  <c r="O290" i="16"/>
  <c r="S290" i="16" s="1"/>
  <c r="L291" i="16" s="1"/>
  <c r="J283" i="14"/>
  <c r="O295" i="17" l="1"/>
  <c r="S295" i="17" s="1"/>
  <c r="L296" i="17" s="1"/>
  <c r="N296" i="17" s="1"/>
  <c r="N301" i="13"/>
  <c r="K301" i="13"/>
  <c r="K291" i="16"/>
  <c r="N291" i="16"/>
  <c r="Q283" i="14"/>
  <c r="P283" i="14" s="1"/>
  <c r="R283" i="14" s="1"/>
  <c r="T283" i="14" s="1"/>
  <c r="M284" i="14" s="1"/>
  <c r="P286" i="15"/>
  <c r="R286" i="15" s="1"/>
  <c r="T286" i="15" s="1"/>
  <c r="M287" i="15" s="1"/>
  <c r="K296" i="17" l="1"/>
  <c r="J296" i="17" s="1"/>
  <c r="Q296" i="17" s="1"/>
  <c r="P296" i="17" s="1"/>
  <c r="J301" i="13"/>
  <c r="Q301" i="13" s="1"/>
  <c r="P301" i="13" s="1"/>
  <c r="O301" i="13" s="1"/>
  <c r="S301" i="13" s="1"/>
  <c r="L302" i="13" s="1"/>
  <c r="O286" i="15"/>
  <c r="S286" i="15" s="1"/>
  <c r="L287" i="15" s="1"/>
  <c r="K287" i="15" s="1"/>
  <c r="J291" i="16"/>
  <c r="Q291" i="16" s="1"/>
  <c r="P291" i="16" s="1"/>
  <c r="R291" i="16" s="1"/>
  <c r="T291" i="16" s="1"/>
  <c r="M292" i="16" s="1"/>
  <c r="O283" i="14"/>
  <c r="S283" i="14" s="1"/>
  <c r="L284" i="14" s="1"/>
  <c r="R301" i="13" l="1"/>
  <c r="T301" i="13" s="1"/>
  <c r="M302" i="13" s="1"/>
  <c r="K302" i="13" s="1"/>
  <c r="N287" i="15"/>
  <c r="J287" i="15" s="1"/>
  <c r="N302" i="13"/>
  <c r="O291" i="16"/>
  <c r="S291" i="16" s="1"/>
  <c r="L292" i="16" s="1"/>
  <c r="N292" i="16" s="1"/>
  <c r="R296" i="17"/>
  <c r="T296" i="17" s="1"/>
  <c r="M297" i="17" s="1"/>
  <c r="O296" i="17"/>
  <c r="S296" i="17" s="1"/>
  <c r="L297" i="17" s="1"/>
  <c r="K284" i="14"/>
  <c r="N284" i="14"/>
  <c r="J302" i="13" l="1"/>
  <c r="Q302" i="13" s="1"/>
  <c r="P302" i="13" s="1"/>
  <c r="R302" i="13" s="1"/>
  <c r="T302" i="13" s="1"/>
  <c r="M303" i="13" s="1"/>
  <c r="K292" i="16"/>
  <c r="J292" i="16" s="1"/>
  <c r="Q292" i="16" s="1"/>
  <c r="P292" i="16" s="1"/>
  <c r="R292" i="16" s="1"/>
  <c r="T292" i="16" s="1"/>
  <c r="M293" i="16" s="1"/>
  <c r="Q287" i="15"/>
  <c r="P287" i="15" s="1"/>
  <c r="R287" i="15" s="1"/>
  <c r="T287" i="15" s="1"/>
  <c r="M288" i="15" s="1"/>
  <c r="J284" i="14"/>
  <c r="N297" i="17"/>
  <c r="K297" i="17"/>
  <c r="O302" i="13" l="1"/>
  <c r="S302" i="13" s="1"/>
  <c r="L303" i="13" s="1"/>
  <c r="K303" i="13" s="1"/>
  <c r="J297" i="17"/>
  <c r="Q297" i="17" s="1"/>
  <c r="P297" i="17" s="1"/>
  <c r="R297" i="17" s="1"/>
  <c r="T297" i="17" s="1"/>
  <c r="M298" i="17" s="1"/>
  <c r="Q284" i="14"/>
  <c r="P284" i="14" s="1"/>
  <c r="R284" i="14" s="1"/>
  <c r="T284" i="14" s="1"/>
  <c r="M285" i="14" s="1"/>
  <c r="O292" i="16"/>
  <c r="S292" i="16" s="1"/>
  <c r="L293" i="16" s="1"/>
  <c r="K293" i="16" s="1"/>
  <c r="O287" i="15"/>
  <c r="S287" i="15" s="1"/>
  <c r="L288" i="15" s="1"/>
  <c r="N303" i="13" l="1"/>
  <c r="J303" i="13" s="1"/>
  <c r="O284" i="14"/>
  <c r="S284" i="14" s="1"/>
  <c r="L285" i="14" s="1"/>
  <c r="N285" i="14" s="1"/>
  <c r="K288" i="15"/>
  <c r="N288" i="15"/>
  <c r="O297" i="17"/>
  <c r="S297" i="17" s="1"/>
  <c r="L298" i="17" s="1"/>
  <c r="N293" i="16"/>
  <c r="J293" i="16" s="1"/>
  <c r="K285" i="14" l="1"/>
  <c r="J285" i="14" s="1"/>
  <c r="Q285" i="14" s="1"/>
  <c r="P285" i="14" s="1"/>
  <c r="O285" i="14" s="1"/>
  <c r="S285" i="14" s="1"/>
  <c r="L286" i="14" s="1"/>
  <c r="Q303" i="13"/>
  <c r="P303" i="13" s="1"/>
  <c r="R303" i="13" s="1"/>
  <c r="T303" i="13" s="1"/>
  <c r="M304" i="13" s="1"/>
  <c r="N298" i="17"/>
  <c r="K298" i="17"/>
  <c r="J288" i="15"/>
  <c r="Q293" i="16"/>
  <c r="P293" i="16" s="1"/>
  <c r="R293" i="16" s="1"/>
  <c r="T293" i="16" s="1"/>
  <c r="M294" i="16" s="1"/>
  <c r="J298" i="17" l="1"/>
  <c r="Q298" i="17" s="1"/>
  <c r="O303" i="13"/>
  <c r="S303" i="13" s="1"/>
  <c r="L304" i="13" s="1"/>
  <c r="K304" i="13" s="1"/>
  <c r="R285" i="14"/>
  <c r="T285" i="14" s="1"/>
  <c r="M286" i="14" s="1"/>
  <c r="K286" i="14" s="1"/>
  <c r="N286" i="14"/>
  <c r="Q288" i="15"/>
  <c r="P288" i="15" s="1"/>
  <c r="R288" i="15" s="1"/>
  <c r="T288" i="15" s="1"/>
  <c r="M289" i="15" s="1"/>
  <c r="O293" i="16"/>
  <c r="S293" i="16" s="1"/>
  <c r="L294" i="16" s="1"/>
  <c r="N304" i="13" l="1"/>
  <c r="J304" i="13" s="1"/>
  <c r="Q304" i="13" s="1"/>
  <c r="P304" i="13" s="1"/>
  <c r="R304" i="13" s="1"/>
  <c r="T304" i="13" s="1"/>
  <c r="M305" i="13" s="1"/>
  <c r="O288" i="15"/>
  <c r="S288" i="15" s="1"/>
  <c r="L289" i="15" s="1"/>
  <c r="N289" i="15" s="1"/>
  <c r="P298" i="17"/>
  <c r="R298" i="17" s="1"/>
  <c r="T298" i="17" s="1"/>
  <c r="M299" i="17" s="1"/>
  <c r="J286" i="14"/>
  <c r="N294" i="16"/>
  <c r="K294" i="16"/>
  <c r="O304" i="13" l="1"/>
  <c r="S304" i="13" s="1"/>
  <c r="L305" i="13" s="1"/>
  <c r="N305" i="13" s="1"/>
  <c r="K289" i="15"/>
  <c r="J289" i="15" s="1"/>
  <c r="Q289" i="15" s="1"/>
  <c r="P289" i="15" s="1"/>
  <c r="R289" i="15" s="1"/>
  <c r="T289" i="15" s="1"/>
  <c r="M290" i="15" s="1"/>
  <c r="J294" i="16"/>
  <c r="Q294" i="16" s="1"/>
  <c r="Q286" i="14"/>
  <c r="P286" i="14" s="1"/>
  <c r="R286" i="14" s="1"/>
  <c r="T286" i="14" s="1"/>
  <c r="M287" i="14" s="1"/>
  <c r="O298" i="17"/>
  <c r="S298" i="17" s="1"/>
  <c r="L299" i="17" s="1"/>
  <c r="K305" i="13" l="1"/>
  <c r="J305" i="13" s="1"/>
  <c r="Q305" i="13" s="1"/>
  <c r="P305" i="13" s="1"/>
  <c r="O286" i="14"/>
  <c r="S286" i="14" s="1"/>
  <c r="L287" i="14" s="1"/>
  <c r="N287" i="14" s="1"/>
  <c r="O289" i="15"/>
  <c r="S289" i="15" s="1"/>
  <c r="L290" i="15" s="1"/>
  <c r="K290" i="15" s="1"/>
  <c r="N299" i="17"/>
  <c r="K299" i="17"/>
  <c r="P294" i="16"/>
  <c r="R294" i="16" s="1"/>
  <c r="T294" i="16" s="1"/>
  <c r="M295" i="16" s="1"/>
  <c r="K287" i="14" l="1"/>
  <c r="J287" i="14" s="1"/>
  <c r="R305" i="13"/>
  <c r="T305" i="13" s="1"/>
  <c r="M306" i="13" s="1"/>
  <c r="O305" i="13"/>
  <c r="S305" i="13" s="1"/>
  <c r="L306" i="13" s="1"/>
  <c r="N306" i="13" s="1"/>
  <c r="J299" i="17"/>
  <c r="Q299" i="17" s="1"/>
  <c r="P299" i="17" s="1"/>
  <c r="R299" i="17" s="1"/>
  <c r="T299" i="17" s="1"/>
  <c r="M300" i="17" s="1"/>
  <c r="N290" i="15"/>
  <c r="J290" i="15" s="1"/>
  <c r="Q290" i="15" s="1"/>
  <c r="O294" i="16"/>
  <c r="S294" i="16" s="1"/>
  <c r="L295" i="16" s="1"/>
  <c r="K306" i="13" l="1"/>
  <c r="J306" i="13" s="1"/>
  <c r="P290" i="15"/>
  <c r="R290" i="15" s="1"/>
  <c r="T290" i="15" s="1"/>
  <c r="M291" i="15" s="1"/>
  <c r="O299" i="17"/>
  <c r="S299" i="17" s="1"/>
  <c r="L300" i="17" s="1"/>
  <c r="Q287" i="14"/>
  <c r="P287" i="14" s="1"/>
  <c r="R287" i="14" s="1"/>
  <c r="T287" i="14" s="1"/>
  <c r="M288" i="14" s="1"/>
  <c r="K295" i="16"/>
  <c r="N295" i="16"/>
  <c r="Q306" i="13" l="1"/>
  <c r="P306" i="13" s="1"/>
  <c r="R306" i="13" s="1"/>
  <c r="T306" i="13" s="1"/>
  <c r="M307" i="13" s="1"/>
  <c r="O287" i="14"/>
  <c r="S287" i="14" s="1"/>
  <c r="L288" i="14" s="1"/>
  <c r="K288" i="14" s="1"/>
  <c r="O290" i="15"/>
  <c r="S290" i="15" s="1"/>
  <c r="L291" i="15" s="1"/>
  <c r="K300" i="17"/>
  <c r="N300" i="17"/>
  <c r="J295" i="16"/>
  <c r="O306" i="13" l="1"/>
  <c r="S306" i="13" s="1"/>
  <c r="L307" i="13" s="1"/>
  <c r="K307" i="13" s="1"/>
  <c r="N288" i="14"/>
  <c r="J288" i="14" s="1"/>
  <c r="N291" i="15"/>
  <c r="K291" i="15"/>
  <c r="J300" i="17"/>
  <c r="Q300" i="17" s="1"/>
  <c r="Q295" i="16"/>
  <c r="P295" i="16" s="1"/>
  <c r="R295" i="16" s="1"/>
  <c r="T295" i="16" s="1"/>
  <c r="M296" i="16" s="1"/>
  <c r="N307" i="13" l="1"/>
  <c r="J307" i="13" s="1"/>
  <c r="Q307" i="13" s="1"/>
  <c r="P307" i="13" s="1"/>
  <c r="R307" i="13" s="1"/>
  <c r="T307" i="13" s="1"/>
  <c r="M308" i="13" s="1"/>
  <c r="P300" i="17"/>
  <c r="R300" i="17" s="1"/>
  <c r="T300" i="17" s="1"/>
  <c r="M301" i="17" s="1"/>
  <c r="J291" i="15"/>
  <c r="Q291" i="15" s="1"/>
  <c r="Q288" i="14"/>
  <c r="P288" i="14" s="1"/>
  <c r="O295" i="16"/>
  <c r="S295" i="16" s="1"/>
  <c r="L296" i="16" s="1"/>
  <c r="O307" i="13" l="1"/>
  <c r="S307" i="13" s="1"/>
  <c r="L308" i="13" s="1"/>
  <c r="K308" i="13" s="1"/>
  <c r="P291" i="15"/>
  <c r="R291" i="15" s="1"/>
  <c r="T291" i="15" s="1"/>
  <c r="M292" i="15" s="1"/>
  <c r="O300" i="17"/>
  <c r="S300" i="17" s="1"/>
  <c r="L301" i="17" s="1"/>
  <c r="R288" i="14"/>
  <c r="T288" i="14" s="1"/>
  <c r="M289" i="14" s="1"/>
  <c r="O288" i="14"/>
  <c r="S288" i="14" s="1"/>
  <c r="L289" i="14" s="1"/>
  <c r="K296" i="16"/>
  <c r="N296" i="16"/>
  <c r="O291" i="15" l="1"/>
  <c r="S291" i="15" s="1"/>
  <c r="L292" i="15" s="1"/>
  <c r="K292" i="15" s="1"/>
  <c r="N308" i="13"/>
  <c r="J308" i="13" s="1"/>
  <c r="N301" i="17"/>
  <c r="K301" i="17"/>
  <c r="K289" i="14"/>
  <c r="N289" i="14"/>
  <c r="J296" i="16"/>
  <c r="N292" i="15" l="1"/>
  <c r="J292" i="15" s="1"/>
  <c r="Q308" i="13"/>
  <c r="P308" i="13" s="1"/>
  <c r="R308" i="13" s="1"/>
  <c r="T308" i="13" s="1"/>
  <c r="M309" i="13" s="1"/>
  <c r="J301" i="17"/>
  <c r="Q301" i="17" s="1"/>
  <c r="P301" i="17" s="1"/>
  <c r="R301" i="17" s="1"/>
  <c r="T301" i="17" s="1"/>
  <c r="M302" i="17" s="1"/>
  <c r="J289" i="14"/>
  <c r="Q296" i="16"/>
  <c r="P296" i="16" s="1"/>
  <c r="R296" i="16" s="1"/>
  <c r="T296" i="16" s="1"/>
  <c r="M297" i="16" s="1"/>
  <c r="O308" i="13" l="1"/>
  <c r="S308" i="13" s="1"/>
  <c r="L309" i="13" s="1"/>
  <c r="O301" i="17"/>
  <c r="S301" i="17" s="1"/>
  <c r="L302" i="17" s="1"/>
  <c r="Q292" i="15"/>
  <c r="Q289" i="14"/>
  <c r="P289" i="14" s="1"/>
  <c r="R289" i="14" s="1"/>
  <c r="T289" i="14" s="1"/>
  <c r="M290" i="14" s="1"/>
  <c r="O296" i="16"/>
  <c r="S296" i="16" s="1"/>
  <c r="L297" i="16" s="1"/>
  <c r="N309" i="13" l="1"/>
  <c r="K309" i="13"/>
  <c r="O289" i="14"/>
  <c r="S289" i="14" s="1"/>
  <c r="L290" i="14" s="1"/>
  <c r="N290" i="14" s="1"/>
  <c r="K302" i="17"/>
  <c r="N302" i="17"/>
  <c r="P292" i="15"/>
  <c r="R292" i="15" s="1"/>
  <c r="T292" i="15" s="1"/>
  <c r="M293" i="15" s="1"/>
  <c r="K297" i="16"/>
  <c r="N297" i="16"/>
  <c r="J309" i="13" l="1"/>
  <c r="Q309" i="13" s="1"/>
  <c r="P309" i="13" s="1"/>
  <c r="R309" i="13" s="1"/>
  <c r="T309" i="13" s="1"/>
  <c r="M310" i="13" s="1"/>
  <c r="K290" i="14"/>
  <c r="J290" i="14" s="1"/>
  <c r="Q290" i="14" s="1"/>
  <c r="J302" i="17"/>
  <c r="Q302" i="17" s="1"/>
  <c r="O292" i="15"/>
  <c r="S292" i="15" s="1"/>
  <c r="L293" i="15" s="1"/>
  <c r="K293" i="15" s="1"/>
  <c r="J297" i="16"/>
  <c r="O309" i="13" l="1"/>
  <c r="S309" i="13" s="1"/>
  <c r="L310" i="13" s="1"/>
  <c r="N310" i="13" s="1"/>
  <c r="P302" i="17"/>
  <c r="R302" i="17" s="1"/>
  <c r="T302" i="17" s="1"/>
  <c r="M303" i="17" s="1"/>
  <c r="N293" i="15"/>
  <c r="J293" i="15" s="1"/>
  <c r="P290" i="14"/>
  <c r="R290" i="14" s="1"/>
  <c r="T290" i="14" s="1"/>
  <c r="M291" i="14" s="1"/>
  <c r="Q297" i="16"/>
  <c r="P297" i="16" s="1"/>
  <c r="R297" i="16" s="1"/>
  <c r="T297" i="16" s="1"/>
  <c r="M298" i="16" s="1"/>
  <c r="K310" i="13" l="1"/>
  <c r="J310" i="13" s="1"/>
  <c r="O302" i="17"/>
  <c r="S302" i="17" s="1"/>
  <c r="L303" i="17" s="1"/>
  <c r="N303" i="17" s="1"/>
  <c r="Q293" i="15"/>
  <c r="P293" i="15" s="1"/>
  <c r="R293" i="15" s="1"/>
  <c r="T293" i="15" s="1"/>
  <c r="M294" i="15" s="1"/>
  <c r="O290" i="14"/>
  <c r="S290" i="14" s="1"/>
  <c r="L291" i="14" s="1"/>
  <c r="O297" i="16"/>
  <c r="S297" i="16" s="1"/>
  <c r="L298" i="16" s="1"/>
  <c r="K303" i="17" l="1"/>
  <c r="J303" i="17" s="1"/>
  <c r="Q303" i="17" s="1"/>
  <c r="P303" i="17" s="1"/>
  <c r="O293" i="15"/>
  <c r="S293" i="15" s="1"/>
  <c r="L294" i="15" s="1"/>
  <c r="N294" i="15" s="1"/>
  <c r="N291" i="14"/>
  <c r="K291" i="14"/>
  <c r="Q310" i="13"/>
  <c r="K298" i="16"/>
  <c r="N298" i="16"/>
  <c r="K294" i="15" l="1"/>
  <c r="J294" i="15" s="1"/>
  <c r="Q294" i="15" s="1"/>
  <c r="P294" i="15" s="1"/>
  <c r="R294" i="15" s="1"/>
  <c r="T294" i="15" s="1"/>
  <c r="M295" i="15" s="1"/>
  <c r="J291" i="14"/>
  <c r="Q291" i="14" s="1"/>
  <c r="P291" i="14" s="1"/>
  <c r="R291" i="14" s="1"/>
  <c r="T291" i="14" s="1"/>
  <c r="M292" i="14" s="1"/>
  <c r="O303" i="17"/>
  <c r="S303" i="17" s="1"/>
  <c r="L304" i="17" s="1"/>
  <c r="R303" i="17"/>
  <c r="T303" i="17" s="1"/>
  <c r="M304" i="17" s="1"/>
  <c r="P310" i="13"/>
  <c r="R310" i="13" s="1"/>
  <c r="T310" i="13" s="1"/>
  <c r="M311" i="13" s="1"/>
  <c r="J298" i="16"/>
  <c r="O294" i="15" l="1"/>
  <c r="S294" i="15" s="1"/>
  <c r="L295" i="15" s="1"/>
  <c r="K295" i="15" s="1"/>
  <c r="O291" i="14"/>
  <c r="S291" i="14" s="1"/>
  <c r="L292" i="14" s="1"/>
  <c r="N292" i="14" s="1"/>
  <c r="O310" i="13"/>
  <c r="S310" i="13" s="1"/>
  <c r="L311" i="13" s="1"/>
  <c r="K304" i="17"/>
  <c r="N304" i="17"/>
  <c r="Q298" i="16"/>
  <c r="P298" i="16" s="1"/>
  <c r="R298" i="16" s="1"/>
  <c r="T298" i="16" s="1"/>
  <c r="M299" i="16" s="1"/>
  <c r="N295" i="15" l="1"/>
  <c r="J295" i="15" s="1"/>
  <c r="Q295" i="15" s="1"/>
  <c r="P295" i="15" s="1"/>
  <c r="R295" i="15" s="1"/>
  <c r="T295" i="15" s="1"/>
  <c r="M296" i="15" s="1"/>
  <c r="K292" i="14"/>
  <c r="J292" i="14" s="1"/>
  <c r="Q292" i="14" s="1"/>
  <c r="P292" i="14" s="1"/>
  <c r="J304" i="17"/>
  <c r="N311" i="13"/>
  <c r="K311" i="13"/>
  <c r="O298" i="16"/>
  <c r="S298" i="16" s="1"/>
  <c r="L299" i="16" s="1"/>
  <c r="R292" i="14" l="1"/>
  <c r="T292" i="14" s="1"/>
  <c r="M293" i="14" s="1"/>
  <c r="O292" i="14"/>
  <c r="S292" i="14" s="1"/>
  <c r="L293" i="14" s="1"/>
  <c r="N293" i="14" s="1"/>
  <c r="O295" i="15"/>
  <c r="S295" i="15" s="1"/>
  <c r="L296" i="15" s="1"/>
  <c r="K296" i="15" s="1"/>
  <c r="J311" i="13"/>
  <c r="Q304" i="17"/>
  <c r="P304" i="17" s="1"/>
  <c r="K299" i="16"/>
  <c r="N299" i="16"/>
  <c r="K293" i="14" l="1"/>
  <c r="J293" i="14" s="1"/>
  <c r="Q293" i="14" s="1"/>
  <c r="N296" i="15"/>
  <c r="J296" i="15" s="1"/>
  <c r="R304" i="17"/>
  <c r="T304" i="17" s="1"/>
  <c r="M305" i="17" s="1"/>
  <c r="O304" i="17"/>
  <c r="S304" i="17" s="1"/>
  <c r="L305" i="17" s="1"/>
  <c r="D8" i="13"/>
  <c r="Q311" i="13"/>
  <c r="P311" i="13" s="1"/>
  <c r="R311" i="13" s="1"/>
  <c r="T311" i="13" s="1"/>
  <c r="M312" i="13" s="1"/>
  <c r="J299" i="16"/>
  <c r="O311" i="13" l="1"/>
  <c r="S311" i="13" s="1"/>
  <c r="L312" i="13" s="1"/>
  <c r="K312" i="13" s="1"/>
  <c r="P293" i="14"/>
  <c r="R293" i="14" s="1"/>
  <c r="T293" i="14" s="1"/>
  <c r="M294" i="14" s="1"/>
  <c r="Q296" i="15"/>
  <c r="P296" i="15" s="1"/>
  <c r="R296" i="15" s="1"/>
  <c r="T296" i="15" s="1"/>
  <c r="M297" i="15" s="1"/>
  <c r="N305" i="17"/>
  <c r="K305" i="17"/>
  <c r="Q299" i="16"/>
  <c r="N312" i="13" l="1"/>
  <c r="J312" i="13" s="1"/>
  <c r="O296" i="15"/>
  <c r="S296" i="15" s="1"/>
  <c r="L297" i="15" s="1"/>
  <c r="K297" i="15" s="1"/>
  <c r="J305" i="17"/>
  <c r="P299" i="16"/>
  <c r="R299" i="16" s="1"/>
  <c r="T299" i="16" s="1"/>
  <c r="M300" i="16" s="1"/>
  <c r="O293" i="14"/>
  <c r="S293" i="14" s="1"/>
  <c r="L294" i="14" s="1"/>
  <c r="N297" i="15" l="1"/>
  <c r="J297" i="15" s="1"/>
  <c r="N294" i="14"/>
  <c r="K294" i="14"/>
  <c r="Q312" i="13"/>
  <c r="P312" i="13" s="1"/>
  <c r="R312" i="13" s="1"/>
  <c r="T312" i="13" s="1"/>
  <c r="M313" i="13" s="1"/>
  <c r="Q305" i="17"/>
  <c r="P305" i="17" s="1"/>
  <c r="R305" i="17" s="1"/>
  <c r="T305" i="17" s="1"/>
  <c r="M306" i="17" s="1"/>
  <c r="O299" i="16"/>
  <c r="S299" i="16" s="1"/>
  <c r="L300" i="16" s="1"/>
  <c r="O312" i="13" l="1"/>
  <c r="S312" i="13" s="1"/>
  <c r="L313" i="13" s="1"/>
  <c r="K313" i="13" s="1"/>
  <c r="J294" i="14"/>
  <c r="Q294" i="14" s="1"/>
  <c r="Q297" i="15"/>
  <c r="P297" i="15" s="1"/>
  <c r="R297" i="15" s="1"/>
  <c r="T297" i="15" s="1"/>
  <c r="M298" i="15" s="1"/>
  <c r="N300" i="16"/>
  <c r="K300" i="16"/>
  <c r="O305" i="17"/>
  <c r="S305" i="17" s="1"/>
  <c r="L306" i="17" s="1"/>
  <c r="P294" i="14" l="1"/>
  <c r="R294" i="14" s="1"/>
  <c r="T294" i="14" s="1"/>
  <c r="M295" i="14" s="1"/>
  <c r="N313" i="13"/>
  <c r="J313" i="13" s="1"/>
  <c r="O297" i="15"/>
  <c r="S297" i="15" s="1"/>
  <c r="L298" i="15" s="1"/>
  <c r="K298" i="15" s="1"/>
  <c r="N306" i="17"/>
  <c r="K306" i="17"/>
  <c r="J300" i="16"/>
  <c r="N298" i="15" l="1"/>
  <c r="J298" i="15" s="1"/>
  <c r="O294" i="14"/>
  <c r="S294" i="14" s="1"/>
  <c r="L295" i="14" s="1"/>
  <c r="N295" i="14" s="1"/>
  <c r="J306" i="17"/>
  <c r="Q300" i="16"/>
  <c r="P300" i="16" s="1"/>
  <c r="R300" i="16" s="1"/>
  <c r="T300" i="16" s="1"/>
  <c r="M301" i="16" s="1"/>
  <c r="Q313" i="13"/>
  <c r="P313" i="13" s="1"/>
  <c r="R313" i="13" s="1"/>
  <c r="T313" i="13" s="1"/>
  <c r="M314" i="13" s="1"/>
  <c r="K295" i="14" l="1"/>
  <c r="J295" i="14" s="1"/>
  <c r="O313" i="13"/>
  <c r="S313" i="13" s="1"/>
  <c r="L314" i="13" s="1"/>
  <c r="K314" i="13" s="1"/>
  <c r="Q298" i="15"/>
  <c r="P298" i="15" s="1"/>
  <c r="R298" i="15" s="1"/>
  <c r="T298" i="15" s="1"/>
  <c r="M299" i="15" s="1"/>
  <c r="O300" i="16"/>
  <c r="S300" i="16" s="1"/>
  <c r="L301" i="16" s="1"/>
  <c r="Q306" i="17"/>
  <c r="P306" i="17" s="1"/>
  <c r="R306" i="17" s="1"/>
  <c r="T306" i="17" s="1"/>
  <c r="M307" i="17" s="1"/>
  <c r="N314" i="13" l="1"/>
  <c r="J314" i="13" s="1"/>
  <c r="Q314" i="13" s="1"/>
  <c r="P314" i="13" s="1"/>
  <c r="R314" i="13" s="1"/>
  <c r="T314" i="13" s="1"/>
  <c r="M315" i="13" s="1"/>
  <c r="Q295" i="14"/>
  <c r="P295" i="14" s="1"/>
  <c r="R295" i="14" s="1"/>
  <c r="T295" i="14" s="1"/>
  <c r="M296" i="14" s="1"/>
  <c r="O298" i="15"/>
  <c r="S298" i="15" s="1"/>
  <c r="L299" i="15" s="1"/>
  <c r="N299" i="15" s="1"/>
  <c r="O306" i="17"/>
  <c r="S306" i="17" s="1"/>
  <c r="L307" i="17" s="1"/>
  <c r="K307" i="17" s="1"/>
  <c r="K301" i="16"/>
  <c r="N301" i="16"/>
  <c r="N307" i="17" l="1"/>
  <c r="J307" i="17" s="1"/>
  <c r="Q307" i="17" s="1"/>
  <c r="P307" i="17" s="1"/>
  <c r="R307" i="17" s="1"/>
  <c r="T307" i="17" s="1"/>
  <c r="M308" i="17" s="1"/>
  <c r="O295" i="14"/>
  <c r="S295" i="14" s="1"/>
  <c r="L296" i="14" s="1"/>
  <c r="K299" i="15"/>
  <c r="J299" i="15" s="1"/>
  <c r="Q299" i="15" s="1"/>
  <c r="P299" i="15" s="1"/>
  <c r="R299" i="15" s="1"/>
  <c r="T299" i="15" s="1"/>
  <c r="M300" i="15" s="1"/>
  <c r="J301" i="16"/>
  <c r="O314" i="13"/>
  <c r="S314" i="13" s="1"/>
  <c r="L315" i="13" s="1"/>
  <c r="N315" i="13" s="1"/>
  <c r="N296" i="14" l="1"/>
  <c r="K296" i="14"/>
  <c r="O299" i="15"/>
  <c r="S299" i="15" s="1"/>
  <c r="L300" i="15" s="1"/>
  <c r="N300" i="15" s="1"/>
  <c r="O307" i="17"/>
  <c r="S307" i="17" s="1"/>
  <c r="L308" i="17" s="1"/>
  <c r="Q301" i="16"/>
  <c r="P301" i="16" s="1"/>
  <c r="R301" i="16" s="1"/>
  <c r="T301" i="16" s="1"/>
  <c r="M302" i="16" s="1"/>
  <c r="K315" i="13"/>
  <c r="J315" i="13" s="1"/>
  <c r="K300" i="15" l="1"/>
  <c r="J300" i="15" s="1"/>
  <c r="Q300" i="15" s="1"/>
  <c r="P300" i="15" s="1"/>
  <c r="R300" i="15" s="1"/>
  <c r="T300" i="15" s="1"/>
  <c r="M301" i="15" s="1"/>
  <c r="J296" i="14"/>
  <c r="Q315" i="13"/>
  <c r="P315" i="13" s="1"/>
  <c r="O301" i="16"/>
  <c r="S301" i="16" s="1"/>
  <c r="L302" i="16" s="1"/>
  <c r="K308" i="17"/>
  <c r="N308" i="17"/>
  <c r="Q296" i="14" l="1"/>
  <c r="P296" i="14" s="1"/>
  <c r="R296" i="14" s="1"/>
  <c r="T296" i="14" s="1"/>
  <c r="M297" i="14" s="1"/>
  <c r="O315" i="13"/>
  <c r="S315" i="13" s="1"/>
  <c r="L316" i="13" s="1"/>
  <c r="R315" i="13"/>
  <c r="T315" i="13" s="1"/>
  <c r="M316" i="13" s="1"/>
  <c r="J308" i="17"/>
  <c r="Q308" i="17" s="1"/>
  <c r="P308" i="17" s="1"/>
  <c r="K302" i="16"/>
  <c r="N302" i="16"/>
  <c r="O300" i="15"/>
  <c r="S300" i="15" s="1"/>
  <c r="L301" i="15" s="1"/>
  <c r="O296" i="14" l="1"/>
  <c r="S296" i="14" s="1"/>
  <c r="L297" i="14" s="1"/>
  <c r="N297" i="14" s="1"/>
  <c r="O308" i="17"/>
  <c r="S308" i="17" s="1"/>
  <c r="L309" i="17" s="1"/>
  <c r="N309" i="17" s="1"/>
  <c r="R308" i="17"/>
  <c r="T308" i="17" s="1"/>
  <c r="M309" i="17" s="1"/>
  <c r="N316" i="13"/>
  <c r="K316" i="13"/>
  <c r="N301" i="15"/>
  <c r="K301" i="15"/>
  <c r="J302" i="16"/>
  <c r="K309" i="17" l="1"/>
  <c r="J309" i="17" s="1"/>
  <c r="Q309" i="17" s="1"/>
  <c r="K297" i="14"/>
  <c r="J297" i="14" s="1"/>
  <c r="Q297" i="14" s="1"/>
  <c r="P297" i="14" s="1"/>
  <c r="R297" i="14" s="1"/>
  <c r="T297" i="14" s="1"/>
  <c r="M298" i="14" s="1"/>
  <c r="J316" i="13"/>
  <c r="Q316" i="13" s="1"/>
  <c r="P316" i="13" s="1"/>
  <c r="R316" i="13" s="1"/>
  <c r="T316" i="13" s="1"/>
  <c r="M317" i="13" s="1"/>
  <c r="J301" i="15"/>
  <c r="Q301" i="15" s="1"/>
  <c r="P301" i="15" s="1"/>
  <c r="O301" i="15" s="1"/>
  <c r="S301" i="15" s="1"/>
  <c r="L302" i="15" s="1"/>
  <c r="Q302" i="16"/>
  <c r="P302" i="16" s="1"/>
  <c r="O316" i="13" l="1"/>
  <c r="S316" i="13" s="1"/>
  <c r="L317" i="13" s="1"/>
  <c r="N317" i="13" s="1"/>
  <c r="O297" i="14"/>
  <c r="S297" i="14" s="1"/>
  <c r="L298" i="14" s="1"/>
  <c r="N298" i="14" s="1"/>
  <c r="R301" i="15"/>
  <c r="T301" i="15" s="1"/>
  <c r="M302" i="15" s="1"/>
  <c r="K302" i="15" s="1"/>
  <c r="R302" i="16"/>
  <c r="T302" i="16" s="1"/>
  <c r="M303" i="16" s="1"/>
  <c r="O302" i="16"/>
  <c r="S302" i="16" s="1"/>
  <c r="L303" i="16" s="1"/>
  <c r="N302" i="15"/>
  <c r="P309" i="17"/>
  <c r="R309" i="17" s="1"/>
  <c r="T309" i="17" s="1"/>
  <c r="M310" i="17" s="1"/>
  <c r="K317" i="13" l="1"/>
  <c r="J317" i="13" s="1"/>
  <c r="Q317" i="13" s="1"/>
  <c r="P317" i="13" s="1"/>
  <c r="R317" i="13" s="1"/>
  <c r="T317" i="13" s="1"/>
  <c r="M318" i="13" s="1"/>
  <c r="K298" i="14"/>
  <c r="J298" i="14" s="1"/>
  <c r="Q298" i="14" s="1"/>
  <c r="P298" i="14" s="1"/>
  <c r="R298" i="14" s="1"/>
  <c r="T298" i="14" s="1"/>
  <c r="M299" i="14" s="1"/>
  <c r="K303" i="16"/>
  <c r="J302" i="15"/>
  <c r="Q302" i="15" s="1"/>
  <c r="P302" i="15" s="1"/>
  <c r="R302" i="15" s="1"/>
  <c r="T302" i="15" s="1"/>
  <c r="M303" i="15" s="1"/>
  <c r="N303" i="16"/>
  <c r="O309" i="17"/>
  <c r="S309" i="17" s="1"/>
  <c r="L310" i="17" s="1"/>
  <c r="J303" i="16" l="1"/>
  <c r="Q303" i="16" s="1"/>
  <c r="P303" i="16" s="1"/>
  <c r="O317" i="13"/>
  <c r="S317" i="13" s="1"/>
  <c r="L318" i="13" s="1"/>
  <c r="K318" i="13" s="1"/>
  <c r="O298" i="14"/>
  <c r="S298" i="14" s="1"/>
  <c r="L299" i="14" s="1"/>
  <c r="K299" i="14" s="1"/>
  <c r="O302" i="15"/>
  <c r="S302" i="15" s="1"/>
  <c r="L303" i="15" s="1"/>
  <c r="K303" i="15" s="1"/>
  <c r="N310" i="17"/>
  <c r="K310" i="17"/>
  <c r="N318" i="13" l="1"/>
  <c r="J318" i="13" s="1"/>
  <c r="Q318" i="13" s="1"/>
  <c r="N299" i="14"/>
  <c r="J299" i="14" s="1"/>
  <c r="N303" i="15"/>
  <c r="J303" i="15" s="1"/>
  <c r="R303" i="16"/>
  <c r="T303" i="16" s="1"/>
  <c r="M304" i="16" s="1"/>
  <c r="O303" i="16"/>
  <c r="S303" i="16" s="1"/>
  <c r="L304" i="16" s="1"/>
  <c r="N304" i="16" s="1"/>
  <c r="J310" i="17"/>
  <c r="P318" i="13" l="1"/>
  <c r="R318" i="13" s="1"/>
  <c r="T318" i="13" s="1"/>
  <c r="M319" i="13" s="1"/>
  <c r="K304" i="16"/>
  <c r="J304" i="16" s="1"/>
  <c r="Q310" i="17"/>
  <c r="P310" i="17" s="1"/>
  <c r="Q303" i="15"/>
  <c r="P303" i="15" s="1"/>
  <c r="R303" i="15" s="1"/>
  <c r="T303" i="15" s="1"/>
  <c r="M304" i="15" s="1"/>
  <c r="Q299" i="14"/>
  <c r="O318" i="13" l="1"/>
  <c r="S318" i="13" s="1"/>
  <c r="L319" i="13" s="1"/>
  <c r="K319" i="13" s="1"/>
  <c r="R310" i="17"/>
  <c r="T310" i="17" s="1"/>
  <c r="M311" i="17" s="1"/>
  <c r="O310" i="17"/>
  <c r="S310" i="17" s="1"/>
  <c r="L311" i="17" s="1"/>
  <c r="O303" i="15"/>
  <c r="S303" i="15" s="1"/>
  <c r="L304" i="15" s="1"/>
  <c r="K304" i="15" s="1"/>
  <c r="Q304" i="16"/>
  <c r="P304" i="16" s="1"/>
  <c r="P299" i="14"/>
  <c r="R299" i="14" s="1"/>
  <c r="T299" i="14" s="1"/>
  <c r="M300" i="14" s="1"/>
  <c r="N319" i="13" l="1"/>
  <c r="J319" i="13" s="1"/>
  <c r="Q319" i="13" s="1"/>
  <c r="P319" i="13" s="1"/>
  <c r="N304" i="15"/>
  <c r="J304" i="15" s="1"/>
  <c r="Q304" i="15" s="1"/>
  <c r="P304" i="15" s="1"/>
  <c r="R304" i="15" s="1"/>
  <c r="T304" i="15" s="1"/>
  <c r="M305" i="15" s="1"/>
  <c r="N311" i="17"/>
  <c r="K311" i="17"/>
  <c r="R304" i="16"/>
  <c r="T304" i="16" s="1"/>
  <c r="M305" i="16" s="1"/>
  <c r="O304" i="16"/>
  <c r="S304" i="16" s="1"/>
  <c r="L305" i="16" s="1"/>
  <c r="N305" i="16" s="1"/>
  <c r="O299" i="14"/>
  <c r="S299" i="14" s="1"/>
  <c r="L300" i="14" s="1"/>
  <c r="K305" i="16" l="1"/>
  <c r="J305" i="16" s="1"/>
  <c r="J311" i="17"/>
  <c r="O304" i="15"/>
  <c r="S304" i="15" s="1"/>
  <c r="L305" i="15" s="1"/>
  <c r="K305" i="15" s="1"/>
  <c r="O319" i="13"/>
  <c r="S319" i="13" s="1"/>
  <c r="L320" i="13" s="1"/>
  <c r="R319" i="13"/>
  <c r="T319" i="13" s="1"/>
  <c r="M320" i="13" s="1"/>
  <c r="K300" i="14"/>
  <c r="N300" i="14"/>
  <c r="N305" i="15" l="1"/>
  <c r="J305" i="15" s="1"/>
  <c r="Q311" i="17"/>
  <c r="P311" i="17" s="1"/>
  <c r="R311" i="17" s="1"/>
  <c r="T311" i="17" s="1"/>
  <c r="M312" i="17" s="1"/>
  <c r="J300" i="14"/>
  <c r="Q300" i="14" s="1"/>
  <c r="P300" i="14" s="1"/>
  <c r="R300" i="14" s="1"/>
  <c r="T300" i="14" s="1"/>
  <c r="M301" i="14" s="1"/>
  <c r="Q305" i="16"/>
  <c r="P305" i="16" s="1"/>
  <c r="R305" i="16" s="1"/>
  <c r="T305" i="16" s="1"/>
  <c r="M306" i="16" s="1"/>
  <c r="K320" i="13"/>
  <c r="N320" i="13"/>
  <c r="O311" i="17" l="1"/>
  <c r="S311" i="17" s="1"/>
  <c r="L312" i="17" s="1"/>
  <c r="K312" i="17" s="1"/>
  <c r="J320" i="13"/>
  <c r="Q320" i="13" s="1"/>
  <c r="O300" i="14"/>
  <c r="S300" i="14" s="1"/>
  <c r="L301" i="14" s="1"/>
  <c r="N301" i="14" s="1"/>
  <c r="Q305" i="15"/>
  <c r="P305" i="15" s="1"/>
  <c r="R305" i="15" s="1"/>
  <c r="T305" i="15" s="1"/>
  <c r="M306" i="15" s="1"/>
  <c r="O305" i="16"/>
  <c r="S305" i="16" s="1"/>
  <c r="L306" i="16" s="1"/>
  <c r="N312" i="17" l="1"/>
  <c r="J312" i="17" s="1"/>
  <c r="K301" i="14"/>
  <c r="J301" i="14" s="1"/>
  <c r="K306" i="16"/>
  <c r="N306" i="16"/>
  <c r="O305" i="15"/>
  <c r="S305" i="15" s="1"/>
  <c r="L306" i="15" s="1"/>
  <c r="P320" i="13"/>
  <c r="R320" i="13" s="1"/>
  <c r="T320" i="13" s="1"/>
  <c r="M321" i="13" s="1"/>
  <c r="Q312" i="17" l="1"/>
  <c r="P312" i="17" s="1"/>
  <c r="R312" i="17" s="1"/>
  <c r="T312" i="17" s="1"/>
  <c r="M313" i="17" s="1"/>
  <c r="N306" i="15"/>
  <c r="K306" i="15"/>
  <c r="J306" i="16"/>
  <c r="Q301" i="14"/>
  <c r="O320" i="13"/>
  <c r="S320" i="13" s="1"/>
  <c r="L321" i="13" s="1"/>
  <c r="J306" i="15" l="1"/>
  <c r="Q306" i="15" s="1"/>
  <c r="P306" i="15" s="1"/>
  <c r="R306" i="15" s="1"/>
  <c r="T306" i="15" s="1"/>
  <c r="M307" i="15" s="1"/>
  <c r="O312" i="17"/>
  <c r="S312" i="17" s="1"/>
  <c r="L313" i="17" s="1"/>
  <c r="K313" i="17" s="1"/>
  <c r="Q306" i="16"/>
  <c r="P306" i="16" s="1"/>
  <c r="R306" i="16" s="1"/>
  <c r="T306" i="16" s="1"/>
  <c r="M307" i="16" s="1"/>
  <c r="N321" i="13"/>
  <c r="K321" i="13"/>
  <c r="P301" i="14"/>
  <c r="R301" i="14" s="1"/>
  <c r="T301" i="14" s="1"/>
  <c r="M302" i="14" s="1"/>
  <c r="N313" i="17" l="1"/>
  <c r="J313" i="17" s="1"/>
  <c r="J321" i="13"/>
  <c r="Q321" i="13" s="1"/>
  <c r="P321" i="13" s="1"/>
  <c r="R321" i="13" s="1"/>
  <c r="T321" i="13" s="1"/>
  <c r="M322" i="13" s="1"/>
  <c r="O306" i="15"/>
  <c r="S306" i="15" s="1"/>
  <c r="L307" i="15" s="1"/>
  <c r="N307" i="15" s="1"/>
  <c r="O306" i="16"/>
  <c r="S306" i="16" s="1"/>
  <c r="L307" i="16" s="1"/>
  <c r="O301" i="14"/>
  <c r="S301" i="14" s="1"/>
  <c r="L302" i="14" s="1"/>
  <c r="Q313" i="17" l="1"/>
  <c r="P313" i="17" s="1"/>
  <c r="R313" i="17" s="1"/>
  <c r="T313" i="17" s="1"/>
  <c r="M314" i="17" s="1"/>
  <c r="K307" i="15"/>
  <c r="J307" i="15" s="1"/>
  <c r="K307" i="16"/>
  <c r="N307" i="16"/>
  <c r="O321" i="13"/>
  <c r="S321" i="13" s="1"/>
  <c r="L322" i="13" s="1"/>
  <c r="N302" i="14"/>
  <c r="K302" i="14"/>
  <c r="O313" i="17" l="1"/>
  <c r="S313" i="17" s="1"/>
  <c r="L314" i="17" s="1"/>
  <c r="N314" i="17" s="1"/>
  <c r="Q307" i="15"/>
  <c r="P307" i="15" s="1"/>
  <c r="R307" i="15" s="1"/>
  <c r="T307" i="15" s="1"/>
  <c r="M308" i="15" s="1"/>
  <c r="J302" i="14"/>
  <c r="Q302" i="14" s="1"/>
  <c r="J307" i="16"/>
  <c r="N322" i="13"/>
  <c r="K322" i="13"/>
  <c r="K314" i="17" l="1"/>
  <c r="J314" i="17" s="1"/>
  <c r="Q314" i="17" s="1"/>
  <c r="P314" i="17" s="1"/>
  <c r="R314" i="17" s="1"/>
  <c r="T314" i="17" s="1"/>
  <c r="M315" i="17" s="1"/>
  <c r="O307" i="15"/>
  <c r="S307" i="15" s="1"/>
  <c r="L308" i="15" s="1"/>
  <c r="N308" i="15" s="1"/>
  <c r="Q307" i="16"/>
  <c r="P307" i="16" s="1"/>
  <c r="J322" i="13"/>
  <c r="Q322" i="13" s="1"/>
  <c r="P302" i="14"/>
  <c r="R302" i="14" s="1"/>
  <c r="T302" i="14" s="1"/>
  <c r="M303" i="14" s="1"/>
  <c r="K308" i="15" l="1"/>
  <c r="J308" i="15" s="1"/>
  <c r="Q308" i="15" s="1"/>
  <c r="P308" i="15" s="1"/>
  <c r="R308" i="15" s="1"/>
  <c r="T308" i="15" s="1"/>
  <c r="M309" i="15" s="1"/>
  <c r="O314" i="17"/>
  <c r="S314" i="17" s="1"/>
  <c r="L315" i="17" s="1"/>
  <c r="N315" i="17" s="1"/>
  <c r="R307" i="16"/>
  <c r="T307" i="16" s="1"/>
  <c r="M308" i="16" s="1"/>
  <c r="O307" i="16"/>
  <c r="S307" i="16" s="1"/>
  <c r="L308" i="16" s="1"/>
  <c r="P322" i="13"/>
  <c r="R322" i="13" s="1"/>
  <c r="T322" i="13" s="1"/>
  <c r="M323" i="13" s="1"/>
  <c r="O302" i="14"/>
  <c r="S302" i="14" s="1"/>
  <c r="L303" i="14" s="1"/>
  <c r="K315" i="17" l="1"/>
  <c r="J315" i="17" s="1"/>
  <c r="Q315" i="17" s="1"/>
  <c r="O322" i="13"/>
  <c r="S322" i="13" s="1"/>
  <c r="L323" i="13" s="1"/>
  <c r="K323" i="13" s="1"/>
  <c r="O308" i="15"/>
  <c r="S308" i="15" s="1"/>
  <c r="L309" i="15" s="1"/>
  <c r="K309" i="15" s="1"/>
  <c r="K308" i="16"/>
  <c r="N308" i="16"/>
  <c r="K303" i="14"/>
  <c r="N303" i="14"/>
  <c r="N309" i="15" l="1"/>
  <c r="J309" i="15" s="1"/>
  <c r="P315" i="17"/>
  <c r="R315" i="17" s="1"/>
  <c r="T315" i="17" s="1"/>
  <c r="M316" i="17" s="1"/>
  <c r="N323" i="13"/>
  <c r="J323" i="13" s="1"/>
  <c r="Q323" i="13" s="1"/>
  <c r="P323" i="13" s="1"/>
  <c r="R323" i="13" s="1"/>
  <c r="T323" i="13" s="1"/>
  <c r="M324" i="13" s="1"/>
  <c r="J308" i="16"/>
  <c r="J303" i="14"/>
  <c r="O315" i="17" l="1"/>
  <c r="S315" i="17" s="1"/>
  <c r="L316" i="17" s="1"/>
  <c r="K316" i="17" s="1"/>
  <c r="Q309" i="15"/>
  <c r="P309" i="15" s="1"/>
  <c r="Q308" i="16"/>
  <c r="P308" i="16" s="1"/>
  <c r="R308" i="16" s="1"/>
  <c r="T308" i="16" s="1"/>
  <c r="M309" i="16" s="1"/>
  <c r="O323" i="13"/>
  <c r="S323" i="13" s="1"/>
  <c r="L324" i="13" s="1"/>
  <c r="Q303" i="14"/>
  <c r="P303" i="14" s="1"/>
  <c r="R303" i="14" s="1"/>
  <c r="T303" i="14" s="1"/>
  <c r="M304" i="14" s="1"/>
  <c r="N316" i="17" l="1"/>
  <c r="J316" i="17" s="1"/>
  <c r="Q316" i="17" s="1"/>
  <c r="P316" i="17" s="1"/>
  <c r="R316" i="17" s="1"/>
  <c r="T316" i="17" s="1"/>
  <c r="M317" i="17" s="1"/>
  <c r="O308" i="16"/>
  <c r="S308" i="16" s="1"/>
  <c r="L309" i="16" s="1"/>
  <c r="O309" i="15"/>
  <c r="S309" i="15" s="1"/>
  <c r="L310" i="15" s="1"/>
  <c r="R309" i="15"/>
  <c r="T309" i="15" s="1"/>
  <c r="M310" i="15" s="1"/>
  <c r="O303" i="14"/>
  <c r="S303" i="14" s="1"/>
  <c r="L304" i="14" s="1"/>
  <c r="K324" i="13"/>
  <c r="N324" i="13"/>
  <c r="O316" i="17" l="1"/>
  <c r="S316" i="17" s="1"/>
  <c r="L317" i="17" s="1"/>
  <c r="K310" i="15"/>
  <c r="N310" i="15"/>
  <c r="J324" i="13"/>
  <c r="Q324" i="13" s="1"/>
  <c r="N309" i="16"/>
  <c r="K309" i="16"/>
  <c r="K304" i="14"/>
  <c r="N304" i="14"/>
  <c r="J309" i="16" l="1"/>
  <c r="Q309" i="16" s="1"/>
  <c r="P309" i="16" s="1"/>
  <c r="R309" i="16" s="1"/>
  <c r="T309" i="16" s="1"/>
  <c r="M310" i="16" s="1"/>
  <c r="P324" i="13"/>
  <c r="R324" i="13" s="1"/>
  <c r="T324" i="13" s="1"/>
  <c r="M325" i="13" s="1"/>
  <c r="K317" i="17"/>
  <c r="N317" i="17"/>
  <c r="J310" i="15"/>
  <c r="J304" i="14"/>
  <c r="O324" i="13" l="1"/>
  <c r="S324" i="13" s="1"/>
  <c r="L325" i="13" s="1"/>
  <c r="K325" i="13" s="1"/>
  <c r="J317" i="17"/>
  <c r="Q310" i="15"/>
  <c r="P310" i="15" s="1"/>
  <c r="R310" i="15" s="1"/>
  <c r="T310" i="15" s="1"/>
  <c r="M311" i="15" s="1"/>
  <c r="O309" i="16"/>
  <c r="S309" i="16" s="1"/>
  <c r="L310" i="16" s="1"/>
  <c r="Q304" i="14"/>
  <c r="P304" i="14" s="1"/>
  <c r="R304" i="14" s="1"/>
  <c r="T304" i="14" s="1"/>
  <c r="M305" i="14" s="1"/>
  <c r="N325" i="13" l="1"/>
  <c r="J325" i="13" s="1"/>
  <c r="Q325" i="13" s="1"/>
  <c r="P325" i="13" s="1"/>
  <c r="Q317" i="17"/>
  <c r="P317" i="17" s="1"/>
  <c r="R317" i="17" s="1"/>
  <c r="T317" i="17" s="1"/>
  <c r="M318" i="17" s="1"/>
  <c r="K310" i="16"/>
  <c r="N310" i="16"/>
  <c r="O304" i="14"/>
  <c r="S304" i="14" s="1"/>
  <c r="L305" i="14" s="1"/>
  <c r="K305" i="14" s="1"/>
  <c r="O310" i="15"/>
  <c r="S310" i="15" s="1"/>
  <c r="L311" i="15" s="1"/>
  <c r="O317" i="17" l="1"/>
  <c r="S317" i="17" s="1"/>
  <c r="L318" i="17" s="1"/>
  <c r="K318" i="17" s="1"/>
  <c r="N305" i="14"/>
  <c r="J305" i="14" s="1"/>
  <c r="J310" i="16"/>
  <c r="O325" i="13"/>
  <c r="S325" i="13" s="1"/>
  <c r="L326" i="13" s="1"/>
  <c r="R325" i="13"/>
  <c r="T325" i="13" s="1"/>
  <c r="M326" i="13" s="1"/>
  <c r="K311" i="15"/>
  <c r="N311" i="15"/>
  <c r="N318" i="17" l="1"/>
  <c r="J318" i="17" s="1"/>
  <c r="J311" i="15"/>
  <c r="N326" i="13"/>
  <c r="K326" i="13"/>
  <c r="Q310" i="16"/>
  <c r="P310" i="16" s="1"/>
  <c r="R310" i="16" s="1"/>
  <c r="T310" i="16" s="1"/>
  <c r="M311" i="16" s="1"/>
  <c r="Q305" i="14"/>
  <c r="P305" i="14" s="1"/>
  <c r="R305" i="14" s="1"/>
  <c r="T305" i="14" s="1"/>
  <c r="M306" i="14" s="1"/>
  <c r="Q318" i="17" l="1"/>
  <c r="P318" i="17" s="1"/>
  <c r="R318" i="17" s="1"/>
  <c r="T318" i="17" s="1"/>
  <c r="M319" i="17" s="1"/>
  <c r="O305" i="14"/>
  <c r="S305" i="14" s="1"/>
  <c r="L306" i="14" s="1"/>
  <c r="K306" i="14" s="1"/>
  <c r="O310" i="16"/>
  <c r="S310" i="16" s="1"/>
  <c r="L311" i="16" s="1"/>
  <c r="Q311" i="15"/>
  <c r="P311" i="15" s="1"/>
  <c r="R311" i="15" s="1"/>
  <c r="T311" i="15" s="1"/>
  <c r="D8" i="15"/>
  <c r="J326" i="13"/>
  <c r="O318" i="17" l="1"/>
  <c r="S318" i="17" s="1"/>
  <c r="L319" i="17" s="1"/>
  <c r="K319" i="17" s="1"/>
  <c r="N306" i="14"/>
  <c r="J306" i="14" s="1"/>
  <c r="O311" i="15"/>
  <c r="S311" i="15" s="1"/>
  <c r="N311" i="16"/>
  <c r="K311" i="16"/>
  <c r="Q326" i="13"/>
  <c r="P326" i="13" s="1"/>
  <c r="R326" i="13" s="1"/>
  <c r="T326" i="13" s="1"/>
  <c r="M327" i="13" s="1"/>
  <c r="N319" i="17" l="1"/>
  <c r="J319" i="17" s="1"/>
  <c r="J311" i="16"/>
  <c r="Q311" i="16" s="1"/>
  <c r="P311" i="16" s="1"/>
  <c r="R311" i="16" s="1"/>
  <c r="T311" i="16" s="1"/>
  <c r="M312" i="16" s="1"/>
  <c r="O326" i="13"/>
  <c r="S326" i="13" s="1"/>
  <c r="L327" i="13" s="1"/>
  <c r="Q306" i="14"/>
  <c r="P306" i="14" s="1"/>
  <c r="R306" i="14" s="1"/>
  <c r="T306" i="14" s="1"/>
  <c r="M307" i="14" s="1"/>
  <c r="D8" i="16" l="1"/>
  <c r="O311" i="16"/>
  <c r="S311" i="16" s="1"/>
  <c r="L312" i="16" s="1"/>
  <c r="N312" i="16" s="1"/>
  <c r="Q319" i="17"/>
  <c r="P319" i="17" s="1"/>
  <c r="R319" i="17" s="1"/>
  <c r="T319" i="17" s="1"/>
  <c r="M320" i="17" s="1"/>
  <c r="K327" i="13"/>
  <c r="N327" i="13"/>
  <c r="O306" i="14"/>
  <c r="S306" i="14" s="1"/>
  <c r="L307" i="14" s="1"/>
  <c r="K312" i="16" l="1"/>
  <c r="J312" i="16" s="1"/>
  <c r="Q312" i="16" s="1"/>
  <c r="P312" i="16" s="1"/>
  <c r="R312" i="16" s="1"/>
  <c r="T312" i="16" s="1"/>
  <c r="O319" i="17"/>
  <c r="S319" i="17" s="1"/>
  <c r="L320" i="17" s="1"/>
  <c r="K320" i="17" s="1"/>
  <c r="J327" i="13"/>
  <c r="N307" i="14"/>
  <c r="K307" i="14"/>
  <c r="D6" i="16" l="1"/>
  <c r="N320" i="17"/>
  <c r="J320" i="17" s="1"/>
  <c r="O312" i="16"/>
  <c r="S312" i="16" s="1"/>
  <c r="J307" i="14"/>
  <c r="Q307" i="14" s="1"/>
  <c r="P307" i="14" s="1"/>
  <c r="R307" i="14" s="1"/>
  <c r="T307" i="14" s="1"/>
  <c r="M308" i="14" s="1"/>
  <c r="Q327" i="13"/>
  <c r="P327" i="13" s="1"/>
  <c r="R327" i="13" s="1"/>
  <c r="T327" i="13" s="1"/>
  <c r="M328" i="13" s="1"/>
  <c r="Q320" i="17" l="1"/>
  <c r="P320" i="17" s="1"/>
  <c r="R320" i="17" s="1"/>
  <c r="T320" i="17" s="1"/>
  <c r="M321" i="17" s="1"/>
  <c r="O327" i="13"/>
  <c r="S327" i="13" s="1"/>
  <c r="L328" i="13" s="1"/>
  <c r="O307" i="14"/>
  <c r="S307" i="14" s="1"/>
  <c r="L308" i="14" s="1"/>
  <c r="O320" i="17" l="1"/>
  <c r="S320" i="17" s="1"/>
  <c r="L321" i="17" s="1"/>
  <c r="N328" i="13"/>
  <c r="K328" i="13"/>
  <c r="K308" i="14"/>
  <c r="N308" i="14"/>
  <c r="J328" i="13" l="1"/>
  <c r="Q328" i="13" s="1"/>
  <c r="K321" i="17"/>
  <c r="N321" i="17"/>
  <c r="J308" i="14"/>
  <c r="Q308" i="14" s="1"/>
  <c r="P308" i="14" s="1"/>
  <c r="R308" i="14" s="1"/>
  <c r="T308" i="14" s="1"/>
  <c r="M309" i="14" s="1"/>
  <c r="J321" i="17" l="1"/>
  <c r="P328" i="13"/>
  <c r="R328" i="13" s="1"/>
  <c r="T328" i="13" s="1"/>
  <c r="M329" i="13" s="1"/>
  <c r="O308" i="14"/>
  <c r="S308" i="14" s="1"/>
  <c r="L309" i="14" s="1"/>
  <c r="Q321" i="17" l="1"/>
  <c r="P321" i="17" s="1"/>
  <c r="R321" i="17" s="1"/>
  <c r="T321" i="17" s="1"/>
  <c r="M322" i="17" s="1"/>
  <c r="O328" i="13"/>
  <c r="S328" i="13" s="1"/>
  <c r="L329" i="13" s="1"/>
  <c r="K309" i="14"/>
  <c r="N309" i="14"/>
  <c r="O321" i="17" l="1"/>
  <c r="S321" i="17" s="1"/>
  <c r="L322" i="17" s="1"/>
  <c r="N322" i="17" s="1"/>
  <c r="J309" i="14"/>
  <c r="Q309" i="14" s="1"/>
  <c r="P309" i="14" s="1"/>
  <c r="R309" i="14" s="1"/>
  <c r="T309" i="14" s="1"/>
  <c r="M310" i="14" s="1"/>
  <c r="K329" i="13"/>
  <c r="N329" i="13"/>
  <c r="K322" i="17" l="1"/>
  <c r="J322" i="17" s="1"/>
  <c r="Q322" i="17" s="1"/>
  <c r="P322" i="17" s="1"/>
  <c r="R322" i="17" s="1"/>
  <c r="T322" i="17" s="1"/>
  <c r="M323" i="17" s="1"/>
  <c r="J329" i="13"/>
  <c r="O309" i="14"/>
  <c r="S309" i="14" s="1"/>
  <c r="L310" i="14" s="1"/>
  <c r="O322" i="17" l="1"/>
  <c r="S322" i="17" s="1"/>
  <c r="L323" i="17" s="1"/>
  <c r="N323" i="17" s="1"/>
  <c r="Q329" i="13"/>
  <c r="P329" i="13" s="1"/>
  <c r="R329" i="13" s="1"/>
  <c r="T329" i="13" s="1"/>
  <c r="M330" i="13" s="1"/>
  <c r="N310" i="14"/>
  <c r="K310" i="14"/>
  <c r="K323" i="17" l="1"/>
  <c r="J323" i="17" s="1"/>
  <c r="Q323" i="17" s="1"/>
  <c r="J310" i="14"/>
  <c r="Q310" i="14" s="1"/>
  <c r="P310" i="14" s="1"/>
  <c r="R310" i="14" s="1"/>
  <c r="T310" i="14" s="1"/>
  <c r="M311" i="14" s="1"/>
  <c r="O329" i="13"/>
  <c r="S329" i="13" s="1"/>
  <c r="L330" i="13" s="1"/>
  <c r="N330" i="13" s="1"/>
  <c r="K330" i="13" l="1"/>
  <c r="J330" i="13" s="1"/>
  <c r="Q330" i="13" s="1"/>
  <c r="P330" i="13" s="1"/>
  <c r="R330" i="13" s="1"/>
  <c r="T330" i="13" s="1"/>
  <c r="M331" i="13" s="1"/>
  <c r="P323" i="17"/>
  <c r="R323" i="17" s="1"/>
  <c r="T323" i="17" s="1"/>
  <c r="M324" i="17" s="1"/>
  <c r="O310" i="14"/>
  <c r="S310" i="14" s="1"/>
  <c r="L311" i="14" s="1"/>
  <c r="O330" i="13" l="1"/>
  <c r="S330" i="13" s="1"/>
  <c r="L331" i="13" s="1"/>
  <c r="K331" i="13" s="1"/>
  <c r="O323" i="17"/>
  <c r="S323" i="17" s="1"/>
  <c r="L324" i="17" s="1"/>
  <c r="N311" i="14"/>
  <c r="K311" i="14"/>
  <c r="J311" i="14" l="1"/>
  <c r="Q311" i="14" s="1"/>
  <c r="P311" i="14" s="1"/>
  <c r="N331" i="13"/>
  <c r="J331" i="13" s="1"/>
  <c r="K324" i="17"/>
  <c r="N324" i="17"/>
  <c r="D8" i="14" l="1"/>
  <c r="Q331" i="13"/>
  <c r="P331" i="13" s="1"/>
  <c r="R331" i="13" s="1"/>
  <c r="T331" i="13" s="1"/>
  <c r="M332" i="13" s="1"/>
  <c r="J324" i="17"/>
  <c r="O311" i="14"/>
  <c r="S311" i="14" s="1"/>
  <c r="R311" i="14"/>
  <c r="T311" i="14" s="1"/>
  <c r="Q324" i="17" l="1"/>
  <c r="P324" i="17" s="1"/>
  <c r="R324" i="17" s="1"/>
  <c r="T324" i="17" s="1"/>
  <c r="M325" i="17" s="1"/>
  <c r="O331" i="13"/>
  <c r="S331" i="13" s="1"/>
  <c r="L332" i="13" s="1"/>
  <c r="O324" i="17" l="1"/>
  <c r="S324" i="17" s="1"/>
  <c r="L325" i="17" s="1"/>
  <c r="K325" i="17" s="1"/>
  <c r="K332" i="13"/>
  <c r="N332" i="13"/>
  <c r="N325" i="17" l="1"/>
  <c r="J325" i="17" s="1"/>
  <c r="Q325" i="17" s="1"/>
  <c r="P325" i="17" s="1"/>
  <c r="R325" i="17" s="1"/>
  <c r="T325" i="17" s="1"/>
  <c r="M326" i="17" s="1"/>
  <c r="J332" i="13"/>
  <c r="Q332" i="13" l="1"/>
  <c r="P332" i="13" s="1"/>
  <c r="R332" i="13" s="1"/>
  <c r="T332" i="13" s="1"/>
  <c r="M333" i="13" s="1"/>
  <c r="O325" i="17"/>
  <c r="S325" i="17" s="1"/>
  <c r="L326" i="17" s="1"/>
  <c r="K326" i="17" l="1"/>
  <c r="N326" i="17"/>
  <c r="O332" i="13"/>
  <c r="S332" i="13" s="1"/>
  <c r="L333" i="13" s="1"/>
  <c r="K333" i="13" l="1"/>
  <c r="N333" i="13"/>
  <c r="J326" i="17"/>
  <c r="J333" i="13" l="1"/>
  <c r="Q333" i="13" s="1"/>
  <c r="P333" i="13" s="1"/>
  <c r="R333" i="13" s="1"/>
  <c r="T333" i="13" s="1"/>
  <c r="M334" i="13" s="1"/>
  <c r="Q326" i="17"/>
  <c r="P326" i="17" s="1"/>
  <c r="R326" i="17" l="1"/>
  <c r="T326" i="17" s="1"/>
  <c r="M327" i="17" s="1"/>
  <c r="O326" i="17"/>
  <c r="S326" i="17" s="1"/>
  <c r="L327" i="17" s="1"/>
  <c r="N327" i="17" s="1"/>
  <c r="O333" i="13"/>
  <c r="S333" i="13" s="1"/>
  <c r="L334" i="13" s="1"/>
  <c r="K334" i="13" s="1"/>
  <c r="K327" i="17" l="1"/>
  <c r="J327" i="17" s="1"/>
  <c r="N334" i="13"/>
  <c r="J334" i="13" s="1"/>
  <c r="Q327" i="17" l="1"/>
  <c r="P327" i="17" s="1"/>
  <c r="R327" i="17" s="1"/>
  <c r="T327" i="17" s="1"/>
  <c r="M328" i="17" s="1"/>
  <c r="Q334" i="13"/>
  <c r="P334" i="13" l="1"/>
  <c r="R334" i="13" s="1"/>
  <c r="T334" i="13" s="1"/>
  <c r="M335" i="13" s="1"/>
  <c r="O327" i="17"/>
  <c r="S327" i="17" s="1"/>
  <c r="L328" i="17" s="1"/>
  <c r="N328" i="17" l="1"/>
  <c r="K328" i="17"/>
  <c r="O334" i="13"/>
  <c r="S334" i="13" s="1"/>
  <c r="L335" i="13" s="1"/>
  <c r="J328" i="17" l="1"/>
  <c r="Q328" i="17" s="1"/>
  <c r="P328" i="17" s="1"/>
  <c r="O328" i="17" s="1"/>
  <c r="S328" i="17" s="1"/>
  <c r="L329" i="17" s="1"/>
  <c r="N335" i="13"/>
  <c r="K335" i="13"/>
  <c r="J335" i="13" l="1"/>
  <c r="Q335" i="13" s="1"/>
  <c r="P335" i="13" s="1"/>
  <c r="O335" i="13" s="1"/>
  <c r="S335" i="13" s="1"/>
  <c r="L336" i="13" s="1"/>
  <c r="R328" i="17"/>
  <c r="T328" i="17" s="1"/>
  <c r="M329" i="17" s="1"/>
  <c r="K329" i="17" s="1"/>
  <c r="N329" i="17"/>
  <c r="J329" i="17" l="1"/>
  <c r="Q329" i="17" s="1"/>
  <c r="P329" i="17" s="1"/>
  <c r="R329" i="17" s="1"/>
  <c r="T329" i="17" s="1"/>
  <c r="M330" i="17" s="1"/>
  <c r="R335" i="13"/>
  <c r="T335" i="13" s="1"/>
  <c r="M336" i="13" s="1"/>
  <c r="K336" i="13" s="1"/>
  <c r="N336" i="13"/>
  <c r="J336" i="13" l="1"/>
  <c r="Q336" i="13" s="1"/>
  <c r="O329" i="17"/>
  <c r="S329" i="17" s="1"/>
  <c r="L330" i="17" s="1"/>
  <c r="P336" i="13" l="1"/>
  <c r="K330" i="17"/>
  <c r="N330" i="17"/>
  <c r="O336" i="13" l="1"/>
  <c r="S336" i="13" s="1"/>
  <c r="L337" i="13" s="1"/>
  <c r="R336" i="13"/>
  <c r="T336" i="13" s="1"/>
  <c r="M337" i="13" s="1"/>
  <c r="J330" i="17"/>
  <c r="N337" i="13" l="1"/>
  <c r="K337" i="13"/>
  <c r="Q330" i="17"/>
  <c r="P330" i="17" s="1"/>
  <c r="R330" i="17" s="1"/>
  <c r="T330" i="17" s="1"/>
  <c r="M331" i="17" s="1"/>
  <c r="J337" i="13" l="1"/>
  <c r="Q337" i="13" s="1"/>
  <c r="P337" i="13" s="1"/>
  <c r="R337" i="13" s="1"/>
  <c r="T337" i="13" s="1"/>
  <c r="M338" i="13" s="1"/>
  <c r="O330" i="17"/>
  <c r="S330" i="17" s="1"/>
  <c r="L331" i="17" s="1"/>
  <c r="N331" i="17" s="1"/>
  <c r="K331" i="17" l="1"/>
  <c r="J331" i="17" s="1"/>
  <c r="Q331" i="17" s="1"/>
  <c r="O337" i="13"/>
  <c r="S337" i="13" s="1"/>
  <c r="L338" i="13" s="1"/>
  <c r="N338" i="13" s="1"/>
  <c r="K338" i="13" l="1"/>
  <c r="J338" i="13" s="1"/>
  <c r="Q338" i="13" s="1"/>
  <c r="P331" i="17"/>
  <c r="R331" i="17" s="1"/>
  <c r="T331" i="17" s="1"/>
  <c r="M332" i="17" s="1"/>
  <c r="P338" i="13" l="1"/>
  <c r="R338" i="13" s="1"/>
  <c r="T338" i="13" s="1"/>
  <c r="M339" i="13" s="1"/>
  <c r="O331" i="17"/>
  <c r="S331" i="17" s="1"/>
  <c r="L332" i="17" s="1"/>
  <c r="O338" i="13" l="1"/>
  <c r="S338" i="13" s="1"/>
  <c r="L339" i="13" s="1"/>
  <c r="K339" i="13" s="1"/>
  <c r="K332" i="17"/>
  <c r="N332" i="17"/>
  <c r="N339" i="13" l="1"/>
  <c r="J339" i="13" s="1"/>
  <c r="J332" i="17"/>
  <c r="Q339" i="13" l="1"/>
  <c r="P339" i="13" s="1"/>
  <c r="R339" i="13" s="1"/>
  <c r="T339" i="13" s="1"/>
  <c r="M340" i="13" s="1"/>
  <c r="Q332" i="17"/>
  <c r="P332" i="17" s="1"/>
  <c r="O339" i="13" l="1"/>
  <c r="S339" i="13" s="1"/>
  <c r="L340" i="13" s="1"/>
  <c r="K340" i="13" s="1"/>
  <c r="O332" i="17"/>
  <c r="S332" i="17" s="1"/>
  <c r="L333" i="17" s="1"/>
  <c r="R332" i="17"/>
  <c r="T332" i="17" s="1"/>
  <c r="M333" i="17" s="1"/>
  <c r="N340" i="13" l="1"/>
  <c r="J340" i="13" s="1"/>
  <c r="Q340" i="13" s="1"/>
  <c r="P340" i="13" s="1"/>
  <c r="R340" i="13" s="1"/>
  <c r="T340" i="13" s="1"/>
  <c r="M341" i="13" s="1"/>
  <c r="N333" i="17"/>
  <c r="K333" i="17"/>
  <c r="O340" i="13" l="1"/>
  <c r="S340" i="13" s="1"/>
  <c r="L341" i="13" s="1"/>
  <c r="K341" i="13" s="1"/>
  <c r="J333" i="17"/>
  <c r="Q333" i="17" s="1"/>
  <c r="N341" i="13" l="1"/>
  <c r="J341" i="13" s="1"/>
  <c r="P333" i="17"/>
  <c r="R333" i="17" s="1"/>
  <c r="T333" i="17" s="1"/>
  <c r="M334" i="17" s="1"/>
  <c r="O333" i="17" l="1"/>
  <c r="S333" i="17" s="1"/>
  <c r="L334" i="17" s="1"/>
  <c r="N334" i="17" s="1"/>
  <c r="Q341" i="13"/>
  <c r="P341" i="13" s="1"/>
  <c r="K334" i="17" l="1"/>
  <c r="J334" i="17" s="1"/>
  <c r="R341" i="13"/>
  <c r="T341" i="13" s="1"/>
  <c r="M342" i="13" s="1"/>
  <c r="O341" i="13"/>
  <c r="S341" i="13" s="1"/>
  <c r="L342" i="13" s="1"/>
  <c r="K342" i="13" l="1"/>
  <c r="N342" i="13"/>
  <c r="Q334" i="17"/>
  <c r="P334" i="17" s="1"/>
  <c r="R334" i="17" s="1"/>
  <c r="T334" i="17" s="1"/>
  <c r="M335" i="17" s="1"/>
  <c r="J342" i="13" l="1"/>
  <c r="Q342" i="13" s="1"/>
  <c r="P342" i="13" s="1"/>
  <c r="R342" i="13" s="1"/>
  <c r="T342" i="13" s="1"/>
  <c r="M343" i="13" s="1"/>
  <c r="O334" i="17"/>
  <c r="S334" i="17" s="1"/>
  <c r="L335" i="17" s="1"/>
  <c r="K335" i="17" l="1"/>
  <c r="N335" i="17"/>
  <c r="O342" i="13"/>
  <c r="S342" i="13" s="1"/>
  <c r="L343" i="13" s="1"/>
  <c r="J335" i="17" l="1"/>
  <c r="K343" i="13"/>
  <c r="N343" i="13"/>
  <c r="J343" i="13" l="1"/>
  <c r="Q343" i="13" s="1"/>
  <c r="Q335" i="17"/>
  <c r="P335" i="17" s="1"/>
  <c r="R335" i="17" s="1"/>
  <c r="T335" i="17" s="1"/>
  <c r="M336" i="17" s="1"/>
  <c r="O335" i="17" l="1"/>
  <c r="S335" i="17" s="1"/>
  <c r="L336" i="17" s="1"/>
  <c r="K336" i="17" s="1"/>
  <c r="P343" i="13"/>
  <c r="R343" i="13" s="1"/>
  <c r="T343" i="13" s="1"/>
  <c r="M344" i="13" s="1"/>
  <c r="N336" i="17" l="1"/>
  <c r="J336" i="17" s="1"/>
  <c r="Q336" i="17" s="1"/>
  <c r="O343" i="13"/>
  <c r="S343" i="13" s="1"/>
  <c r="L344" i="13" s="1"/>
  <c r="K344" i="13" l="1"/>
  <c r="N344" i="13"/>
  <c r="P336" i="17"/>
  <c r="R336" i="17" s="1"/>
  <c r="T336" i="17" s="1"/>
  <c r="M337" i="17" s="1"/>
  <c r="J344" i="13" l="1"/>
  <c r="Q344" i="13" s="1"/>
  <c r="O336" i="17"/>
  <c r="S336" i="17" s="1"/>
  <c r="L337" i="17" s="1"/>
  <c r="P344" i="13" l="1"/>
  <c r="R344" i="13" s="1"/>
  <c r="T344" i="13" s="1"/>
  <c r="M345" i="13" s="1"/>
  <c r="N337" i="17"/>
  <c r="K337" i="17"/>
  <c r="J337" i="17" l="1"/>
  <c r="Q337" i="17" s="1"/>
  <c r="O344" i="13"/>
  <c r="S344" i="13" s="1"/>
  <c r="L345" i="13" s="1"/>
  <c r="K345" i="13" s="1"/>
  <c r="N345" i="13" l="1"/>
  <c r="J345" i="13" s="1"/>
  <c r="Q345" i="13" s="1"/>
  <c r="P337" i="17"/>
  <c r="R337" i="17" s="1"/>
  <c r="T337" i="17" s="1"/>
  <c r="M338" i="17" s="1"/>
  <c r="O337" i="17" l="1"/>
  <c r="S337" i="17" s="1"/>
  <c r="L338" i="17" s="1"/>
  <c r="P345" i="13"/>
  <c r="R345" i="13" s="1"/>
  <c r="T345" i="13" s="1"/>
  <c r="M346" i="13" s="1"/>
  <c r="K338" i="17" l="1"/>
  <c r="N338" i="17"/>
  <c r="O345" i="13"/>
  <c r="S345" i="13" s="1"/>
  <c r="L346" i="13" s="1"/>
  <c r="J338" i="17" l="1"/>
  <c r="N346" i="13"/>
  <c r="K346" i="13"/>
  <c r="J346" i="13" l="1"/>
  <c r="Q346" i="13" s="1"/>
  <c r="Q338" i="17"/>
  <c r="P338" i="17" s="1"/>
  <c r="R338" i="17" s="1"/>
  <c r="T338" i="17" s="1"/>
  <c r="M339" i="17" s="1"/>
  <c r="O338" i="17" l="1"/>
  <c r="S338" i="17" s="1"/>
  <c r="L339" i="17" s="1"/>
  <c r="P346" i="13"/>
  <c r="R346" i="13" s="1"/>
  <c r="T346" i="13" s="1"/>
  <c r="M347" i="13" s="1"/>
  <c r="K339" i="17" l="1"/>
  <c r="N339" i="17"/>
  <c r="O346" i="13"/>
  <c r="S346" i="13" s="1"/>
  <c r="L347" i="13" s="1"/>
  <c r="J339" i="17" l="1"/>
  <c r="N347" i="13"/>
  <c r="K347" i="13"/>
  <c r="J347" i="13" l="1"/>
  <c r="Q347" i="13" s="1"/>
  <c r="P347" i="13" s="1"/>
  <c r="Q339" i="17"/>
  <c r="P339" i="17" s="1"/>
  <c r="R339" i="17" s="1"/>
  <c r="T339" i="17" s="1"/>
  <c r="M340" i="17" s="1"/>
  <c r="O339" i="17" l="1"/>
  <c r="S339" i="17" s="1"/>
  <c r="L340" i="17" s="1"/>
  <c r="N340" i="17" s="1"/>
  <c r="O347" i="13"/>
  <c r="S347" i="13" s="1"/>
  <c r="L348" i="13" s="1"/>
  <c r="N348" i="13" s="1"/>
  <c r="R347" i="13"/>
  <c r="T347" i="13" s="1"/>
  <c r="M348" i="13" s="1"/>
  <c r="K348" i="13" l="1"/>
  <c r="J348" i="13" s="1"/>
  <c r="Q348" i="13" s="1"/>
  <c r="P348" i="13" s="1"/>
  <c r="R348" i="13" s="1"/>
  <c r="T348" i="13" s="1"/>
  <c r="M349" i="13" s="1"/>
  <c r="K340" i="17"/>
  <c r="J340" i="17" s="1"/>
  <c r="Q340" i="17" s="1"/>
  <c r="P340" i="17" s="1"/>
  <c r="R340" i="17" s="1"/>
  <c r="T340" i="17" s="1"/>
  <c r="M341" i="17" s="1"/>
  <c r="O348" i="13" l="1"/>
  <c r="S348" i="13" s="1"/>
  <c r="L349" i="13" s="1"/>
  <c r="N349" i="13" s="1"/>
  <c r="O340" i="17"/>
  <c r="S340" i="17" s="1"/>
  <c r="L341" i="17" s="1"/>
  <c r="K349" i="13" l="1"/>
  <c r="J349" i="13" s="1"/>
  <c r="Q349" i="13" s="1"/>
  <c r="P349" i="13" s="1"/>
  <c r="R349" i="13" s="1"/>
  <c r="T349" i="13" s="1"/>
  <c r="M350" i="13" s="1"/>
  <c r="K341" i="17"/>
  <c r="N341" i="17"/>
  <c r="J341" i="17" l="1"/>
  <c r="Q341" i="17" s="1"/>
  <c r="P341" i="17" s="1"/>
  <c r="R341" i="17" s="1"/>
  <c r="T341" i="17" s="1"/>
  <c r="M342" i="17" s="1"/>
  <c r="O349" i="13"/>
  <c r="S349" i="13" s="1"/>
  <c r="L350" i="13" s="1"/>
  <c r="O341" i="17" l="1"/>
  <c r="S341" i="17" s="1"/>
  <c r="L342" i="17" s="1"/>
  <c r="N342" i="17" s="1"/>
  <c r="N350" i="13"/>
  <c r="K350" i="13"/>
  <c r="J350" i="13" l="1"/>
  <c r="Q350" i="13" s="1"/>
  <c r="P350" i="13" s="1"/>
  <c r="K342" i="17"/>
  <c r="J342" i="17" s="1"/>
  <c r="Q342" i="17" s="1"/>
  <c r="P342" i="17" l="1"/>
  <c r="R342" i="17" s="1"/>
  <c r="T342" i="17" s="1"/>
  <c r="M343" i="17" s="1"/>
  <c r="O350" i="13"/>
  <c r="S350" i="13" s="1"/>
  <c r="L351" i="13" s="1"/>
  <c r="N351" i="13" s="1"/>
  <c r="R350" i="13"/>
  <c r="T350" i="13" s="1"/>
  <c r="M351" i="13" s="1"/>
  <c r="O342" i="17" l="1"/>
  <c r="S342" i="17" s="1"/>
  <c r="L343" i="17" s="1"/>
  <c r="K343" i="17" s="1"/>
  <c r="K351" i="13"/>
  <c r="J351" i="13" s="1"/>
  <c r="N343" i="17" l="1"/>
  <c r="J343" i="17" s="1"/>
  <c r="Q343" i="17" s="1"/>
  <c r="P343" i="17" s="1"/>
  <c r="R343" i="17" s="1"/>
  <c r="T343" i="17" s="1"/>
  <c r="M344" i="17" s="1"/>
  <c r="Q351" i="13"/>
  <c r="O343" i="17" l="1"/>
  <c r="S343" i="17" s="1"/>
  <c r="L344" i="17" s="1"/>
  <c r="K344" i="17" s="1"/>
  <c r="P351" i="13"/>
  <c r="R351" i="13" s="1"/>
  <c r="T351" i="13" s="1"/>
  <c r="M352" i="13" s="1"/>
  <c r="N344" i="17" l="1"/>
  <c r="J344" i="17" s="1"/>
  <c r="O351" i="13"/>
  <c r="S351" i="13" s="1"/>
  <c r="L352" i="13" s="1"/>
  <c r="Q344" i="17" l="1"/>
  <c r="P344" i="17" s="1"/>
  <c r="R344" i="17" s="1"/>
  <c r="T344" i="17" s="1"/>
  <c r="M345" i="17" s="1"/>
  <c r="K352" i="13"/>
  <c r="N352" i="13"/>
  <c r="O344" i="17" l="1"/>
  <c r="S344" i="17" s="1"/>
  <c r="L345" i="17" s="1"/>
  <c r="N345" i="17" s="1"/>
  <c r="J352" i="13"/>
  <c r="K345" i="17" l="1"/>
  <c r="J345" i="17" s="1"/>
  <c r="Q345" i="17" s="1"/>
  <c r="Q352" i="13"/>
  <c r="P352" i="13" s="1"/>
  <c r="R352" i="13" s="1"/>
  <c r="T352" i="13" s="1"/>
  <c r="M353" i="13" s="1"/>
  <c r="P345" i="17" l="1"/>
  <c r="R345" i="17" s="1"/>
  <c r="T345" i="17" s="1"/>
  <c r="M346" i="17" s="1"/>
  <c r="O352" i="13"/>
  <c r="S352" i="13" s="1"/>
  <c r="L353" i="13" s="1"/>
  <c r="K353" i="13" s="1"/>
  <c r="O345" i="17" l="1"/>
  <c r="S345" i="17" s="1"/>
  <c r="L346" i="17" s="1"/>
  <c r="K346" i="17" s="1"/>
  <c r="N353" i="13"/>
  <c r="J353" i="13" s="1"/>
  <c r="N346" i="17" l="1"/>
  <c r="J346" i="17" s="1"/>
  <c r="Q353" i="13"/>
  <c r="P353" i="13" s="1"/>
  <c r="R353" i="13" s="1"/>
  <c r="T353" i="13" s="1"/>
  <c r="M354" i="13" s="1"/>
  <c r="O353" i="13" l="1"/>
  <c r="S353" i="13" s="1"/>
  <c r="L354" i="13" s="1"/>
  <c r="K354" i="13" s="1"/>
  <c r="Q346" i="17"/>
  <c r="P346" i="17" s="1"/>
  <c r="N354" i="13" l="1"/>
  <c r="J354" i="13" s="1"/>
  <c r="O346" i="17"/>
  <c r="S346" i="17" s="1"/>
  <c r="L347" i="17" s="1"/>
  <c r="R346" i="17"/>
  <c r="T346" i="17" s="1"/>
  <c r="M347" i="17" s="1"/>
  <c r="N347" i="17" l="1"/>
  <c r="K347" i="17"/>
  <c r="Q354" i="13"/>
  <c r="P354" i="13" s="1"/>
  <c r="R354" i="13" s="1"/>
  <c r="T354" i="13" s="1"/>
  <c r="M355" i="13" s="1"/>
  <c r="J347" i="17" l="1"/>
  <c r="Q347" i="17" s="1"/>
  <c r="P347" i="17" s="1"/>
  <c r="R347" i="17" s="1"/>
  <c r="T347" i="17" s="1"/>
  <c r="M348" i="17" s="1"/>
  <c r="O354" i="13"/>
  <c r="S354" i="13" s="1"/>
  <c r="L355" i="13" s="1"/>
  <c r="K355" i="13" s="1"/>
  <c r="N355" i="13" l="1"/>
  <c r="J355" i="13" s="1"/>
  <c r="Q355" i="13" s="1"/>
  <c r="P355" i="13" s="1"/>
  <c r="R355" i="13" s="1"/>
  <c r="T355" i="13" s="1"/>
  <c r="M356" i="13" s="1"/>
  <c r="O347" i="17"/>
  <c r="S347" i="17" s="1"/>
  <c r="L348" i="17" s="1"/>
  <c r="O355" i="13" l="1"/>
  <c r="S355" i="13" s="1"/>
  <c r="L356" i="13" s="1"/>
  <c r="N356" i="13" s="1"/>
  <c r="K348" i="17"/>
  <c r="N348" i="17"/>
  <c r="K356" i="13" l="1"/>
  <c r="J356" i="13" s="1"/>
  <c r="Q356" i="13" s="1"/>
  <c r="P356" i="13" s="1"/>
  <c r="O356" i="13" s="1"/>
  <c r="S356" i="13" s="1"/>
  <c r="L357" i="13" s="1"/>
  <c r="J348" i="17"/>
  <c r="R356" i="13" l="1"/>
  <c r="T356" i="13" s="1"/>
  <c r="M357" i="13" s="1"/>
  <c r="K357" i="13" s="1"/>
  <c r="Q348" i="17"/>
  <c r="P348" i="17" s="1"/>
  <c r="R348" i="17" s="1"/>
  <c r="T348" i="17" s="1"/>
  <c r="M349" i="17" s="1"/>
  <c r="N357" i="13"/>
  <c r="O348" i="17" l="1"/>
  <c r="S348" i="17" s="1"/>
  <c r="L349" i="17" s="1"/>
  <c r="K349" i="17" s="1"/>
  <c r="J357" i="13"/>
  <c r="N349" i="17" l="1"/>
  <c r="J349" i="17" s="1"/>
  <c r="Q357" i="13"/>
  <c r="P357" i="13" s="1"/>
  <c r="R357" i="13" s="1"/>
  <c r="T357" i="13" s="1"/>
  <c r="M358" i="13" s="1"/>
  <c r="Q349" i="17" l="1"/>
  <c r="P349" i="17" s="1"/>
  <c r="R349" i="17" s="1"/>
  <c r="T349" i="17" s="1"/>
  <c r="M350" i="17" s="1"/>
  <c r="O357" i="13"/>
  <c r="S357" i="13" s="1"/>
  <c r="L358" i="13" s="1"/>
  <c r="O349" i="17" l="1"/>
  <c r="S349" i="17" s="1"/>
  <c r="L350" i="17" s="1"/>
  <c r="K350" i="17" s="1"/>
  <c r="N358" i="13"/>
  <c r="K358" i="13"/>
  <c r="N350" i="17" l="1"/>
  <c r="J350" i="17" s="1"/>
  <c r="J358" i="13"/>
  <c r="Q358" i="13" s="1"/>
  <c r="P358" i="13" s="1"/>
  <c r="Q350" i="17" l="1"/>
  <c r="P350" i="17" s="1"/>
  <c r="R350" i="17" s="1"/>
  <c r="T350" i="17" s="1"/>
  <c r="M351" i="17" s="1"/>
  <c r="O358" i="13"/>
  <c r="S358" i="13" s="1"/>
  <c r="L359" i="13" s="1"/>
  <c r="R358" i="13"/>
  <c r="T358" i="13" s="1"/>
  <c r="M359" i="13" s="1"/>
  <c r="O350" i="17" l="1"/>
  <c r="S350" i="17" s="1"/>
  <c r="L351" i="17" s="1"/>
  <c r="N351" i="17" s="1"/>
  <c r="N359" i="13"/>
  <c r="K359" i="13"/>
  <c r="J359" i="13" l="1"/>
  <c r="Q359" i="13" s="1"/>
  <c r="P359" i="13" s="1"/>
  <c r="R359" i="13" s="1"/>
  <c r="T359" i="13" s="1"/>
  <c r="M360" i="13" s="1"/>
  <c r="K351" i="17"/>
  <c r="J351" i="17" s="1"/>
  <c r="Q351" i="17" s="1"/>
  <c r="P351" i="17" s="1"/>
  <c r="R351" i="17" s="1"/>
  <c r="T351" i="17" s="1"/>
  <c r="M352" i="17" s="1"/>
  <c r="O351" i="17" l="1"/>
  <c r="S351" i="17" s="1"/>
  <c r="L352" i="17" s="1"/>
  <c r="K352" i="17" s="1"/>
  <c r="O359" i="13"/>
  <c r="S359" i="13" s="1"/>
  <c r="L360" i="13" s="1"/>
  <c r="K360" i="13" s="1"/>
  <c r="N352" i="17" l="1"/>
  <c r="J352" i="17" s="1"/>
  <c r="N360" i="13"/>
  <c r="J360" i="13" s="1"/>
  <c r="Q352" i="17" l="1"/>
  <c r="P352" i="17" s="1"/>
  <c r="R352" i="17" s="1"/>
  <c r="T352" i="17" s="1"/>
  <c r="M353" i="17" s="1"/>
  <c r="Q360" i="13"/>
  <c r="P360" i="13" s="1"/>
  <c r="R360" i="13" s="1"/>
  <c r="T360" i="13" s="1"/>
  <c r="M361" i="13" s="1"/>
  <c r="O352" i="17" l="1"/>
  <c r="S352" i="17" s="1"/>
  <c r="L353" i="17" s="1"/>
  <c r="K353" i="17" s="1"/>
  <c r="O360" i="13"/>
  <c r="S360" i="13" s="1"/>
  <c r="L361" i="13" s="1"/>
  <c r="N353" i="17" l="1"/>
  <c r="J353" i="17" s="1"/>
  <c r="K361" i="13"/>
  <c r="N361" i="13"/>
  <c r="Q353" i="17" l="1"/>
  <c r="P353" i="17" s="1"/>
  <c r="R353" i="17" s="1"/>
  <c r="T353" i="17" s="1"/>
  <c r="M354" i="17" s="1"/>
  <c r="J361" i="13"/>
  <c r="O353" i="17" l="1"/>
  <c r="S353" i="17" s="1"/>
  <c r="L354" i="17" s="1"/>
  <c r="Q361" i="13"/>
  <c r="P361" i="13" s="1"/>
  <c r="R361" i="13" s="1"/>
  <c r="T361" i="13" s="1"/>
  <c r="M362" i="13" s="1"/>
  <c r="O361" i="13" l="1"/>
  <c r="S361" i="13" s="1"/>
  <c r="L362" i="13" s="1"/>
  <c r="K362" i="13" s="1"/>
  <c r="K354" i="17"/>
  <c r="N354" i="17"/>
  <c r="N362" i="13" l="1"/>
  <c r="J362" i="13" s="1"/>
  <c r="Q362" i="13" s="1"/>
  <c r="P362" i="13" s="1"/>
  <c r="R362" i="13" s="1"/>
  <c r="T362" i="13" s="1"/>
  <c r="M363" i="13" s="1"/>
  <c r="J354" i="17"/>
  <c r="O362" i="13" l="1"/>
  <c r="S362" i="13" s="1"/>
  <c r="L363" i="13" s="1"/>
  <c r="N363" i="13" s="1"/>
  <c r="Q354" i="17"/>
  <c r="P354" i="17" s="1"/>
  <c r="R354" i="17" s="1"/>
  <c r="T354" i="17" s="1"/>
  <c r="M355" i="17" s="1"/>
  <c r="K363" i="13" l="1"/>
  <c r="J363" i="13" s="1"/>
  <c r="O354" i="17"/>
  <c r="S354" i="17" s="1"/>
  <c r="L355" i="17" s="1"/>
  <c r="K355" i="17" l="1"/>
  <c r="N355" i="17"/>
  <c r="Q363" i="13"/>
  <c r="P363" i="13" s="1"/>
  <c r="R363" i="13" s="1"/>
  <c r="T363" i="13" s="1"/>
  <c r="M364" i="13" s="1"/>
  <c r="O363" i="13" l="1"/>
  <c r="S363" i="13" s="1"/>
  <c r="L364" i="13" s="1"/>
  <c r="K364" i="13" s="1"/>
  <c r="J355" i="17"/>
  <c r="N364" i="13" l="1"/>
  <c r="J364" i="13" s="1"/>
  <c r="Q364" i="13" s="1"/>
  <c r="P364" i="13" s="1"/>
  <c r="R364" i="13" s="1"/>
  <c r="T364" i="13" s="1"/>
  <c r="M365" i="13" s="1"/>
  <c r="Q355" i="17"/>
  <c r="P355" i="17" s="1"/>
  <c r="R355" i="17" s="1"/>
  <c r="T355" i="17" s="1"/>
  <c r="M356" i="17" s="1"/>
  <c r="O355" i="17" l="1"/>
  <c r="S355" i="17" s="1"/>
  <c r="L356" i="17" s="1"/>
  <c r="N356" i="17" s="1"/>
  <c r="O364" i="13"/>
  <c r="S364" i="13" s="1"/>
  <c r="L365" i="13" s="1"/>
  <c r="N365" i="13" s="1"/>
  <c r="K365" i="13" l="1"/>
  <c r="J365" i="13" s="1"/>
  <c r="Q365" i="13" s="1"/>
  <c r="P365" i="13" s="1"/>
  <c r="R365" i="13" s="1"/>
  <c r="T365" i="13" s="1"/>
  <c r="M366" i="13" s="1"/>
  <c r="K356" i="17"/>
  <c r="J356" i="17" s="1"/>
  <c r="Q356" i="17" s="1"/>
  <c r="P356" i="17" s="1"/>
  <c r="R356" i="17" s="1"/>
  <c r="T356" i="17" s="1"/>
  <c r="M357" i="17" s="1"/>
  <c r="O365" i="13" l="1"/>
  <c r="S365" i="13" s="1"/>
  <c r="L366" i="13" s="1"/>
  <c r="N366" i="13" s="1"/>
  <c r="O356" i="17"/>
  <c r="S356" i="17" s="1"/>
  <c r="L357" i="17" s="1"/>
  <c r="K366" i="13" l="1"/>
  <c r="J366" i="13" s="1"/>
  <c r="Q366" i="13" s="1"/>
  <c r="K357" i="17"/>
  <c r="N357" i="17"/>
  <c r="J357" i="17" l="1"/>
  <c r="P366" i="13"/>
  <c r="R366" i="13" s="1"/>
  <c r="T366" i="13" s="1"/>
  <c r="M367" i="13" s="1"/>
  <c r="Q357" i="17" l="1"/>
  <c r="P357" i="17" s="1"/>
  <c r="R357" i="17" s="1"/>
  <c r="T357" i="17" s="1"/>
  <c r="M358" i="17" s="1"/>
  <c r="O366" i="13"/>
  <c r="S366" i="13" s="1"/>
  <c r="L367" i="13" s="1"/>
  <c r="O357" i="17" l="1"/>
  <c r="S357" i="17" s="1"/>
  <c r="L358" i="17" s="1"/>
  <c r="N358" i="17" s="1"/>
  <c r="N367" i="13"/>
  <c r="K367" i="13"/>
  <c r="J367" i="13" l="1"/>
  <c r="Q367" i="13" s="1"/>
  <c r="P367" i="13" s="1"/>
  <c r="O367" i="13" s="1"/>
  <c r="S367" i="13" s="1"/>
  <c r="L368" i="13" s="1"/>
  <c r="K358" i="17"/>
  <c r="J358" i="17" s="1"/>
  <c r="Q358" i="17" s="1"/>
  <c r="P358" i="17" s="1"/>
  <c r="R358" i="17" s="1"/>
  <c r="T358" i="17" s="1"/>
  <c r="M359" i="17" s="1"/>
  <c r="O358" i="17" l="1"/>
  <c r="S358" i="17" s="1"/>
  <c r="L359" i="17" s="1"/>
  <c r="K359" i="17" s="1"/>
  <c r="N368" i="13"/>
  <c r="R367" i="13"/>
  <c r="T367" i="13" s="1"/>
  <c r="M368" i="13" s="1"/>
  <c r="N359" i="17" l="1"/>
  <c r="J359" i="17" s="1"/>
  <c r="K368" i="13"/>
  <c r="J368" i="13" s="1"/>
  <c r="Q359" i="17" l="1"/>
  <c r="P359" i="17" s="1"/>
  <c r="R359" i="17" s="1"/>
  <c r="T359" i="17" s="1"/>
  <c r="M360" i="17" s="1"/>
  <c r="Q368" i="13"/>
  <c r="P368" i="13" s="1"/>
  <c r="R368" i="13" s="1"/>
  <c r="T368" i="13" s="1"/>
  <c r="M369" i="13" s="1"/>
  <c r="O359" i="17" l="1"/>
  <c r="S359" i="17" s="1"/>
  <c r="L360" i="17" s="1"/>
  <c r="N360" i="17" s="1"/>
  <c r="O368" i="13"/>
  <c r="S368" i="13" s="1"/>
  <c r="L369" i="13" s="1"/>
  <c r="K360" i="17" l="1"/>
  <c r="J360" i="17" s="1"/>
  <c r="Q360" i="17" s="1"/>
  <c r="P360" i="17" s="1"/>
  <c r="R360" i="17" s="1"/>
  <c r="T360" i="17" s="1"/>
  <c r="M361" i="17" s="1"/>
  <c r="N369" i="13"/>
  <c r="K369" i="13"/>
  <c r="J369" i="13" l="1"/>
  <c r="Q369" i="13" s="1"/>
  <c r="O360" i="17"/>
  <c r="S360" i="17" s="1"/>
  <c r="L361" i="17" s="1"/>
  <c r="P369" i="13" l="1"/>
  <c r="O369" i="13" s="1"/>
  <c r="S369" i="13" s="1"/>
  <c r="L370" i="13" s="1"/>
  <c r="N370" i="13" s="1"/>
  <c r="K361" i="17"/>
  <c r="N361" i="17"/>
  <c r="R369" i="13" l="1"/>
  <c r="T369" i="13" s="1"/>
  <c r="M370" i="13" s="1"/>
  <c r="K370" i="13" s="1"/>
  <c r="J370" i="13" s="1"/>
  <c r="J361" i="17"/>
  <c r="Q361" i="17" l="1"/>
  <c r="P361" i="17" s="1"/>
  <c r="R361" i="17" s="1"/>
  <c r="T361" i="17" s="1"/>
  <c r="M362" i="17" s="1"/>
  <c r="Q370" i="13"/>
  <c r="P370" i="13" s="1"/>
  <c r="O361" i="17" l="1"/>
  <c r="S361" i="17" s="1"/>
  <c r="L362" i="17" s="1"/>
  <c r="N362" i="17" s="1"/>
  <c r="R370" i="13"/>
  <c r="T370" i="13" s="1"/>
  <c r="M371" i="13" s="1"/>
  <c r="O370" i="13"/>
  <c r="S370" i="13" s="1"/>
  <c r="L371" i="13" s="1"/>
  <c r="N371" i="13" s="1"/>
  <c r="K362" i="17" l="1"/>
  <c r="J362" i="17" s="1"/>
  <c r="Q362" i="17" s="1"/>
  <c r="P362" i="17" s="1"/>
  <c r="K371" i="13"/>
  <c r="J371" i="13" s="1"/>
  <c r="Q371" i="13" s="1"/>
  <c r="P371" i="13" s="1"/>
  <c r="O371" i="13" s="1"/>
  <c r="S371" i="13" s="1"/>
  <c r="L372" i="13" s="1"/>
  <c r="O362" i="17" l="1"/>
  <c r="S362" i="17" s="1"/>
  <c r="L363" i="17" s="1"/>
  <c r="N363" i="17" s="1"/>
  <c r="R362" i="17"/>
  <c r="T362" i="17" s="1"/>
  <c r="M363" i="17" s="1"/>
  <c r="N372" i="13"/>
  <c r="R371" i="13"/>
  <c r="T371" i="13" s="1"/>
  <c r="M372" i="13" s="1"/>
  <c r="K363" i="17" l="1"/>
  <c r="J363" i="17" s="1"/>
  <c r="Q363" i="17" s="1"/>
  <c r="K372" i="13"/>
  <c r="P363" i="17" l="1"/>
  <c r="R363" i="17" s="1"/>
  <c r="T363" i="17" s="1"/>
  <c r="M364" i="17" s="1"/>
  <c r="J372" i="13"/>
  <c r="D6" i="13"/>
  <c r="O363" i="17" l="1"/>
  <c r="S363" i="17" s="1"/>
  <c r="L364" i="17" s="1"/>
  <c r="Q372" i="13"/>
  <c r="K364" i="17" l="1"/>
  <c r="N364" i="17"/>
  <c r="P372" i="13"/>
  <c r="R372" i="13" s="1"/>
  <c r="T372" i="13" s="1"/>
  <c r="J364" i="17" l="1"/>
  <c r="Q364" i="17" s="1"/>
  <c r="P364" i="17" s="1"/>
  <c r="O372" i="13"/>
  <c r="S372" i="13" s="1"/>
  <c r="O364" i="17" l="1"/>
  <c r="S364" i="17" s="1"/>
  <c r="L365" i="17" s="1"/>
  <c r="R364" i="17"/>
  <c r="T364" i="17" s="1"/>
  <c r="M365" i="17" s="1"/>
  <c r="K365" i="17" l="1"/>
  <c r="N365" i="17"/>
  <c r="J365" i="17" l="1"/>
  <c r="Q365" i="17" s="1"/>
  <c r="P365" i="17" s="1"/>
  <c r="R365" i="17" s="1"/>
  <c r="T365" i="17" s="1"/>
  <c r="M366" i="17" s="1"/>
  <c r="O365" i="17" l="1"/>
  <c r="S365" i="17" s="1"/>
  <c r="L366" i="17" s="1"/>
  <c r="K366" i="17" l="1"/>
  <c r="N366" i="17"/>
  <c r="J366" i="17" l="1"/>
  <c r="Q366" i="17" l="1"/>
  <c r="P366" i="17" s="1"/>
  <c r="R366" i="17" s="1"/>
  <c r="T366" i="17" s="1"/>
  <c r="M367" i="17" s="1"/>
  <c r="O366" i="17" l="1"/>
  <c r="S366" i="17" s="1"/>
  <c r="L367" i="17" s="1"/>
  <c r="K367" i="17" s="1"/>
  <c r="N367" i="17" l="1"/>
  <c r="J367" i="17" s="1"/>
  <c r="Q367" i="17" s="1"/>
  <c r="P367" i="17" l="1"/>
  <c r="R367" i="17" s="1"/>
  <c r="T367" i="17" s="1"/>
  <c r="M368" i="17" s="1"/>
  <c r="O367" i="17" l="1"/>
  <c r="S367" i="17" s="1"/>
  <c r="L368" i="17" s="1"/>
  <c r="K368" i="17" s="1"/>
  <c r="N368" i="17" l="1"/>
  <c r="J368" i="17" s="1"/>
  <c r="Q368" i="17" l="1"/>
  <c r="P368" i="17" s="1"/>
  <c r="R368" i="17" s="1"/>
  <c r="T368" i="17" s="1"/>
  <c r="M369" i="17" s="1"/>
  <c r="O368" i="17" l="1"/>
  <c r="S368" i="17" s="1"/>
  <c r="L369" i="17" s="1"/>
  <c r="N369" i="17" l="1"/>
  <c r="K369" i="17"/>
  <c r="J369" i="17" l="1"/>
  <c r="Q369" i="17" s="1"/>
  <c r="P369" i="17" s="1"/>
  <c r="O369" i="17" l="1"/>
  <c r="S369" i="17" s="1"/>
  <c r="L370" i="17" s="1"/>
  <c r="R369" i="17"/>
  <c r="T369" i="17" s="1"/>
  <c r="M370" i="17" s="1"/>
  <c r="N370" i="17" l="1"/>
  <c r="K370" i="17"/>
  <c r="J370" i="17" l="1"/>
  <c r="Q370" i="17" s="1"/>
  <c r="P370" i="17" s="1"/>
  <c r="O370" i="17" l="1"/>
  <c r="S370" i="17" s="1"/>
  <c r="L371" i="17" s="1"/>
  <c r="N371" i="17" s="1"/>
  <c r="R370" i="17"/>
  <c r="T370" i="17" s="1"/>
  <c r="M371" i="17" s="1"/>
  <c r="K371" i="17" l="1"/>
  <c r="J371" i="17" s="1"/>
  <c r="Q371" i="17" l="1"/>
  <c r="P371" i="17" s="1"/>
  <c r="R371" i="17" s="1"/>
  <c r="T371" i="17" s="1"/>
  <c r="M372" i="17" s="1"/>
  <c r="D8" i="17"/>
  <c r="O371" i="17" l="1"/>
  <c r="S371" i="17" s="1"/>
  <c r="L372" i="17" s="1"/>
  <c r="N372" i="17" s="1"/>
  <c r="K372" i="17" l="1"/>
  <c r="J372" i="17" s="1"/>
  <c r="Q372" i="17" s="1"/>
  <c r="D6" i="17"/>
  <c r="P372" i="17" l="1"/>
  <c r="R372" i="17" s="1"/>
  <c r="T372" i="17" s="1"/>
  <c r="O372" i="17" l="1"/>
  <c r="S372" i="17" s="1"/>
</calcChain>
</file>

<file path=xl/sharedStrings.xml><?xml version="1.0" encoding="utf-8"?>
<sst xmlns="http://schemas.openxmlformats.org/spreadsheetml/2006/main" count="1807" uniqueCount="752">
  <si>
    <t>Последняя дата процентного периода</t>
  </si>
  <si>
    <t>Процентный период</t>
  </si>
  <si>
    <t>Номер процентного периода</t>
  </si>
  <si>
    <t>Кол-во дней в процентном периоде</t>
  </si>
  <si>
    <t>Платеж по кредиту (займу)</t>
  </si>
  <si>
    <t>Расчетные параметры</t>
  </si>
  <si>
    <t>Дата начала периода</t>
  </si>
  <si>
    <t>Кредит (займ) по ЦЖЗ</t>
  </si>
  <si>
    <t>Дата выдачи кредита (займа)</t>
  </si>
  <si>
    <t>ООД на начало периода</t>
  </si>
  <si>
    <t>ООД на конец периода</t>
  </si>
  <si>
    <t>Плановая накопленная процентная задолженность на начало периода</t>
  </si>
  <si>
    <t>Рост (+) / погашение (-) задолженности</t>
  </si>
  <si>
    <t>ФИО заемщика</t>
  </si>
  <si>
    <t>Договор №</t>
  </si>
  <si>
    <t>Дата договора</t>
  </si>
  <si>
    <t>Сумма кредита (займа)</t>
  </si>
  <si>
    <t>руб.</t>
  </si>
  <si>
    <t>годовых</t>
  </si>
  <si>
    <t>Срок кредита (займа)</t>
  </si>
  <si>
    <t>мес.</t>
  </si>
  <si>
    <t>Расчетная дата</t>
  </si>
  <si>
    <t>???</t>
  </si>
  <si>
    <t xml:space="preserve">Уплаченные проценты по основному долгу </t>
  </si>
  <si>
    <t>Уплаченные проценты по накоплен-ной процентной задолжен-ности</t>
  </si>
  <si>
    <t>Аморти-зация основного долга</t>
  </si>
  <si>
    <t>Начисленные проценты по накопленной процентной задолжен-ности</t>
  </si>
  <si>
    <t>Начисленные проценты  по основному долгу</t>
  </si>
  <si>
    <t>Настоящий График ежемесячных платежей получил:</t>
  </si>
  <si>
    <t xml:space="preserve">Процентная ставка </t>
  </si>
  <si>
    <t>Всего</t>
  </si>
  <si>
    <t>От Кредитующей организации ____________________________________ (подпись, ФИО уполномоченного лица Кредитующей организации)</t>
  </si>
  <si>
    <t>От Заемщика _________________________________________________ (подпись, ФИО Заемщика или уполномоченного лица Заемщика)</t>
  </si>
  <si>
    <t>ФИО</t>
  </si>
  <si>
    <t>Расчет платежей</t>
  </si>
  <si>
    <t>Дата __________________________</t>
  </si>
  <si>
    <t>Плановая накопленная процентная задолжен-ность на конец периода</t>
  </si>
  <si>
    <t>Количес-тво дней в процент-ном периоде</t>
  </si>
  <si>
    <t>Процентная ставка на момент выдачи</t>
  </si>
  <si>
    <t>Фактический срок кредита (займа)</t>
  </si>
  <si>
    <t>Срок кредита (займа) для указания в КД/ДЗ</t>
  </si>
  <si>
    <t>Нак. взнос в 2016 году</t>
  </si>
  <si>
    <t>Ежемесячный платеж</t>
  </si>
  <si>
    <t xml:space="preserve">Справочник плановых процентной ставки </t>
  </si>
  <si>
    <t>Ожидаемый задолженность на начало периода, руб.</t>
  </si>
  <si>
    <t>Ожидаемый ОСЗ</t>
  </si>
  <si>
    <t>Плановая НПЗ</t>
  </si>
  <si>
    <t>Ежемесяч-ный платеж</t>
  </si>
  <si>
    <t>Начисление % на ОД, руб.</t>
  </si>
  <si>
    <t xml:space="preserve"> 
  Погашение %, руб. 
 </t>
  </si>
  <si>
    <t>Погашение</t>
  </si>
  <si>
    <t>ОД, руб.</t>
  </si>
  <si>
    <t>НПЗ, руб.</t>
  </si>
  <si>
    <t>Ожидаемый задолженность на конец периода, руб.</t>
  </si>
  <si>
    <t>Прогнозная ставка</t>
  </si>
  <si>
    <t>Накопленные проценты за период, руб.</t>
  </si>
  <si>
    <t>Наличие личного страхования</t>
  </si>
  <si>
    <t>Размер ежемесячного платежа</t>
  </si>
  <si>
    <t>Справка о доходах по форме кредитора</t>
  </si>
  <si>
    <t>Да</t>
  </si>
  <si>
    <t>Размер кредита (займа)</t>
  </si>
  <si>
    <r>
      <t xml:space="preserve">Ставка для расчета размера платежа 
</t>
    </r>
    <r>
      <rPr>
        <b/>
        <i/>
        <sz val="10"/>
        <color indexed="63"/>
        <rFont val="Tahoma"/>
        <family val="2"/>
        <charset val="204"/>
      </rPr>
      <t>(ставка базового ипотечного продукта с фиксированной ставкой при аналогичных условиях (цель кредитования, сумма, срок, наличие/отсутствие личного страхования, коэффициент К/З)</t>
    </r>
  </si>
  <si>
    <r>
      <rPr>
        <b/>
        <sz val="10"/>
        <rFont val="Tahoma"/>
        <family val="2"/>
        <charset val="204"/>
      </rPr>
      <t xml:space="preserve">ВНИМАНИЕ!!! </t>
    </r>
    <r>
      <rPr>
        <b/>
        <sz val="10"/>
        <color indexed="63"/>
        <rFont val="Tahoma"/>
        <family val="2"/>
        <charset val="204"/>
      </rPr>
      <t xml:space="preserve">
при отсутствии личного страхования на дату выдачи кредита/займа необходимо самостоятельно указать корректный размер ставки (с учетом надбавки) в вышеуказанном поле</t>
    </r>
  </si>
  <si>
    <t>ПРЕДВАРИТЕЛЬНЫЙ РАСЧЕТ ПАРАМЕТРОВ КРЕДИТОВАНИЯ</t>
  </si>
  <si>
    <t>Продукт</t>
  </si>
  <si>
    <t>Приобретение готового жилья</t>
  </si>
  <si>
    <t>Материнский капитал</t>
  </si>
  <si>
    <t>НЕТ</t>
  </si>
  <si>
    <t>Размер материнского капитала</t>
  </si>
  <si>
    <t>Переменная ставка</t>
  </si>
  <si>
    <t>Регион предмета ипотеки</t>
  </si>
  <si>
    <t>г.Москва</t>
  </si>
  <si>
    <t>Доходы заемщиков:</t>
  </si>
  <si>
    <t>Заемщик 1:</t>
  </si>
  <si>
    <t>Заемщик 2:</t>
  </si>
  <si>
    <t>Заемщик 3:</t>
  </si>
  <si>
    <t>Заемщик 4:</t>
  </si>
  <si>
    <t>Вид дохода</t>
  </si>
  <si>
    <t>Работа по найму</t>
  </si>
  <si>
    <t>Обязательства заемщика:</t>
  </si>
  <si>
    <t>Алименты</t>
  </si>
  <si>
    <t>Неопределенная</t>
  </si>
  <si>
    <t>ДА</t>
  </si>
  <si>
    <t>Личное страхование заемщика</t>
  </si>
  <si>
    <t>Первоначальный взнос, %</t>
  </si>
  <si>
    <t>Срок кредита, мес.</t>
  </si>
  <si>
    <t>Стоимость жилья, руб.</t>
  </si>
  <si>
    <t>Предварительные параметры кредитования</t>
  </si>
  <si>
    <t>Выбор параметра расчета</t>
  </si>
  <si>
    <t>По доходу заемщика</t>
  </si>
  <si>
    <t>Срок кредита (первоначальный), мес.</t>
  </si>
  <si>
    <t>Срок кредита (расчетный), мес.</t>
  </si>
  <si>
    <t>Сумма первоначального взноса</t>
  </si>
  <si>
    <t>Стоимость жилья</t>
  </si>
  <si>
    <t>в т.ч. вычет из ставки по соц.категории</t>
  </si>
  <si>
    <t>Аннуитетный платеж по графику</t>
  </si>
  <si>
    <t>Максимальный платеж</t>
  </si>
  <si>
    <t>Ипотечный продукт</t>
  </si>
  <si>
    <t>Классификация кредитной истории</t>
  </si>
  <si>
    <t>Выпадающий список (да/нет)</t>
  </si>
  <si>
    <t>Положительная</t>
  </si>
  <si>
    <t>Приобретение жилья на этапе строительства</t>
  </si>
  <si>
    <t>Перекредитование</t>
  </si>
  <si>
    <t>Целевой кредит под залог имеющейся квартиры</t>
  </si>
  <si>
    <t>Прожиточный минимум в регионе</t>
  </si>
  <si>
    <t>Алтайский край</t>
  </si>
  <si>
    <t>Основания для вычетов к ставке</t>
  </si>
  <si>
    <t>Амурская область</t>
  </si>
  <si>
    <t>Архангельская область</t>
  </si>
  <si>
    <t>З ребенка в семье</t>
  </si>
  <si>
    <t>Астраханская область</t>
  </si>
  <si>
    <t>Программа ЖРС</t>
  </si>
  <si>
    <t>Белгородская область</t>
  </si>
  <si>
    <t>ОПК</t>
  </si>
  <si>
    <t>Брянская область</t>
  </si>
  <si>
    <t>Квартира в ДФО</t>
  </si>
  <si>
    <t>Владимирская область</t>
  </si>
  <si>
    <t>Квартира АИЖК</t>
  </si>
  <si>
    <t>Волгоградская область</t>
  </si>
  <si>
    <t>Вологодская область</t>
  </si>
  <si>
    <t>Воронежская область</t>
  </si>
  <si>
    <t>Параметр расчета</t>
  </si>
  <si>
    <t>г.Санкт-Петербург</t>
  </si>
  <si>
    <t>По сумме кредита</t>
  </si>
  <si>
    <t>Еврейская авт.область</t>
  </si>
  <si>
    <t>По стоимости жилья</t>
  </si>
  <si>
    <t>Забайкальский край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</si>
  <si>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</si>
  <si>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</si>
  <si>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</si>
  <si>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</si>
  <si>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</si>
  <si>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</si>
  <si>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</si>
  <si>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</si>
  <si>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</si>
  <si>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</si>
  <si>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</si>
  <si>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</si>
  <si>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</si>
  <si>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</si>
  <si>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</si>
  <si>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</si>
  <si>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</si>
  <si>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</si>
  <si>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</si>
  <si>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авт.округ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</si>
  <si>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</si>
  <si>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</si>
  <si>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</si>
  <si>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</si>
  <si>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</si>
  <si>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</si>
  <si>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</si>
  <si>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</si>
  <si>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</si>
  <si>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</si>
  <si>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</si>
  <si>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</si>
  <si>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</si>
  <si>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</si>
  <si>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</si>
  <si>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</si>
  <si>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</si>
  <si>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</si>
  <si>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</si>
  <si>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</si>
  <si>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</si>
  <si>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</si>
  <si>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</si>
  <si>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</si>
  <si>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</si>
  <si>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</si>
  <si>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</si>
  <si>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</si>
  <si>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</si>
  <si>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</si>
  <si>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</si>
  <si>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</si>
  <si>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</si>
  <si>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</si>
  <si>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</si>
  <si>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</si>
  <si>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</si>
  <si>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</si>
  <si>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</si>
  <si>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</si>
  <si>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</si>
  <si>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</si>
  <si>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авт.округ - Югра</t>
  </si>
  <si>
    <t>Челябинская область</t>
  </si>
  <si>
    <t>Чеченская Республика</t>
  </si>
  <si>
    <t>Чувашская Республика</t>
  </si>
  <si>
    <t>Чукотский авт.округ</t>
  </si>
  <si>
    <t>Ямало-Ненецкий авт.округ</t>
  </si>
  <si>
    <t>Ярославская область</t>
  </si>
  <si>
    <t>Доходы заемщика:</t>
  </si>
  <si>
    <t>Средний доход заемщика за последние 6 мес. за вычетом налоговых отчислений, руб.</t>
  </si>
  <si>
    <t>Алименты, руб.</t>
  </si>
  <si>
    <t>Ежемесячные платежи по текущим кредитным обязательствам, с оставшимся сроком исполнения более 3 месяцев, руб.</t>
  </si>
  <si>
    <t>Лимит по кредитным картам (вне зависимости от факта его использования), руб.</t>
  </si>
  <si>
    <t>Расходы по кредитным картам, принимаемые в расчет, руб.</t>
  </si>
  <si>
    <t>Классификация кредитной истории заемщика</t>
  </si>
  <si>
    <t>возраст заемщика</t>
  </si>
  <si>
    <t>Совокупный доход заемщиков, руб.</t>
  </si>
  <si>
    <t>Совокупные обязательства заещиков, руб.</t>
  </si>
  <si>
    <t>Общее количество заемщиков, чьи доходы принимаются в расчет</t>
  </si>
  <si>
    <t>Прожиточный минимум в регионе Предмета ипотеки</t>
  </si>
  <si>
    <t>Максимальный платеж с учетом ограничения по ПМ</t>
  </si>
  <si>
    <t>Максимальный платеж по ипотечному кредиту</t>
  </si>
  <si>
    <t>Максимальный срок кредита, лет</t>
  </si>
  <si>
    <t>Основания для применения вычетов к ставке</t>
  </si>
  <si>
    <t xml:space="preserve">Первоначальный взнос, % </t>
  </si>
  <si>
    <t>Ставка</t>
  </si>
  <si>
    <t xml:space="preserve">Расчет </t>
  </si>
  <si>
    <t>Максимальная сумма кредита по платежу</t>
  </si>
  <si>
    <t>Максимальная сумма кредита по продукту</t>
  </si>
  <si>
    <t>Расчет максимальной суммы кредита по платежу для различных сроков</t>
  </si>
  <si>
    <t>по доходу</t>
  </si>
  <si>
    <t>месяцев</t>
  </si>
  <si>
    <t xml:space="preserve">плановый </t>
  </si>
  <si>
    <t>расчетный</t>
  </si>
  <si>
    <t xml:space="preserve">Максимальная сумма кредита </t>
  </si>
  <si>
    <t>Сумма Первоначального взноса</t>
  </si>
  <si>
    <t>Переплата</t>
  </si>
  <si>
    <t>Ежемесячный платеж с учетом огр.суммы кредита</t>
  </si>
  <si>
    <t>запрашиваемая сумма кредита</t>
  </si>
  <si>
    <t>сумма кредита</t>
  </si>
  <si>
    <t>Норма учета в расходах лимита по кредитным картам</t>
  </si>
  <si>
    <t>Значение коэффициентов О/Д</t>
  </si>
  <si>
    <t>Расчет максимального О/Д для каждого заемщика</t>
  </si>
  <si>
    <t>5.1.</t>
  </si>
  <si>
    <t>Конвертер названия регионов</t>
  </si>
  <si>
    <t>Заемщик1</t>
  </si>
  <si>
    <t>Заемщик2</t>
  </si>
  <si>
    <t>Заемщик3</t>
  </si>
  <si>
    <t>Заемщик4</t>
  </si>
  <si>
    <t>Москва</t>
  </si>
  <si>
    <t>Регион</t>
  </si>
  <si>
    <t>С.Петербург</t>
  </si>
  <si>
    <t>доход</t>
  </si>
  <si>
    <t>МО</t>
  </si>
  <si>
    <t>кредитная история</t>
  </si>
  <si>
    <t>ЛО</t>
  </si>
  <si>
    <t>максимальный О/Д</t>
  </si>
  <si>
    <t>Основания для вычетов из ставки</t>
  </si>
  <si>
    <t>Основания для надбавки к ставке</t>
  </si>
  <si>
    <t>Таблица ставок</t>
  </si>
  <si>
    <t>К/З</t>
  </si>
  <si>
    <t>Вычеты 1</t>
  </si>
  <si>
    <t xml:space="preserve">Вычет 2: </t>
  </si>
  <si>
    <t>9.1.</t>
  </si>
  <si>
    <t>Надбавки</t>
  </si>
  <si>
    <t>нет страховки</t>
  </si>
  <si>
    <t>"Справка по форме кредитора"</t>
  </si>
  <si>
    <t>9.2.</t>
  </si>
  <si>
    <t>Расчет базовой ставки</t>
  </si>
  <si>
    <t>Базовая ставка</t>
  </si>
  <si>
    <t>Строка К/З</t>
  </si>
  <si>
    <t>Столбец продукт</t>
  </si>
  <si>
    <t>Расчет надбавки и вычетов</t>
  </si>
  <si>
    <t>Вычет 1</t>
  </si>
  <si>
    <t>Зарплатный проект</t>
  </si>
  <si>
    <t xml:space="preserve">Положит КИ </t>
  </si>
  <si>
    <t>К/З&gt;70</t>
  </si>
  <si>
    <t>Право на вычет</t>
  </si>
  <si>
    <t>Надбавка (есть/нет ЛС)</t>
  </si>
  <si>
    <t>Надбавка Серый доход</t>
  </si>
  <si>
    <t>9.3.</t>
  </si>
  <si>
    <t>Расчет итоговой ставки</t>
  </si>
  <si>
    <t>Ограничения по ПВ</t>
  </si>
  <si>
    <t>МК</t>
  </si>
  <si>
    <t>ПС</t>
  </si>
  <si>
    <t>СТ</t>
  </si>
  <si>
    <t>Расчет ограчения по К/З</t>
  </si>
  <si>
    <t>Главная опция</t>
  </si>
  <si>
    <t>строка</t>
  </si>
  <si>
    <t>столбец</t>
  </si>
  <si>
    <t>Минимальный ПВ</t>
  </si>
  <si>
    <t>Ограничение по максимальной сумме кредита для Продукта "Ипотека с гос.поддержкой"</t>
  </si>
  <si>
    <t>Москва, МО, ЛО, С.Петербург</t>
  </si>
  <si>
    <t>иные регионы</t>
  </si>
  <si>
    <t>11.1.</t>
  </si>
  <si>
    <t>Ограничение по максимальной сумме кредита для иных продуктов</t>
  </si>
  <si>
    <t>Массив: Москва</t>
  </si>
  <si>
    <t>Массив: Иное</t>
  </si>
  <si>
    <t>11.2.</t>
  </si>
  <si>
    <t>Расчет ограчения максимальной суммы кредита для продукта "Ипотека с гос.поддержкой"</t>
  </si>
  <si>
    <t>Максимальная сумма</t>
  </si>
  <si>
    <t>11.3.</t>
  </si>
  <si>
    <t>Расчет ограчения максимальной суммы кредита для иных продуктов</t>
  </si>
  <si>
    <t>Массив</t>
  </si>
  <si>
    <t>11.4.</t>
  </si>
  <si>
    <t>Органичение максимальной суммы кредита по продукту</t>
  </si>
  <si>
    <t>Сумма</t>
  </si>
  <si>
    <t>Минимальная сумма кредита</t>
  </si>
  <si>
    <t>Максимальный возраст заемщика на дату окончания срока кредита, лет</t>
  </si>
  <si>
    <t>Коэффициент учета ПМ на 1 несовершеннолетнего ребенка</t>
  </si>
  <si>
    <t xml:space="preserve">Коэффициент платежа для опции </t>
  </si>
  <si>
    <t>переменная ставка</t>
  </si>
  <si>
    <t>стандартный продукт</t>
  </si>
  <si>
    <t xml:space="preserve">Параметр </t>
  </si>
  <si>
    <t>Значение</t>
  </si>
  <si>
    <t>Сумма кредита</t>
  </si>
  <si>
    <t>Первоначальный срок, мес.</t>
  </si>
  <si>
    <t>Расчетный период полного погашения</t>
  </si>
  <si>
    <t>остаток долга на конец срока кредита</t>
  </si>
  <si>
    <t>График платежей</t>
  </si>
  <si>
    <t>дата выдачи</t>
  </si>
  <si>
    <t>Ставка для расчетов</t>
  </si>
  <si>
    <t>Общий долг на начало</t>
  </si>
  <si>
    <t>Остаток кредита на начало</t>
  </si>
  <si>
    <t>Накопленные %% на начало</t>
  </si>
  <si>
    <t>Начислено за месяц</t>
  </si>
  <si>
    <t>Погашение кредита</t>
  </si>
  <si>
    <t>Погашение текущих %</t>
  </si>
  <si>
    <t>Погашение накопленных %%</t>
  </si>
  <si>
    <t>Формирование накопленных %%</t>
  </si>
  <si>
    <t>Остаток кредита на конец периода</t>
  </si>
  <si>
    <t>Накопленные %% на конец периода</t>
  </si>
  <si>
    <t>Надбавка за ЛС</t>
  </si>
  <si>
    <t>Надбавка для Справку по форме кредитора</t>
  </si>
  <si>
    <t>Период</t>
  </si>
  <si>
    <t>Прогноз инфляции</t>
  </si>
  <si>
    <t>Прогноз ставки</t>
  </si>
  <si>
    <t>Прогноз ставки с учетом надбавок</t>
  </si>
  <si>
    <t xml:space="preserve">Ипотечный калькулятор 
"Переменная ставка" </t>
  </si>
  <si>
    <t>ГРАФИК ЕЖЕМЕСЯЧНЫХ ПЛАТЕЖЕЙ ПО КРЕДИТУ (ЗАЙМУ) 
с опцией "Переменная ставка"</t>
  </si>
  <si>
    <t>Величина прожиточного минимума трудоспособного населения, рублей</t>
  </si>
  <si>
    <t>В случае отсутствия данных по какому-либо региону необходимо использовать последние имеющиеся данные</t>
  </si>
  <si>
    <t/>
  </si>
  <si>
    <t>Вступают в действие с 1 августа 2016 года</t>
  </si>
  <si>
    <t>трудоспособное население</t>
  </si>
  <si>
    <t>Российская Федерация</t>
  </si>
  <si>
    <t>ЦЕНТРАЛЬНЫЙ ФО</t>
  </si>
  <si>
    <t>СЕВЕРО-ЗАПАДНЫЙ ФО</t>
  </si>
  <si>
    <t>ЮЖНЫЙ ФО</t>
  </si>
  <si>
    <t>СЕВЕРО-КАВКАЗСКИЙ ФО</t>
  </si>
  <si>
    <t>ПРИВОЛЖСКИЙ ФО</t>
  </si>
  <si>
    <t>УРАЛЬСКИЙ ФО</t>
  </si>
  <si>
    <t>СИБИРСКИЙ ФО</t>
  </si>
  <si>
    <t>ДАЛЬНЕВОСТОЧНЫЙ ФО</t>
  </si>
  <si>
    <t>Крымский ФО</t>
  </si>
  <si>
    <t>Республика Крым</t>
  </si>
  <si>
    <t>г. Севастополь</t>
  </si>
  <si>
    <t>Аппартаменты</t>
  </si>
  <si>
    <t>Предприниматель</t>
  </si>
  <si>
    <t>Владелец компании</t>
  </si>
  <si>
    <t>АП</t>
  </si>
  <si>
    <t>Бизнес</t>
  </si>
  <si>
    <t>Платеж после получения МСК</t>
  </si>
  <si>
    <t>Максимальная сумма кредита с учетом МСК по К/З</t>
  </si>
  <si>
    <t>Максимальная сумма кредита с опцией МСК</t>
  </si>
  <si>
    <t xml:space="preserve">Максимальная сумма кредита +сумма  МСК </t>
  </si>
  <si>
    <t>Платеж после погашения кредита на сумму МСК</t>
  </si>
  <si>
    <t>сумма кредита после погашения на сумму МСК</t>
  </si>
  <si>
    <t>сумма кредита после погашения МСК</t>
  </si>
  <si>
    <t>Сочетание отдельных продуктов и опций</t>
  </si>
  <si>
    <t>Военная ипотека</t>
  </si>
  <si>
    <t>Переменая ставка</t>
  </si>
  <si>
    <t>Мат.капитал</t>
  </si>
  <si>
    <t>Сочетение опций между собой</t>
  </si>
  <si>
    <t xml:space="preserve"> 18.1 </t>
  </si>
  <si>
    <t>Проверка сочетаемости продукта и опции</t>
  </si>
  <si>
    <t>выбранный продукт</t>
  </si>
  <si>
    <t>выбор опции</t>
  </si>
  <si>
    <t>решение о возможности применения</t>
  </si>
  <si>
    <t>Агентская технология</t>
  </si>
  <si>
    <t>Вариант работы</t>
  </si>
  <si>
    <t>Рефинансирование</t>
  </si>
  <si>
    <t>Номер периода: 166, остаток задолженности: 0 руб.</t>
  </si>
  <si>
    <t>Максимальный платежей заемщиков без учета ПМ</t>
  </si>
  <si>
    <t>Нет</t>
  </si>
  <si>
    <t>Массив: ЛО</t>
  </si>
  <si>
    <t>Сумма платежа, руб.</t>
  </si>
  <si>
    <t>максимальный платеж</t>
  </si>
  <si>
    <t>По максимальному платежу</t>
  </si>
  <si>
    <t>Cумма кредита, руб.</t>
  </si>
  <si>
    <t xml:space="preserve">Дата выдачи </t>
  </si>
  <si>
    <t>Общее количество несовершеннолетних детей всех заемщиков для расчета</t>
  </si>
  <si>
    <t>Квартира в Байкальском регионе</t>
  </si>
  <si>
    <t>Апартаменты</t>
  </si>
  <si>
    <t>Вычет от контрагента</t>
  </si>
  <si>
    <t>-</t>
  </si>
  <si>
    <t>Выбрать соц. категорию: Квартира в ДФО</t>
  </si>
  <si>
    <t>Выбрать соц.категорию: Квартира в Байкальском регионе</t>
  </si>
  <si>
    <t>Легкая ипотека</t>
  </si>
  <si>
    <t>Надбавка "Легкая ипотека"</t>
  </si>
  <si>
    <t>Надбавка Легкая ипотека</t>
  </si>
  <si>
    <t>Строительство апартаментов завершено</t>
  </si>
  <si>
    <t>Социальная ипотека Московской области</t>
  </si>
  <si>
    <t>Семейная ипотека с гос.поддержкой</t>
  </si>
  <si>
    <t>Промо-ставка (ТОП-застройщик)</t>
  </si>
  <si>
    <t>ТОП-застройщик</t>
  </si>
  <si>
    <t>ПАО «Группа компаний «ПИК»</t>
  </si>
  <si>
    <t>ПАО «Группа ЛСР»</t>
  </si>
  <si>
    <t>ООО «Сэтл Групп»</t>
  </si>
  <si>
    <r>
      <rPr>
        <b/>
        <sz val="7"/>
        <color rgb="FF000000"/>
        <rFont val="Times New Roman"/>
        <family val="1"/>
        <charset val="204"/>
      </rPr>
      <t xml:space="preserve"> </t>
    </r>
    <r>
      <rPr>
        <sz val="11"/>
        <color indexed="8"/>
        <rFont val="Tahoma"/>
        <family val="2"/>
        <charset val="204"/>
      </rPr>
      <t>ООО «ГК «ЦДС»</t>
    </r>
  </si>
  <si>
    <r>
      <rPr>
        <b/>
        <sz val="7"/>
        <color rgb="FF000000"/>
        <rFont val="Times New Roman"/>
        <family val="1"/>
        <charset val="204"/>
      </rPr>
      <t xml:space="preserve"> </t>
    </r>
    <r>
      <rPr>
        <sz val="11"/>
        <color indexed="8"/>
        <rFont val="Tahoma"/>
        <family val="2"/>
        <charset val="204"/>
      </rPr>
      <t>ООО «Группа компаний «Самолет»</t>
    </r>
  </si>
  <si>
    <t>ООО СИК «Девелопмент-Юг»</t>
  </si>
  <si>
    <t>ООО «ФСК «Лидер»</t>
  </si>
  <si>
    <r>
      <rPr>
        <b/>
        <sz val="7"/>
        <color rgb="FF000000"/>
        <rFont val="Times New Roman"/>
        <family val="1"/>
        <charset val="204"/>
      </rPr>
      <t xml:space="preserve"> </t>
    </r>
    <r>
      <rPr>
        <sz val="11"/>
        <color indexed="8"/>
        <rFont val="Tahoma"/>
        <family val="2"/>
        <charset val="204"/>
      </rPr>
      <t>Группа компаний Унистрой</t>
    </r>
  </si>
  <si>
    <t>ГК «Абсолют Недвижимость»</t>
  </si>
  <si>
    <t>Группа компаний Брусника</t>
  </si>
  <si>
    <t>АО «Инград»/ ПАО «Инград»</t>
  </si>
  <si>
    <t>ГК «Пионер»</t>
  </si>
  <si>
    <t>АО «МР Групп»</t>
  </si>
  <si>
    <t>АО «А101 Девелопмент»</t>
  </si>
  <si>
    <t>нет</t>
  </si>
  <si>
    <t>Urban</t>
  </si>
  <si>
    <t>Региональная программа льготного кредитования</t>
  </si>
  <si>
    <t>ООО Ренессанс Актив</t>
  </si>
  <si>
    <t>ООО Эдельвейс</t>
  </si>
  <si>
    <t>ООО «Восточный луч»</t>
  </si>
  <si>
    <t>ООО «Регион-П»</t>
  </si>
  <si>
    <t>ООО Родниковая долина</t>
  </si>
  <si>
    <t>ООО СК Пересвет Юг</t>
  </si>
  <si>
    <t>Инвестиционно-строительная компания «Запад»</t>
  </si>
  <si>
    <t>ГК ДСК</t>
  </si>
  <si>
    <t>ГК Выбор</t>
  </si>
  <si>
    <t>ГК Крайс</t>
  </si>
  <si>
    <t>АО «Корпорация «Атомстройкомплекс»</t>
  </si>
  <si>
    <t>ГК «ТЕН»</t>
  </si>
  <si>
    <t>ОАО ФСК Новый город</t>
  </si>
  <si>
    <t>АО УКС г.Иркутск</t>
  </si>
  <si>
    <t>СК ООО «ВостСибСтрой Девелопмент»</t>
  </si>
  <si>
    <t>ГК СУВАР</t>
  </si>
  <si>
    <t>ГК АК БАРС Девелопмент</t>
  </si>
  <si>
    <t>ООО Рент Сити</t>
  </si>
  <si>
    <t>ГК Унистрой</t>
  </si>
  <si>
    <t>Сити-Строй</t>
  </si>
  <si>
    <t>Мегаполис-Жилстрой</t>
  </si>
  <si>
    <t>АСО «Промстрой» - Кемерово</t>
  </si>
  <si>
    <t>ООО «СЗ «Инсити»</t>
  </si>
  <si>
    <t>ООО «Догма»</t>
  </si>
  <si>
    <t>ГК Дарстрой</t>
  </si>
  <si>
    <t>ГК ГИК</t>
  </si>
  <si>
    <t>ГК ЮгСтройИмпериал</t>
  </si>
  <si>
    <t>ГК ССК</t>
  </si>
  <si>
    <t>ГК АСК</t>
  </si>
  <si>
    <t>ГК Девелопмент ЮГ</t>
  </si>
  <si>
    <t xml:space="preserve">ГК Зодчий </t>
  </si>
  <si>
    <t xml:space="preserve">СГ Ментал Плюс </t>
  </si>
  <si>
    <t xml:space="preserve"> См-Сити</t>
  </si>
  <si>
    <t>Красстрой</t>
  </si>
  <si>
    <t>ГК А101</t>
  </si>
  <si>
    <t>Sezar Group</t>
  </si>
  <si>
    <t>Донстрой</t>
  </si>
  <si>
    <t>Концерн Крост</t>
  </si>
  <si>
    <t>Level Group</t>
  </si>
  <si>
    <t>ГК Главстрой</t>
  </si>
  <si>
    <t>MR Group</t>
  </si>
  <si>
    <t>ООО «ТПУ Дмитриевского» (Мосреалстрой)</t>
  </si>
  <si>
    <t>ГК Гранель</t>
  </si>
  <si>
    <t>АО «Лидер-Инвест»</t>
  </si>
  <si>
    <t>ГК ИНГРАД</t>
  </si>
  <si>
    <t xml:space="preserve">ГК ПИК </t>
  </si>
  <si>
    <t>ГК Самолет Девелопмент</t>
  </si>
  <si>
    <t>ГК ЛСР</t>
  </si>
  <si>
    <t>ФСК Лидер</t>
  </si>
  <si>
    <t>Текта Group</t>
  </si>
  <si>
    <t>Центр Инвест</t>
  </si>
  <si>
    <t>ГК ПИОНЕР</t>
  </si>
  <si>
    <t>Вектор Строй Финанс</t>
  </si>
  <si>
    <t>ГК КОРТРОС</t>
  </si>
  <si>
    <t>OPTIMA Development</t>
  </si>
  <si>
    <t>ООО «Речников инвест»</t>
  </si>
  <si>
    <t>Capital Group</t>
  </si>
  <si>
    <t>ГК SMINEX</t>
  </si>
  <si>
    <t>ГК РГ-девелопмент</t>
  </si>
  <si>
    <t>ООО Абсолют Недвижимость (ГК Абсолют)</t>
  </si>
  <si>
    <t xml:space="preserve"> ООО «Специализированный застройщик «Андор»</t>
  </si>
  <si>
    <t>ГК Столица Нижний РИЭЛТИ</t>
  </si>
  <si>
    <t>ООО «Академ-Развитие»</t>
  </si>
  <si>
    <t>ГК «Жилищная инициатива»</t>
  </si>
  <si>
    <t>ООО «СДС-Финанс»</t>
  </si>
  <si>
    <t>ООО СК ВИРА СТРОЙ</t>
  </si>
  <si>
    <t>ГК Стрижи</t>
  </si>
  <si>
    <t>ГК СибирьИнвест</t>
  </si>
  <si>
    <t>ПСК Сибирь</t>
  </si>
  <si>
    <t>ООО «ПаркХаус»</t>
  </si>
  <si>
    <t>ООО «РКСПенза»</t>
  </si>
  <si>
    <t>ООО «Термодом»</t>
  </si>
  <si>
    <t>АО «СПК»</t>
  </si>
  <si>
    <t>ООО «Зима Южная»</t>
  </si>
  <si>
    <t xml:space="preserve">ГК Югстройинвест </t>
  </si>
  <si>
    <t>ГК Интеко</t>
  </si>
  <si>
    <t>ГК Древо</t>
  </si>
  <si>
    <t xml:space="preserve">ГК Берег </t>
  </si>
  <si>
    <t>ГК Арсенал</t>
  </si>
  <si>
    <t>Глоракс</t>
  </si>
  <si>
    <t>Полис групп</t>
  </si>
  <si>
    <t>ГК ЦДС</t>
  </si>
  <si>
    <t>ААG</t>
  </si>
  <si>
    <t>СЭТЛ групп</t>
  </si>
  <si>
    <t>Группа компаний «Шэлдом»</t>
  </si>
  <si>
    <t>ГК Аркада</t>
  </si>
  <si>
    <t>ГК Снегири</t>
  </si>
  <si>
    <t>ООО «ТДСК»</t>
  </si>
  <si>
    <t>Сибстройсервис</t>
  </si>
  <si>
    <t>ГК Брусника</t>
  </si>
  <si>
    <t>ГК Меридиан</t>
  </si>
  <si>
    <t>ГК КПД</t>
  </si>
  <si>
    <t>ФРЖС</t>
  </si>
  <si>
    <t>ООО УИП г. Хабаровска</t>
  </si>
  <si>
    <t>ООО Рациополис</t>
  </si>
  <si>
    <t>СК ЧГС</t>
  </si>
  <si>
    <t>СК «Каскад»</t>
  </si>
  <si>
    <t>СК «Никс»</t>
  </si>
  <si>
    <t>АПРИ ФЛАЙ ПЛЭНИНГ</t>
  </si>
  <si>
    <t>СК Легион</t>
  </si>
  <si>
    <t>Имена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</si>
  <si>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</si>
  <si>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</si>
  <si>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</si>
  <si>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</si>
  <si>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</si>
  <si>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</si>
  <si>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</si>
  <si>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</si>
  <si>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</si>
  <si>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</si>
  <si>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Еврейская_авт.область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</si>
  <si>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</si>
  <si>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</si>
  <si>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</si>
  <si>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</si>
  <si>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</si>
  <si>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</si>
  <si>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</si>
  <si>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</si>
  <si>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</si>
  <si>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</si>
  <si>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</si>
  <si>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</si>
  <si>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</si>
  <si>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</si>
  <si>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</si>
  <si>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</si>
  <si>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Московская_область</t>
  </si>
  <si>
    <t>Мурманская_область</t>
  </si>
  <si>
    <t>Ненецкий_авт.округ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</si>
  <si>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</si>
  <si>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</si>
  <si>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</si>
  <si>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</si>
  <si>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</si>
  <si>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</si>
  <si>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</si>
  <si>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</si>
  <si>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</si>
  <si>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</si>
  <si>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</si>
  <si>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</si>
  <si>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</si>
  <si>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</si>
  <si>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</si>
  <si>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</si>
  <si>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Республика_Калмыкия</t>
  </si>
  <si>
    <t>Республика_Карелия</t>
  </si>
  <si>
    <t>Республика_Коми</t>
  </si>
  <si>
    <t>Республика_Марий_Эл</t>
  </si>
  <si>
    <t>Республика_Мордовия</t>
  </si>
  <si>
    <t>Республика_Татарстан</t>
  </si>
  <si>
    <t>Республика_Тыва</t>
  </si>
  <si>
    <t>Республика_Хакасия</t>
  </si>
  <si>
    <t>Ростовская_область</t>
  </si>
  <si>
    <t>Рязанская_область</t>
  </si>
  <si>
    <t>Самарская_область</t>
  </si>
  <si>
    <t>Саратовская_область</t>
  </si>
  <si>
    <t>Сахалинская_область</t>
  </si>
  <si>
    <t>Свердловская_область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</si>
  <si>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</si>
  <si>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</si>
  <si>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</si>
  <si>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</si>
  <si>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</si>
  <si>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</si>
  <si>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</si>
  <si>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Удмуртская_Республика</t>
  </si>
  <si>
    <t>Ульяновская_область</t>
  </si>
  <si>
    <t>Хабаровский_край</t>
  </si>
  <si>
    <t>Челябинская_область</t>
  </si>
  <si>
    <t>Чеченская_Республика</t>
  </si>
  <si>
    <t>Чувашская_Республика</t>
  </si>
  <si>
    <t>Чукотский_авт.округ</t>
  </si>
  <si>
    <t>Ярославская_область</t>
  </si>
  <si>
    <t>ВЫБРАННЫЙ РЕГИОН</t>
  </si>
  <si>
    <t>г.Санкт_Петербург</t>
  </si>
  <si>
    <t>Кабардино_Балкарская_Республика</t>
  </si>
  <si>
    <t>Карачаево_Черкесская_Республика</t>
  </si>
  <si>
    <t>Республика_Северная_Осетия___Алания</t>
  </si>
  <si>
    <t>Ханты_Мансийский_авт.округ___Югра</t>
  </si>
  <si>
    <t>Ямало_Ненецкий_авт.округ</t>
  </si>
  <si>
    <t>Республика_Саха__Якутия</t>
  </si>
  <si>
    <t>Приобретение жилого дома</t>
  </si>
  <si>
    <t>Индивидуальное строительство жилого дома (ИЖС)</t>
  </si>
  <si>
    <t>Приобретение залоговой недвижимости</t>
  </si>
  <si>
    <t>Приобретение залогового жилья</t>
  </si>
  <si>
    <t>по сумме кредита</t>
  </si>
  <si>
    <t>по платежу</t>
  </si>
  <si>
    <t>Совокупный доход</t>
  </si>
  <si>
    <r>
      <t xml:space="preserve">Лимит по текуущим кредитным картам 
</t>
    </r>
    <r>
      <rPr>
        <i/>
        <sz val="12"/>
        <color theme="1" tint="0.14999847407452621"/>
        <rFont val="Tahoma"/>
        <family val="2"/>
        <charset val="204"/>
      </rPr>
      <t>(вне зависимости от факта его использования)</t>
    </r>
  </si>
  <si>
    <t>требуемый доход</t>
  </si>
  <si>
    <t>Возраст старшего заемщика, полных лет</t>
  </si>
  <si>
    <t>Количество детей всех заемщиков</t>
  </si>
  <si>
    <t>Вид дохода заемщика</t>
  </si>
  <si>
    <t>Средний доход всех заемщиков</t>
  </si>
  <si>
    <t>по цене залога</t>
  </si>
  <si>
    <t>Социальная категория</t>
  </si>
  <si>
    <t>Количество заемщиков с доходами</t>
  </si>
  <si>
    <t>Платежи по другим кредитам</t>
  </si>
  <si>
    <t>Кредит, руб.</t>
  </si>
  <si>
    <t>Изменение платежа</t>
  </si>
  <si>
    <t>Изменение срока</t>
  </si>
  <si>
    <t>Ставка, %</t>
  </si>
  <si>
    <t>Остаток Кредита на начало</t>
  </si>
  <si>
    <t>Начислено процентов</t>
  </si>
  <si>
    <t>Платеж по процентам</t>
  </si>
  <si>
    <t>Платеж по Кредиту</t>
  </si>
  <si>
    <t>Остаток Кредита на конец периода</t>
  </si>
  <si>
    <t>Дополнительные расходы по кредиту (для расчета ПСК)</t>
  </si>
  <si>
    <t>Промежуточная ставка</t>
  </si>
  <si>
    <t>Новая ставка</t>
  </si>
  <si>
    <t>Досрочное погашение</t>
  </si>
  <si>
    <t>Условие пересчета графика при досрочном погашении</t>
  </si>
  <si>
    <t>Изменение параметра</t>
  </si>
  <si>
    <t>ПСК, руб.</t>
  </si>
  <si>
    <t>Размер вычета, п.п.</t>
  </si>
  <si>
    <t>Первоначальный взнос</t>
  </si>
  <si>
    <t>Благодарю Вас за интерес, проявленный к ипотечным программам АО «Банк ДОМ.РФ»!</t>
  </si>
  <si>
    <t>В продолжение нашего разговора направляю Вам информацию по условиям и порядку оформления заявки на ипотечный кредит.</t>
  </si>
  <si>
    <t>Я буду сопровождать Вас на всех этапах оформления ипотечной сделки, поэтому по всем вопросам Вы можете обращаться ко мне.</t>
  </si>
  <si>
    <t>Надеемся на успешное сотрудничество!</t>
  </si>
  <si>
    <t>Срок кредита, мес</t>
  </si>
  <si>
    <t>включить  для отправки (один из вариантов)</t>
  </si>
  <si>
    <t>ГРАФИК ПЛАТЕЖЕЙ</t>
  </si>
  <si>
    <t>Машино-место</t>
  </si>
  <si>
    <t>надбавка Машино-место</t>
  </si>
  <si>
    <t>Клиент получает зп в Банке ДОМ.РФ</t>
  </si>
  <si>
    <t>Бери больше - плати меньше</t>
  </si>
  <si>
    <t>Зарплатный клиент</t>
  </si>
  <si>
    <t>бери больше-плати меньше</t>
  </si>
  <si>
    <t>Дальневосточная ипотека</t>
  </si>
  <si>
    <t xml:space="preserve"> </t>
  </si>
  <si>
    <t>Менеджерская скидка</t>
  </si>
  <si>
    <t>Сотрудник организации развития</t>
  </si>
  <si>
    <t>Справка из ПФР</t>
  </si>
  <si>
    <t>Льготная ипотека на новостройки</t>
  </si>
  <si>
    <t>Застройщики на ПФ</t>
  </si>
  <si>
    <t>Макс. сумма МО и ЛО</t>
  </si>
  <si>
    <t>Опции и вычеты</t>
  </si>
  <si>
    <t>Специальная ставка для медицинских работников</t>
  </si>
  <si>
    <t>Дольщики фонда</t>
  </si>
  <si>
    <t>Электронная регистрация</t>
  </si>
  <si>
    <t>Дата выдачи</t>
  </si>
  <si>
    <t>Срок, мес. рарсчетный</t>
  </si>
  <si>
    <t>Срок мес.</t>
  </si>
  <si>
    <t>№ ПП</t>
  </si>
  <si>
    <t>Общий платеж с учетом досрочного погашения (для расчета ПСК)</t>
  </si>
  <si>
    <t>Год (расч. дней в году)</t>
  </si>
  <si>
    <t>Дней в году</t>
  </si>
  <si>
    <t>Аннуитет (расч.)</t>
  </si>
  <si>
    <t>Первый рабочий день (после праздников и выходных)</t>
  </si>
  <si>
    <t>Праздники в раб. дни</t>
  </si>
  <si>
    <t>День. нед.</t>
  </si>
  <si>
    <t>Рабочие дни в выходные</t>
  </si>
  <si>
    <t>День нед.</t>
  </si>
  <si>
    <t>Новые тарифы</t>
  </si>
  <si>
    <t>Жизнь</t>
  </si>
  <si>
    <t>Имущество</t>
  </si>
  <si>
    <t>Возраст</t>
  </si>
  <si>
    <t>Мужчины</t>
  </si>
  <si>
    <t>Женщины</t>
  </si>
  <si>
    <t>Возраст клиента на дату выдачи</t>
  </si>
  <si>
    <t>Возраст клиента (для расчета страховки)</t>
  </si>
  <si>
    <t>Пол заемщика</t>
  </si>
  <si>
    <t>М</t>
  </si>
  <si>
    <t>Ж</t>
  </si>
  <si>
    <t>Тариф СК (жизнь)</t>
  </si>
  <si>
    <t>Тариф СК (имущество)</t>
  </si>
  <si>
    <t>Пол</t>
  </si>
  <si>
    <t>Для перевода в %</t>
  </si>
  <si>
    <t>Доп. условия (расчет ПСК)</t>
  </si>
  <si>
    <t>Учитывать страхование жизни</t>
  </si>
  <si>
    <t>Учитывать страхование имущества</t>
  </si>
  <si>
    <t>Учет страховки</t>
  </si>
  <si>
    <t>Общий платеж</t>
  </si>
  <si>
    <t>Возраст заемщика на дату выдачи</t>
  </si>
  <si>
    <t>Для спискоков:</t>
  </si>
  <si>
    <t>ПСК,% годовых</t>
  </si>
  <si>
    <t>Сельская ипотека</t>
  </si>
  <si>
    <t>Еврейская автономная область</t>
  </si>
  <si>
    <t>Чукотский автономный округ</t>
  </si>
  <si>
    <t>ДФО</t>
  </si>
  <si>
    <t>Новогодняя</t>
  </si>
  <si>
    <t>Будущий ЗП клиент + справка из ПФР</t>
  </si>
  <si>
    <t>Дата платежа</t>
  </si>
  <si>
    <t>Последний день процентного периода (для расчета)</t>
  </si>
  <si>
    <t>Разница дней</t>
  </si>
  <si>
    <t>Последний день периода</t>
  </si>
  <si>
    <t>Проверка дней</t>
  </si>
  <si>
    <t>Запрет</t>
  </si>
  <si>
    <t>Застройщики на ПФ и объекты ГК ПИК для Льготной ипотеки</t>
  </si>
  <si>
    <t>Льготное ИЖС</t>
  </si>
  <si>
    <t>Семейная ипотека ИЖС</t>
  </si>
  <si>
    <t>Наукоград</t>
  </si>
  <si>
    <t>Квартира ЕИРЖС</t>
  </si>
  <si>
    <t>ЕСЛИ(И('Калькулятор_от дохода'!P21="ДА";Z74="Нет");4,9%;5,95%)</t>
  </si>
  <si>
    <t>ЕСЛИ(ВПР('Калькулятор_от дохода'!$P$11;'Справочники и промежут.расчет'!$B$25:$D$107;3)&lt;&gt;" ";4,9%;4,95%)</t>
  </si>
  <si>
    <t>К/З 60%</t>
  </si>
  <si>
    <t>К/З 65%</t>
  </si>
  <si>
    <t>ЕСЛИ(ВПР('Калькулятор_от дохода'!$P$11;'Справочники и промежут.расчет'!$B$25:$D$107;3)&lt;&gt;" ";4,9%;5,45%)</t>
  </si>
  <si>
    <t>Неподтвержденный доход</t>
  </si>
  <si>
    <t>Отсутсвие личного страхования</t>
  </si>
  <si>
    <t>Лояльность</t>
  </si>
  <si>
    <t>Большие суммы</t>
  </si>
  <si>
    <t>Канал продаж</t>
  </si>
  <si>
    <t>Скидка ПФ</t>
  </si>
  <si>
    <t>Приобретение квартиры на этапе строительства</t>
  </si>
  <si>
    <t>Семейная ипотека с государтсвенной поддержкой</t>
  </si>
  <si>
    <t>Индивидуальное строительство жилого дома</t>
  </si>
  <si>
    <t>Кредит под залог имеющейся квартиры</t>
  </si>
  <si>
    <t>Отсутствие личного страхования</t>
  </si>
  <si>
    <t>Вычет/надбавка</t>
  </si>
  <si>
    <t>Таблица сочетаемости вычетов/надбавок с продуктами</t>
  </si>
  <si>
    <t>Таблица сочетаемости вычето/внадбавок</t>
  </si>
  <si>
    <t>Продукт:</t>
  </si>
  <si>
    <t>Вычеты:</t>
  </si>
  <si>
    <t>Надбавки:</t>
  </si>
  <si>
    <t>Расчетная ставка по матрице:</t>
  </si>
  <si>
    <t>Вариант расчета:</t>
  </si>
  <si>
    <t>Вычет из ставки (иные вычеты)</t>
  </si>
  <si>
    <t>!</t>
  </si>
  <si>
    <t>С учетом желаемых параметров, направляю Вам варианты расчетов:</t>
  </si>
  <si>
    <t>Мои контакты:___________________________________________________________________________________________________</t>
  </si>
  <si>
    <t>Предложение носит информационный характер и не является публичной офертой. Точный график платежей будет рассчитан на этапе оформления сделки.</t>
  </si>
  <si>
    <t>Добрый день!</t>
  </si>
  <si>
    <t>Е-регистрация</t>
  </si>
  <si>
    <t>Канал продаж (Е-регистрация)</t>
  </si>
  <si>
    <t>Ипотека для IT-специалистов</t>
  </si>
  <si>
    <t>Численность постоянного населения по субъектам РФ по данным Росстата на 01.01.2021</t>
  </si>
  <si>
    <t>ПСК, % годовых</t>
  </si>
  <si>
    <t>Комиссия за оценку/допрасходы</t>
  </si>
  <si>
    <t>Ипотечный кредит на цели приобретения объекта недвижимости либо на рефинансирование задолженности</t>
  </si>
  <si>
    <t>Ипотечный кредит цели приобретения земельного участка и (или) строительство жилого дома</t>
  </si>
  <si>
    <t>Нецелевой кредит, обязательства заемщиков по которым обеспечены ипотекой</t>
  </si>
  <si>
    <r>
      <t xml:space="preserve">Выписка ПФР подтверждает </t>
    </r>
    <r>
      <rPr>
        <u/>
        <sz val="12"/>
        <color theme="1" tint="0.14999847407452621"/>
        <rFont val="Tahoma"/>
        <family val="2"/>
        <charset val="204"/>
      </rPr>
      <t>только</t>
    </r>
    <r>
      <rPr>
        <sz val="12"/>
        <color theme="1" tint="0.14999847407452621"/>
        <rFont val="Tahoma"/>
        <family val="2"/>
        <charset val="204"/>
      </rPr>
      <t xml:space="preserve"> занятость</t>
    </r>
  </si>
  <si>
    <t>Коммерческая недвижимость</t>
  </si>
  <si>
    <t>Опция Жилой дом (Госпрограммы)</t>
  </si>
  <si>
    <t>Жилой дом (Госпрограммы)</t>
  </si>
  <si>
    <t>Версия 1.48.6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</si>
</sst>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8" formatCode="#,##0.00\ &quot;₽&quot;;[Red]\-#,##0.00\ &quot;₽&quot;"/>
    <numFmt numFmtId="164" formatCode="#,##0.00&quot;р.&quot;;[Red]\-#,##0.00&quot;р.&quot;"/>
    <numFmt numFmtId="165" formatCode="_-* #,##0.00_р_._-;\-* #,##0.00_р_._-;_-* &quot;-&quot;??_р_._-;_-@_-"/>
    <numFmt numFmtId="166" formatCode="[$-419]d\-mmm\-yyyy;@"/>
    <numFmt numFmtId="167" formatCode="[$-419]d\ mmm\ yy;@"/>
    <numFmt numFmtId="168" formatCode="#,##0\ [$₽-419]"/>
    <numFmt numFmtId="169" formatCode="0.0%"/>
    <numFmt numFmtId="170" formatCode="_-* #,##0_р_._-;\-* #,##0_р_._-;_-* &quot;-&quot;??_р_._-;_-@_-"/>
    <numFmt numFmtId="171" formatCode="#,##0_ ;[Red]\-#,##0\ "/>
    <numFmt numFmtId="172" formatCode="#,##0_ ;\-#,##0\ "/>
    <numFmt numFmtId="173" formatCode="#,##0.0"/>
    <numFmt numFmtId="174" formatCode="0.000%"/>
    <numFmt numFmtId="175" formatCode="0.000000%"/>
    <numFmt numFmtId="176" formatCode="dddd"/>
    <numFmt numFmtId="177" formatCode="0.000"/>
    <numFmt numFmtId="178" formatCode="0.0000"/>
    <numFmt numFmtId="179" formatCode="0.0"/>
    <numFmt numFmtId="180" formatCode="0.0000%"/>
  </numFmts>
  <fonts count="99" x14ac:knownFonts="1">
    <font>
      <sz val="11"/>
      <color indexed="8"/>
      <name val="Calibri"/>
      <family val="2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indexed="9"/>
      <name val="Times New Roman"/>
      <family val="1"/>
      <charset val="204"/>
    </font>
    <font>
      <sz val="7"/>
      <name val="Times New Roman"/>
      <family val="1"/>
      <charset val="204"/>
    </font>
    <font>
      <i/>
      <sz val="7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i/>
      <sz val="8"/>
      <name val="Calibri"/>
      <family val="2"/>
      <charset val="204"/>
    </font>
    <font>
      <sz val="8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4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8"/>
      <name val="Tahoma"/>
      <family val="2"/>
      <charset val="204"/>
    </font>
    <font>
      <b/>
      <i/>
      <sz val="10"/>
      <color indexed="63"/>
      <name val="Tahoma"/>
      <family val="2"/>
      <charset val="204"/>
    </font>
    <font>
      <b/>
      <i/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10"/>
      <color indexed="63"/>
      <name val="Tahoma"/>
      <family val="2"/>
      <charset val="204"/>
    </font>
    <font>
      <b/>
      <sz val="11"/>
      <name val="Tahoma"/>
      <family val="2"/>
      <charset val="204"/>
    </font>
    <font>
      <sz val="11"/>
      <color indexed="8"/>
      <name val="Tahoma"/>
      <family val="2"/>
      <charset val="204"/>
    </font>
    <font>
      <b/>
      <sz val="8"/>
      <color indexed="9"/>
      <name val="Tahoma"/>
      <family val="2"/>
      <charset val="204"/>
    </font>
    <font>
      <i/>
      <sz val="7"/>
      <name val="Tahoma"/>
      <family val="2"/>
      <charset val="204"/>
    </font>
    <font>
      <sz val="8"/>
      <color indexed="8"/>
      <name val="Tahoma"/>
      <family val="2"/>
      <charset val="204"/>
    </font>
    <font>
      <sz val="11"/>
      <color rgb="FF3E5057"/>
      <name val="Calibri"/>
      <family val="2"/>
      <charset val="204"/>
    </font>
    <font>
      <sz val="11"/>
      <color rgb="FF3E5057"/>
      <name val="Tahoma"/>
      <family val="2"/>
      <charset val="204"/>
    </font>
    <font>
      <sz val="10"/>
      <color rgb="FF3E5057"/>
      <name val="Tahoma"/>
      <family val="2"/>
      <charset val="204"/>
    </font>
    <font>
      <b/>
      <sz val="10"/>
      <color rgb="FF3E5057"/>
      <name val="Tahoma"/>
      <family val="2"/>
      <charset val="204"/>
    </font>
    <font>
      <b/>
      <sz val="11"/>
      <color rgb="FF3E5057"/>
      <name val="Tahoma"/>
      <family val="2"/>
      <charset val="204"/>
    </font>
    <font>
      <b/>
      <sz val="16"/>
      <color rgb="FF3E5057"/>
      <name val="Tahoma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6"/>
      <color theme="1" tint="0.14999847407452621"/>
      <name val="Tahoma"/>
      <family val="2"/>
      <charset val="204"/>
    </font>
    <font>
      <b/>
      <sz val="12"/>
      <color theme="1" tint="0.14999847407452621"/>
      <name val="Tahoma"/>
      <family val="2"/>
      <charset val="204"/>
    </font>
    <font>
      <sz val="12"/>
      <color theme="1" tint="0.14999847407452621"/>
      <name val="Tahoma"/>
      <family val="2"/>
      <charset val="204"/>
    </font>
    <font>
      <sz val="14"/>
      <color theme="1" tint="0.14999847407452621"/>
      <name val="Tahoma"/>
      <family val="2"/>
      <charset val="204"/>
    </font>
    <font>
      <i/>
      <sz val="12"/>
      <color theme="1" tint="0.14999847407452621"/>
      <name val="Tahoma"/>
      <family val="2"/>
      <charset val="204"/>
    </font>
    <font>
      <i/>
      <sz val="14"/>
      <color theme="1" tint="0.14999847407452621"/>
      <name val="Tahoma"/>
      <family val="2"/>
      <charset val="204"/>
    </font>
    <font>
      <b/>
      <sz val="14"/>
      <color theme="1" tint="0.14999847407452621"/>
      <name val="Tahoma"/>
      <family val="2"/>
      <charset val="204"/>
    </font>
    <font>
      <i/>
      <sz val="10"/>
      <color theme="1" tint="0.14999847407452621"/>
      <name val="Tahoma"/>
      <family val="2"/>
      <charset val="204"/>
    </font>
    <font>
      <sz val="10"/>
      <color theme="1" tint="0.14999847407452621"/>
      <name val="Tahoma"/>
      <family val="2"/>
      <charset val="204"/>
    </font>
    <font>
      <sz val="10"/>
      <color theme="1"/>
      <name val="Arial Cyr"/>
      <charset val="204"/>
    </font>
    <font>
      <b/>
      <sz val="10"/>
      <color theme="1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18"/>
      <name val="Arial"/>
      <family val="2"/>
      <charset val="204"/>
    </font>
    <font>
      <i/>
      <sz val="12"/>
      <color rgb="FFFF0000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name val="Arial Cyr"/>
      <charset val="204"/>
    </font>
    <font>
      <b/>
      <sz val="12"/>
      <color rgb="FFFF0000"/>
      <name val="Arial Cyr"/>
      <charset val="204"/>
    </font>
    <font>
      <b/>
      <sz val="12"/>
      <color rgb="FFFF0000"/>
      <name val="Tahoma"/>
      <family val="2"/>
      <charset val="204"/>
    </font>
    <font>
      <i/>
      <sz val="9"/>
      <name val="Tahoma"/>
      <family val="2"/>
      <charset val="204"/>
    </font>
    <font>
      <sz val="12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7"/>
      <color rgb="FF000000"/>
      <name val="Times New Roman"/>
      <family val="1"/>
      <charset val="204"/>
    </font>
    <font>
      <b/>
      <sz val="10"/>
      <color rgb="FFFF0000"/>
      <name val="Tahoma"/>
      <family val="2"/>
      <charset val="204"/>
    </font>
    <font>
      <b/>
      <i/>
      <sz val="10"/>
      <color theme="1"/>
      <name val="Arial Cyr"/>
      <charset val="204"/>
    </font>
    <font>
      <sz val="14"/>
      <name val="Tahoma"/>
      <family val="2"/>
      <charset val="204"/>
    </font>
    <font>
      <sz val="14"/>
      <color theme="1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2"/>
      <color rgb="FF3E5057"/>
      <name val="Tahoma"/>
      <family val="2"/>
      <charset val="204"/>
    </font>
    <font>
      <sz val="12"/>
      <color rgb="FF2F444E"/>
      <name val="Tahoma"/>
      <family val="2"/>
      <charset val="204"/>
    </font>
    <font>
      <sz val="12"/>
      <color indexed="8"/>
      <name val="Tahoma"/>
      <family val="2"/>
      <charset val="204"/>
    </font>
    <font>
      <i/>
      <sz val="10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i/>
      <u/>
      <sz val="10"/>
      <color theme="1" tint="0.14999847407452621"/>
      <name val="Tahoma"/>
      <family val="2"/>
      <charset val="204"/>
    </font>
    <font>
      <i/>
      <sz val="10"/>
      <color rgb="FFFF0000"/>
      <name val="Arial Cyr"/>
      <charset val="204"/>
    </font>
    <font>
      <b/>
      <sz val="11"/>
      <color rgb="FFFF0000"/>
      <name val="Arial Cyr"/>
      <charset val="204"/>
    </font>
    <font>
      <b/>
      <sz val="14"/>
      <color rgb="FFFF0000"/>
      <name val="Tahoma"/>
      <family val="2"/>
      <charset val="204"/>
    </font>
    <font>
      <b/>
      <sz val="14"/>
      <color rgb="FFFF0000"/>
      <name val="Arial Cyr"/>
      <charset val="204"/>
    </font>
    <font>
      <sz val="10"/>
      <color rgb="FFFF0000"/>
      <name val="Arial Cyr"/>
      <charset val="204"/>
    </font>
    <font>
      <sz val="11"/>
      <color rgb="FFFF0000"/>
      <name val="Tahoma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b/>
      <sz val="11"/>
      <color theme="1" tint="0.14999847407452621"/>
      <name val="Calibri"/>
      <family val="2"/>
      <charset val="204"/>
      <scheme val="minor"/>
    </font>
    <font>
      <sz val="10"/>
      <color rgb="FFFF0000"/>
      <name val="Tahoma"/>
      <family val="2"/>
      <charset val="204"/>
    </font>
    <font>
      <i/>
      <sz val="10"/>
      <color theme="0" tint="-0.34998626667073579"/>
      <name val="Tahoma"/>
      <family val="2"/>
      <charset val="204"/>
    </font>
    <font>
      <u/>
      <sz val="12"/>
      <color theme="1" tint="0.14999847407452621"/>
      <name val="Tahoma"/>
      <family val="2"/>
      <charset val="204"/>
    </font>
    <font>
      <b/>
      <sz val="12"/>
      <color theme="0"/>
      <name val="Tahoma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9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7">
    <xf numFmtId="0" fontId="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59" fillId="0" borderId="0"/>
  </cellStyleXfs>
  <cellXfs count="710">
    <xf numFmtId="0" fontId="0" fillId="0" borderId="0" xfId="0"/>
    <xf numFmtId="0" fontId="0" fillId="2" borderId="0" xfId="0" applyFill="1"/>
    <xf numFmtId="2" fontId="0" fillId="0" borderId="0" xfId="0" applyNumberFormat="1"/>
    <xf numFmtId="0" fontId="0" fillId="0" borderId="0" xfId="0" applyBorder="1" applyProtection="1"/>
    <xf numFmtId="0" fontId="0" fillId="0" borderId="0" xfId="0" applyProtection="1"/>
    <xf numFmtId="0" fontId="0" fillId="3" borderId="1" xfId="0" applyFill="1" applyBorder="1" applyProtection="1"/>
    <xf numFmtId="0" fontId="0" fillId="3" borderId="0" xfId="0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5" xfId="0" applyFill="1" applyBorder="1" applyProtection="1"/>
    <xf numFmtId="0" fontId="12" fillId="0" borderId="0" xfId="0" applyFont="1" applyFill="1"/>
    <xf numFmtId="0" fontId="13" fillId="0" borderId="6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4" fillId="0" borderId="0" xfId="0" applyFont="1" applyFill="1"/>
    <xf numFmtId="4" fontId="12" fillId="0" borderId="7" xfId="0" applyNumberFormat="1" applyFont="1" applyFill="1" applyBorder="1"/>
    <xf numFmtId="1" fontId="12" fillId="0" borderId="0" xfId="0" applyNumberFormat="1" applyFont="1" applyFill="1" applyBorder="1"/>
    <xf numFmtId="0" fontId="0" fillId="0" borderId="0" xfId="0" applyFont="1" applyFill="1" applyAlignment="1">
      <alignment horizontal="center" vertical="center"/>
    </xf>
    <xf numFmtId="14" fontId="0" fillId="3" borderId="4" xfId="0" applyNumberFormat="1" applyFill="1" applyBorder="1" applyProtection="1"/>
    <xf numFmtId="14" fontId="0" fillId="0" borderId="0" xfId="0" applyNumberFormat="1" applyProtection="1"/>
    <xf numFmtId="0" fontId="1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protection locked="0"/>
    </xf>
    <xf numFmtId="0" fontId="1" fillId="4" borderId="0" xfId="0" applyFont="1" applyFill="1" applyBorder="1" applyAlignment="1" applyProtection="1">
      <alignment vertical="top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1" fillId="4" borderId="0" xfId="0" applyFont="1" applyFill="1" applyBorder="1" applyAlignment="1" applyProtection="1">
      <protection locked="0"/>
    </xf>
    <xf numFmtId="0" fontId="0" fillId="4" borderId="0" xfId="0" applyFill="1"/>
    <xf numFmtId="0" fontId="6" fillId="4" borderId="0" xfId="0" applyFont="1" applyFill="1" applyBorder="1" applyAlignment="1" applyProtection="1">
      <alignment horizontal="center"/>
    </xf>
    <xf numFmtId="166" fontId="6" fillId="4" borderId="0" xfId="0" applyNumberFormat="1" applyFont="1" applyFill="1" applyBorder="1" applyAlignment="1" applyProtection="1">
      <alignment horizontal="center"/>
    </xf>
    <xf numFmtId="10" fontId="6" fillId="4" borderId="0" xfId="0" applyNumberFormat="1" applyFont="1" applyFill="1" applyBorder="1" applyAlignment="1" applyProtection="1">
      <alignment horizontal="center"/>
    </xf>
    <xf numFmtId="4" fontId="6" fillId="4" borderId="0" xfId="0" applyNumberFormat="1" applyFont="1" applyFill="1" applyBorder="1" applyAlignment="1" applyProtection="1">
      <alignment horizontal="center"/>
    </xf>
    <xf numFmtId="0" fontId="1" fillId="4" borderId="0" xfId="0" applyFont="1" applyFill="1" applyAlignment="1" applyProtection="1">
      <alignment vertical="top"/>
      <protection locked="0"/>
    </xf>
    <xf numFmtId="0" fontId="0" fillId="4" borderId="0" xfId="0" applyFill="1" applyAlignment="1" applyProtection="1">
      <alignment horizontal="center"/>
      <protection locked="0"/>
    </xf>
    <xf numFmtId="0" fontId="1" fillId="4" borderId="0" xfId="0" applyFont="1" applyFill="1" applyAlignment="1" applyProtection="1">
      <protection locked="0"/>
    </xf>
    <xf numFmtId="0" fontId="0" fillId="0" borderId="0" xfId="0" applyAlignment="1">
      <alignment vertical="center"/>
    </xf>
    <xf numFmtId="1" fontId="6" fillId="4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protection locked="0"/>
    </xf>
    <xf numFmtId="0" fontId="0" fillId="4" borderId="0" xfId="0" applyFill="1" applyAlignment="1">
      <alignment vertical="center"/>
    </xf>
    <xf numFmtId="0" fontId="6" fillId="4" borderId="0" xfId="0" applyFont="1" applyFill="1" applyBorder="1" applyAlignment="1" applyProtection="1">
      <alignment horizontal="center" wrapText="1"/>
    </xf>
    <xf numFmtId="3" fontId="6" fillId="4" borderId="0" xfId="0" applyNumberFormat="1" applyFont="1" applyFill="1" applyBorder="1" applyAlignment="1" applyProtection="1">
      <alignment horizontal="center" wrapText="1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2" fillId="4" borderId="0" xfId="0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protection locked="0"/>
    </xf>
    <xf numFmtId="3" fontId="5" fillId="4" borderId="0" xfId="0" applyNumberFormat="1" applyFont="1" applyFill="1" applyBorder="1" applyAlignment="1" applyProtection="1">
      <protection locked="0"/>
    </xf>
    <xf numFmtId="0" fontId="7" fillId="4" borderId="0" xfId="0" applyFont="1" applyFill="1" applyBorder="1" applyAlignment="1" applyProtection="1">
      <alignment horizontal="center" wrapText="1"/>
    </xf>
    <xf numFmtId="3" fontId="7" fillId="4" borderId="0" xfId="0" applyNumberFormat="1" applyFont="1" applyFill="1" applyBorder="1" applyAlignment="1" applyProtection="1">
      <alignment horizontal="center" wrapText="1"/>
    </xf>
    <xf numFmtId="0" fontId="6" fillId="4" borderId="0" xfId="0" applyFont="1" applyFill="1" applyBorder="1" applyAlignment="1" applyProtection="1">
      <alignment horizontal="center" vertical="center" wrapText="1"/>
    </xf>
    <xf numFmtId="0" fontId="6" fillId="4" borderId="0" xfId="0" applyFont="1" applyFill="1" applyBorder="1" applyAlignment="1" applyProtection="1">
      <alignment horizontal="center" vertical="center"/>
    </xf>
    <xf numFmtId="3" fontId="6" fillId="4" borderId="0" xfId="0" applyNumberFormat="1" applyFont="1" applyFill="1" applyBorder="1" applyAlignment="1" applyProtection="1">
      <alignment horizontal="center" vertical="center" wrapText="1"/>
    </xf>
    <xf numFmtId="0" fontId="2" fillId="4" borderId="0" xfId="0" applyFont="1" applyFill="1" applyBorder="1" applyAlignment="1" applyProtection="1">
      <alignment vertical="center"/>
    </xf>
    <xf numFmtId="4" fontId="3" fillId="4" borderId="0" xfId="2" applyNumberFormat="1" applyFont="1" applyFill="1" applyBorder="1" applyAlignment="1" applyProtection="1">
      <alignment horizontal="right" vertical="center" indent="1"/>
    </xf>
    <xf numFmtId="0" fontId="2" fillId="4" borderId="0" xfId="0" applyFont="1" applyFill="1" applyBorder="1" applyAlignment="1" applyProtection="1">
      <alignment vertical="center" wrapText="1"/>
    </xf>
    <xf numFmtId="4" fontId="3" fillId="4" borderId="0" xfId="0" applyNumberFormat="1" applyFont="1" applyFill="1" applyBorder="1" applyAlignment="1" applyProtection="1">
      <alignment horizontal="right" vertical="center" indent="1"/>
    </xf>
    <xf numFmtId="0" fontId="9" fillId="4" borderId="0" xfId="0" applyFont="1" applyFill="1" applyBorder="1" applyAlignment="1" applyProtection="1">
      <alignment horizontal="left"/>
      <protection locked="0"/>
    </xf>
    <xf numFmtId="166" fontId="6" fillId="0" borderId="8" xfId="0" applyNumberFormat="1" applyFont="1" applyBorder="1" applyAlignment="1" applyProtection="1">
      <alignment vertical="center"/>
    </xf>
    <xf numFmtId="1" fontId="6" fillId="0" borderId="8" xfId="0" applyNumberFormat="1" applyFont="1" applyFill="1" applyBorder="1" applyAlignment="1" applyProtection="1">
      <alignment horizontal="right" vertical="center"/>
    </xf>
    <xf numFmtId="10" fontId="6" fillId="0" borderId="8" xfId="0" applyNumberFormat="1" applyFont="1" applyFill="1" applyBorder="1" applyAlignment="1" applyProtection="1">
      <alignment horizontal="right" vertical="center"/>
    </xf>
    <xf numFmtId="4" fontId="6" fillId="0" borderId="8" xfId="0" applyNumberFormat="1" applyFont="1" applyFill="1" applyBorder="1" applyAlignment="1" applyProtection="1">
      <alignment horizontal="right" vertical="center"/>
    </xf>
    <xf numFmtId="4" fontId="6" fillId="0" borderId="8" xfId="0" applyNumberFormat="1" applyFont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4" fontId="6" fillId="0" borderId="10" xfId="0" applyNumberFormat="1" applyFont="1" applyFill="1" applyBorder="1" applyAlignment="1" applyProtection="1">
      <alignment horizontal="right" vertical="center"/>
    </xf>
    <xf numFmtId="0" fontId="6" fillId="2" borderId="11" xfId="0" applyFont="1" applyFill="1" applyBorder="1" applyAlignment="1" applyProtection="1">
      <alignment horizontal="right" vertical="center"/>
    </xf>
    <xf numFmtId="166" fontId="6" fillId="2" borderId="12" xfId="0" applyNumberFormat="1" applyFont="1" applyFill="1" applyBorder="1" applyAlignment="1" applyProtection="1">
      <alignment vertical="center"/>
    </xf>
    <xf numFmtId="1" fontId="6" fillId="2" borderId="12" xfId="0" applyNumberFormat="1" applyFont="1" applyFill="1" applyBorder="1" applyAlignment="1" applyProtection="1">
      <alignment horizontal="right" vertical="center"/>
    </xf>
    <xf numFmtId="10" fontId="6" fillId="2" borderId="12" xfId="0" applyNumberFormat="1" applyFont="1" applyFill="1" applyBorder="1" applyAlignment="1" applyProtection="1">
      <alignment horizontal="right" vertical="center"/>
    </xf>
    <xf numFmtId="4" fontId="6" fillId="2" borderId="12" xfId="0" applyNumberFormat="1" applyFont="1" applyFill="1" applyBorder="1" applyAlignment="1" applyProtection="1">
      <alignment horizontal="right" vertical="center"/>
    </xf>
    <xf numFmtId="4" fontId="6" fillId="2" borderId="13" xfId="0" applyNumberFormat="1" applyFont="1" applyFill="1" applyBorder="1" applyAlignment="1" applyProtection="1">
      <alignment horizontal="right" vertical="center"/>
    </xf>
    <xf numFmtId="0" fontId="13" fillId="0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 applyProtection="1">
      <alignment vertical="top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protection locked="0"/>
    </xf>
    <xf numFmtId="166" fontId="6" fillId="0" borderId="8" xfId="0" applyNumberFormat="1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right" vertical="center"/>
    </xf>
    <xf numFmtId="166" fontId="6" fillId="0" borderId="12" xfId="0" applyNumberFormat="1" applyFont="1" applyFill="1" applyBorder="1" applyAlignment="1" applyProtection="1">
      <alignment vertical="center"/>
    </xf>
    <xf numFmtId="1" fontId="6" fillId="0" borderId="12" xfId="0" applyNumberFormat="1" applyFont="1" applyFill="1" applyBorder="1" applyAlignment="1" applyProtection="1">
      <alignment horizontal="right" vertical="center"/>
    </xf>
    <xf numFmtId="10" fontId="6" fillId="0" borderId="12" xfId="0" applyNumberFormat="1" applyFont="1" applyFill="1" applyBorder="1" applyAlignment="1" applyProtection="1">
      <alignment horizontal="right" vertical="center"/>
    </xf>
    <xf numFmtId="4" fontId="6" fillId="0" borderId="12" xfId="0" applyNumberFormat="1" applyFont="1" applyFill="1" applyBorder="1" applyAlignment="1" applyProtection="1">
      <alignment horizontal="right" vertical="center"/>
    </xf>
    <xf numFmtId="4" fontId="6" fillId="0" borderId="13" xfId="0" applyNumberFormat="1" applyFont="1" applyFill="1" applyBorder="1" applyAlignment="1" applyProtection="1">
      <alignment horizontal="right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1" fontId="13" fillId="0" borderId="17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1" fontId="12" fillId="0" borderId="7" xfId="0" applyNumberFormat="1" applyFont="1" applyFill="1" applyBorder="1"/>
    <xf numFmtId="0" fontId="12" fillId="0" borderId="19" xfId="0" applyFont="1" applyFill="1" applyBorder="1"/>
    <xf numFmtId="4" fontId="12" fillId="0" borderId="20" xfId="0" applyNumberFormat="1" applyFont="1" applyFill="1" applyBorder="1"/>
    <xf numFmtId="0" fontId="12" fillId="0" borderId="21" xfId="0" applyFont="1" applyFill="1" applyBorder="1"/>
    <xf numFmtId="1" fontId="12" fillId="0" borderId="22" xfId="0" applyNumberFormat="1" applyFont="1" applyFill="1" applyBorder="1"/>
    <xf numFmtId="4" fontId="12" fillId="0" borderId="22" xfId="0" applyNumberFormat="1" applyFont="1" applyFill="1" applyBorder="1"/>
    <xf numFmtId="4" fontId="12" fillId="0" borderId="23" xfId="0" applyNumberFormat="1" applyFont="1" applyFill="1" applyBorder="1"/>
    <xf numFmtId="0" fontId="12" fillId="0" borderId="9" xfId="0" applyFont="1" applyFill="1" applyBorder="1"/>
    <xf numFmtId="1" fontId="12" fillId="0" borderId="8" xfId="0" applyNumberFormat="1" applyFont="1" applyFill="1" applyBorder="1"/>
    <xf numFmtId="4" fontId="12" fillId="0" borderId="8" xfId="0" applyNumberFormat="1" applyFont="1" applyFill="1" applyBorder="1"/>
    <xf numFmtId="4" fontId="12" fillId="0" borderId="10" xfId="0" applyNumberFormat="1" applyFont="1" applyFill="1" applyBorder="1"/>
    <xf numFmtId="167" fontId="12" fillId="0" borderId="24" xfId="0" applyNumberFormat="1" applyFont="1" applyFill="1" applyBorder="1"/>
    <xf numFmtId="167" fontId="12" fillId="0" borderId="25" xfId="0" applyNumberFormat="1" applyFont="1" applyFill="1" applyBorder="1"/>
    <xf numFmtId="0" fontId="16" fillId="0" borderId="0" xfId="0" applyFont="1" applyBorder="1" applyProtection="1"/>
    <xf numFmtId="4" fontId="17" fillId="0" borderId="7" xfId="0" applyNumberFormat="1" applyFont="1" applyFill="1" applyBorder="1" applyProtection="1">
      <protection hidden="1"/>
    </xf>
    <xf numFmtId="0" fontId="0" fillId="2" borderId="7" xfId="0" applyFill="1" applyBorder="1" applyAlignment="1" applyProtection="1">
      <alignment horizontal="center" vertical="center" wrapText="1"/>
      <protection hidden="1"/>
    </xf>
    <xf numFmtId="10" fontId="0" fillId="0" borderId="7" xfId="0" applyNumberFormat="1" applyFill="1" applyBorder="1" applyProtection="1">
      <protection hidden="1"/>
    </xf>
    <xf numFmtId="14" fontId="0" fillId="0" borderId="7" xfId="0" applyNumberFormat="1" applyFill="1" applyBorder="1" applyProtection="1">
      <protection hidden="1"/>
    </xf>
    <xf numFmtId="0" fontId="31" fillId="7" borderId="3" xfId="0" applyFont="1" applyFill="1" applyBorder="1" applyProtection="1"/>
    <xf numFmtId="0" fontId="31" fillId="7" borderId="4" xfId="0" applyFont="1" applyFill="1" applyBorder="1" applyProtection="1"/>
    <xf numFmtId="0" fontId="31" fillId="7" borderId="5" xfId="0" applyFont="1" applyFill="1" applyBorder="1" applyProtection="1"/>
    <xf numFmtId="0" fontId="32" fillId="7" borderId="1" xfId="0" applyFont="1" applyFill="1" applyBorder="1" applyProtection="1"/>
    <xf numFmtId="0" fontId="32" fillId="7" borderId="0" xfId="0" applyFont="1" applyFill="1" applyBorder="1" applyProtection="1"/>
    <xf numFmtId="0" fontId="32" fillId="7" borderId="2" xfId="0" applyFont="1" applyFill="1" applyBorder="1" applyProtection="1"/>
    <xf numFmtId="14" fontId="32" fillId="7" borderId="7" xfId="0" applyNumberFormat="1" applyFont="1" applyFill="1" applyBorder="1" applyProtection="1">
      <protection locked="0"/>
    </xf>
    <xf numFmtId="0" fontId="32" fillId="7" borderId="0" xfId="0" applyFont="1" applyFill="1" applyBorder="1" applyAlignment="1" applyProtection="1">
      <alignment horizontal="left"/>
    </xf>
    <xf numFmtId="0" fontId="32" fillId="7" borderId="26" xfId="0" applyFont="1" applyFill="1" applyBorder="1" applyProtection="1"/>
    <xf numFmtId="0" fontId="32" fillId="7" borderId="27" xfId="0" applyFont="1" applyFill="1" applyBorder="1" applyProtection="1"/>
    <xf numFmtId="0" fontId="32" fillId="7" borderId="28" xfId="0" applyFont="1" applyFill="1" applyBorder="1" applyProtection="1"/>
    <xf numFmtId="4" fontId="32" fillId="7" borderId="7" xfId="0" applyNumberFormat="1" applyFont="1" applyFill="1" applyBorder="1" applyProtection="1">
      <protection locked="0"/>
    </xf>
    <xf numFmtId="3" fontId="32" fillId="7" borderId="7" xfId="0" applyNumberFormat="1" applyFont="1" applyFill="1" applyBorder="1" applyProtection="1">
      <protection locked="0"/>
    </xf>
    <xf numFmtId="0" fontId="32" fillId="7" borderId="7" xfId="0" applyFont="1" applyFill="1" applyBorder="1" applyAlignment="1" applyProtection="1">
      <alignment horizontal="left"/>
      <protection locked="0"/>
    </xf>
    <xf numFmtId="10" fontId="32" fillId="7" borderId="7" xfId="0" applyNumberFormat="1" applyFont="1" applyFill="1" applyBorder="1" applyAlignment="1" applyProtection="1">
      <alignment vertical="center"/>
      <protection locked="0"/>
    </xf>
    <xf numFmtId="0" fontId="33" fillId="7" borderId="0" xfId="0" applyFont="1" applyFill="1" applyBorder="1" applyProtection="1"/>
    <xf numFmtId="0" fontId="33" fillId="7" borderId="2" xfId="0" applyFont="1" applyFill="1" applyBorder="1" applyProtection="1"/>
    <xf numFmtId="0" fontId="33" fillId="7" borderId="0" xfId="0" applyFont="1" applyFill="1" applyBorder="1" applyAlignment="1" applyProtection="1">
      <alignment horizontal="left"/>
    </xf>
    <xf numFmtId="0" fontId="33" fillId="7" borderId="27" xfId="0" applyFont="1" applyFill="1" applyBorder="1" applyProtection="1"/>
    <xf numFmtId="0" fontId="33" fillId="7" borderId="28" xfId="0" applyFont="1" applyFill="1" applyBorder="1" applyProtection="1"/>
    <xf numFmtId="0" fontId="33" fillId="7" borderId="2" xfId="0" applyFont="1" applyFill="1" applyBorder="1" applyAlignment="1" applyProtection="1">
      <alignment horizontal="left"/>
    </xf>
    <xf numFmtId="0" fontId="26" fillId="0" borderId="0" xfId="0" applyFont="1" applyBorder="1" applyAlignment="1" applyProtection="1">
      <alignment vertical="top"/>
      <protection locked="0"/>
    </xf>
    <xf numFmtId="0" fontId="21" fillId="0" borderId="0" xfId="0" applyFont="1" applyAlignment="1" applyProtection="1">
      <alignment vertical="top"/>
      <protection locked="0"/>
    </xf>
    <xf numFmtId="0" fontId="27" fillId="0" borderId="0" xfId="0" applyFont="1" applyAlignment="1" applyProtection="1">
      <alignment horizontal="center"/>
      <protection locked="0"/>
    </xf>
    <xf numFmtId="0" fontId="21" fillId="0" borderId="0" xfId="0" applyFont="1" applyBorder="1" applyAlignment="1" applyProtection="1">
      <alignment vertical="top"/>
      <protection locked="0"/>
    </xf>
    <xf numFmtId="0" fontId="21" fillId="0" borderId="0" xfId="0" applyFont="1" applyAlignment="1" applyProtection="1">
      <protection locked="0"/>
    </xf>
    <xf numFmtId="0" fontId="33" fillId="7" borderId="24" xfId="0" applyFont="1" applyFill="1" applyBorder="1" applyAlignment="1" applyProtection="1">
      <alignment horizontal="left" vertical="center"/>
    </xf>
    <xf numFmtId="0" fontId="26" fillId="0" borderId="0" xfId="0" applyFont="1" applyBorder="1" applyAlignment="1" applyProtection="1">
      <protection locked="0"/>
    </xf>
    <xf numFmtId="0" fontId="21" fillId="0" borderId="0" xfId="0" applyFont="1" applyBorder="1" applyAlignment="1" applyProtection="1">
      <protection locked="0"/>
    </xf>
    <xf numFmtId="0" fontId="33" fillId="7" borderId="7" xfId="0" applyFont="1" applyFill="1" applyBorder="1" applyAlignment="1" applyProtection="1">
      <alignment vertical="center"/>
    </xf>
    <xf numFmtId="1" fontId="34" fillId="7" borderId="29" xfId="0" applyNumberFormat="1" applyFont="1" applyFill="1" applyBorder="1" applyAlignment="1" applyProtection="1">
      <alignment horizontal="right" vertical="center" indent="1"/>
      <protection locked="0"/>
    </xf>
    <xf numFmtId="1" fontId="34" fillId="7" borderId="30" xfId="0" applyNumberFormat="1" applyFont="1" applyFill="1" applyBorder="1" applyAlignment="1" applyProtection="1">
      <alignment horizontal="right" vertical="center" indent="1"/>
      <protection locked="0"/>
    </xf>
    <xf numFmtId="3" fontId="28" fillId="0" borderId="0" xfId="0" applyNumberFormat="1" applyFont="1" applyFill="1" applyBorder="1" applyAlignment="1" applyProtection="1">
      <protection locked="0"/>
    </xf>
    <xf numFmtId="0" fontId="29" fillId="0" borderId="31" xfId="0" applyFont="1" applyFill="1" applyBorder="1" applyAlignment="1" applyProtection="1">
      <alignment horizontal="center" vertical="center" wrapText="1"/>
    </xf>
    <xf numFmtId="0" fontId="29" fillId="0" borderId="32" xfId="0" applyFont="1" applyFill="1" applyBorder="1" applyAlignment="1" applyProtection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27" fillId="0" borderId="0" xfId="0" applyFont="1"/>
    <xf numFmtId="0" fontId="39" fillId="0" borderId="0" xfId="3"/>
    <xf numFmtId="3" fontId="39" fillId="0" borderId="0" xfId="3" applyNumberFormat="1" applyAlignment="1">
      <alignment horizontal="center" vertical="center"/>
    </xf>
    <xf numFmtId="0" fontId="39" fillId="0" borderId="0" xfId="3" applyBorder="1"/>
    <xf numFmtId="0" fontId="42" fillId="9" borderId="7" xfId="3" applyFont="1" applyFill="1" applyBorder="1" applyAlignment="1" applyProtection="1">
      <alignment horizontal="center" vertical="center"/>
      <protection locked="0" hidden="1"/>
    </xf>
    <xf numFmtId="3" fontId="42" fillId="9" borderId="7" xfId="3" applyNumberFormat="1" applyFont="1" applyFill="1" applyBorder="1" applyAlignment="1" applyProtection="1">
      <alignment horizontal="right" vertical="center"/>
      <protection locked="0" hidden="1"/>
    </xf>
    <xf numFmtId="3" fontId="42" fillId="9" borderId="7" xfId="3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3" applyFont="1"/>
    <xf numFmtId="3" fontId="49" fillId="0" borderId="0" xfId="3" applyNumberFormat="1" applyFont="1" applyAlignment="1">
      <alignment horizontal="center" vertical="center"/>
    </xf>
    <xf numFmtId="0" fontId="49" fillId="0" borderId="0" xfId="3" applyFont="1" applyBorder="1"/>
    <xf numFmtId="3" fontId="49" fillId="0" borderId="0" xfId="3" applyNumberFormat="1" applyFont="1" applyBorder="1" applyAlignment="1">
      <alignment horizontal="center" vertical="center"/>
    </xf>
    <xf numFmtId="0" fontId="50" fillId="0" borderId="0" xfId="3" applyFont="1" applyBorder="1"/>
    <xf numFmtId="0" fontId="49" fillId="0" borderId="0" xfId="3" applyFont="1" applyBorder="1" applyAlignment="1">
      <alignment horizontal="left"/>
    </xf>
    <xf numFmtId="0" fontId="49" fillId="0" borderId="0" xfId="3" applyFont="1" applyFill="1" applyBorder="1" applyAlignment="1">
      <alignment horizontal="center"/>
    </xf>
    <xf numFmtId="170" fontId="49" fillId="0" borderId="0" xfId="3" applyNumberFormat="1" applyFont="1" applyBorder="1"/>
    <xf numFmtId="0" fontId="39" fillId="0" borderId="7" xfId="3" applyBorder="1"/>
    <xf numFmtId="3" fontId="39" fillId="0" borderId="7" xfId="3" applyNumberFormat="1" applyBorder="1" applyAlignment="1">
      <alignment horizontal="left" vertical="center"/>
    </xf>
    <xf numFmtId="0" fontId="39" fillId="0" borderId="7" xfId="3" applyBorder="1" applyAlignment="1">
      <alignment wrapText="1"/>
    </xf>
    <xf numFmtId="0" fontId="51" fillId="0" borderId="7" xfId="3" applyFont="1" applyBorder="1" applyAlignment="1">
      <alignment horizontal="center"/>
    </xf>
    <xf numFmtId="0" fontId="39" fillId="0" borderId="31" xfId="3" applyBorder="1"/>
    <xf numFmtId="0" fontId="39" fillId="0" borderId="52" xfId="3" applyBorder="1"/>
    <xf numFmtId="3" fontId="39" fillId="0" borderId="7" xfId="3" applyNumberFormat="1" applyBorder="1" applyAlignment="1">
      <alignment horizontal="center" vertical="center"/>
    </xf>
    <xf numFmtId="0" fontId="39" fillId="0" borderId="7" xfId="3" applyBorder="1" applyAlignment="1">
      <alignment horizontal="left" wrapText="1"/>
    </xf>
    <xf numFmtId="3" fontId="0" fillId="0" borderId="7" xfId="4" applyNumberFormat="1" applyFont="1" applyBorder="1" applyAlignment="1">
      <alignment horizontal="center" vertical="center"/>
    </xf>
    <xf numFmtId="0" fontId="39" fillId="0" borderId="7" xfId="3" applyBorder="1" applyAlignment="1">
      <alignment horizontal="left" vertical="center" wrapText="1"/>
    </xf>
    <xf numFmtId="0" fontId="39" fillId="0" borderId="0" xfId="3" applyAlignment="1">
      <alignment horizontal="left" vertical="center"/>
    </xf>
    <xf numFmtId="0" fontId="39" fillId="0" borderId="0" xfId="3" applyBorder="1" applyAlignment="1">
      <alignment horizontal="left" vertical="center"/>
    </xf>
    <xf numFmtId="0" fontId="39" fillId="0" borderId="0" xfId="3" applyAlignment="1">
      <alignment wrapText="1"/>
    </xf>
    <xf numFmtId="3" fontId="39" fillId="0" borderId="0" xfId="3" applyNumberFormat="1"/>
    <xf numFmtId="0" fontId="39" fillId="0" borderId="7" xfId="3" applyFill="1" applyBorder="1" applyAlignment="1">
      <alignment wrapText="1"/>
    </xf>
    <xf numFmtId="0" fontId="39" fillId="0" borderId="0" xfId="3" applyFill="1" applyBorder="1" applyAlignment="1">
      <alignment wrapText="1"/>
    </xf>
    <xf numFmtId="3" fontId="39" fillId="0" borderId="0" xfId="3" applyNumberFormat="1" applyAlignment="1">
      <alignment horizontal="left" vertical="center"/>
    </xf>
    <xf numFmtId="9" fontId="0" fillId="0" borderId="0" xfId="4" applyFont="1" applyAlignment="1">
      <alignment horizontal="center" vertical="center"/>
    </xf>
    <xf numFmtId="10" fontId="0" fillId="0" borderId="0" xfId="4" applyNumberFormat="1" applyFont="1" applyAlignment="1">
      <alignment horizontal="center" vertical="center"/>
    </xf>
    <xf numFmtId="171" fontId="0" fillId="0" borderId="0" xfId="4" applyNumberFormat="1" applyFont="1" applyAlignment="1">
      <alignment horizontal="center" vertical="center"/>
    </xf>
    <xf numFmtId="3" fontId="0" fillId="0" borderId="0" xfId="4" applyNumberFormat="1" applyFont="1" applyAlignment="1">
      <alignment horizontal="center" vertical="center"/>
    </xf>
    <xf numFmtId="172" fontId="0" fillId="0" borderId="0" xfId="5" applyNumberFormat="1" applyFont="1" applyAlignment="1">
      <alignment horizontal="center"/>
    </xf>
    <xf numFmtId="165" fontId="0" fillId="0" borderId="0" xfId="5" applyFont="1"/>
    <xf numFmtId="165" fontId="39" fillId="0" borderId="0" xfId="3" applyNumberFormat="1"/>
    <xf numFmtId="172" fontId="0" fillId="0" borderId="7" xfId="5" applyNumberFormat="1" applyFont="1" applyBorder="1" applyAlignment="1">
      <alignment horizontal="center"/>
    </xf>
    <xf numFmtId="0" fontId="51" fillId="0" borderId="7" xfId="3" applyFont="1" applyFill="1" applyBorder="1" applyAlignment="1">
      <alignment wrapText="1"/>
    </xf>
    <xf numFmtId="3" fontId="52" fillId="0" borderId="7" xfId="3" applyNumberFormat="1" applyFont="1" applyBorder="1" applyAlignment="1">
      <alignment horizontal="center" vertical="center"/>
    </xf>
    <xf numFmtId="0" fontId="39" fillId="0" borderId="7" xfId="3" applyBorder="1" applyAlignment="1">
      <alignment horizontal="center"/>
    </xf>
    <xf numFmtId="10" fontId="0" fillId="0" borderId="0" xfId="4" applyNumberFormat="1" applyFont="1"/>
    <xf numFmtId="10" fontId="52" fillId="0" borderId="0" xfId="4" applyNumberFormat="1" applyFont="1" applyFill="1" applyBorder="1" applyAlignment="1">
      <alignment horizontal="center" vertical="center"/>
    </xf>
    <xf numFmtId="3" fontId="52" fillId="0" borderId="7" xfId="4" applyNumberFormat="1" applyFont="1" applyBorder="1" applyAlignment="1">
      <alignment horizontal="center" vertical="center"/>
    </xf>
    <xf numFmtId="164" fontId="39" fillId="0" borderId="0" xfId="3" applyNumberFormat="1"/>
    <xf numFmtId="0" fontId="51" fillId="0" borderId="0" xfId="3" applyFont="1" applyFill="1" applyBorder="1" applyAlignment="1">
      <alignment wrapText="1"/>
    </xf>
    <xf numFmtId="3" fontId="39" fillId="0" borderId="7" xfId="3" applyNumberFormat="1" applyBorder="1" applyAlignment="1">
      <alignment horizontal="center"/>
    </xf>
    <xf numFmtId="169" fontId="0" fillId="0" borderId="0" xfId="4" applyNumberFormat="1" applyFont="1"/>
    <xf numFmtId="0" fontId="53" fillId="0" borderId="0" xfId="3" applyFont="1"/>
    <xf numFmtId="0" fontId="51" fillId="0" borderId="0" xfId="3" applyFont="1"/>
    <xf numFmtId="0" fontId="49" fillId="0" borderId="7" xfId="3" applyFont="1" applyBorder="1"/>
    <xf numFmtId="0" fontId="49" fillId="0" borderId="7" xfId="3" applyFont="1" applyFill="1" applyBorder="1"/>
    <xf numFmtId="0" fontId="51" fillId="0" borderId="0" xfId="3" applyFont="1" applyBorder="1"/>
    <xf numFmtId="0" fontId="39" fillId="0" borderId="7" xfId="3" applyBorder="1" applyAlignment="1">
      <alignment horizontal="center" vertical="top" wrapText="1"/>
    </xf>
    <xf numFmtId="0" fontId="39" fillId="0" borderId="7" xfId="3" applyBorder="1" applyAlignment="1">
      <alignment horizontal="center" vertical="center"/>
    </xf>
    <xf numFmtId="0" fontId="39" fillId="0" borderId="7" xfId="3" applyBorder="1" applyAlignment="1">
      <alignment horizontal="left"/>
    </xf>
    <xf numFmtId="0" fontId="39" fillId="0" borderId="7" xfId="3" applyFill="1" applyBorder="1" applyAlignment="1">
      <alignment horizontal="left" vertical="center"/>
    </xf>
    <xf numFmtId="3" fontId="39" fillId="0" borderId="24" xfId="3" applyNumberFormat="1" applyBorder="1" applyAlignment="1">
      <alignment horizontal="left" vertical="center" wrapText="1"/>
    </xf>
    <xf numFmtId="170" fontId="0" fillId="0" borderId="24" xfId="5" applyNumberFormat="1" applyFont="1" applyBorder="1" applyAlignment="1">
      <alignment horizontal="center" vertical="center"/>
    </xf>
    <xf numFmtId="170" fontId="0" fillId="0" borderId="7" xfId="5" applyNumberFormat="1" applyFont="1" applyBorder="1" applyAlignment="1">
      <alignment horizontal="center" vertical="center"/>
    </xf>
    <xf numFmtId="0" fontId="39" fillId="0" borderId="7" xfId="3" applyFont="1" applyBorder="1" applyAlignment="1">
      <alignment horizontal="left"/>
    </xf>
    <xf numFmtId="0" fontId="51" fillId="0" borderId="0" xfId="3" applyFont="1" applyFill="1" applyBorder="1" applyAlignment="1">
      <alignment horizontal="center"/>
    </xf>
    <xf numFmtId="0" fontId="54" fillId="0" borderId="0" xfId="3" applyFont="1" applyBorder="1" applyAlignment="1">
      <alignment horizontal="left" vertical="center" wrapText="1"/>
    </xf>
    <xf numFmtId="0" fontId="55" fillId="0" borderId="0" xfId="3" applyFont="1" applyBorder="1" applyAlignment="1">
      <alignment horizontal="left" vertical="center" wrapText="1"/>
    </xf>
    <xf numFmtId="0" fontId="39" fillId="0" borderId="7" xfId="3" applyFont="1" applyBorder="1"/>
    <xf numFmtId="0" fontId="39" fillId="0" borderId="7" xfId="3" applyFill="1" applyBorder="1" applyAlignment="1">
      <alignment horizontal="left"/>
    </xf>
    <xf numFmtId="0" fontId="39" fillId="0" borderId="7" xfId="3" applyFont="1" applyBorder="1" applyAlignment="1">
      <alignment horizontal="left" vertical="center"/>
    </xf>
    <xf numFmtId="0" fontId="39" fillId="0" borderId="7" xfId="3" applyFont="1" applyBorder="1" applyAlignment="1">
      <alignment vertical="top" wrapText="1"/>
    </xf>
    <xf numFmtId="9" fontId="39" fillId="0" borderId="7" xfId="3" applyNumberFormat="1" applyFont="1" applyBorder="1" applyAlignment="1">
      <alignment horizontal="right" vertical="center"/>
    </xf>
    <xf numFmtId="9" fontId="39" fillId="0" borderId="7" xfId="3" applyNumberFormat="1" applyFont="1" applyBorder="1"/>
    <xf numFmtId="0" fontId="39" fillId="0" borderId="7" xfId="3" applyFont="1" applyBorder="1" applyAlignment="1">
      <alignment horizontal="center"/>
    </xf>
    <xf numFmtId="0" fontId="39" fillId="0" borderId="7" xfId="3" applyFont="1" applyBorder="1" applyAlignment="1">
      <alignment horizontal="center" vertical="center"/>
    </xf>
    <xf numFmtId="0" fontId="39" fillId="0" borderId="7" xfId="3" applyFont="1" applyFill="1" applyBorder="1"/>
    <xf numFmtId="0" fontId="54" fillId="0" borderId="0" xfId="3" applyFont="1" applyBorder="1" applyAlignment="1">
      <alignment vertical="center" wrapText="1"/>
    </xf>
    <xf numFmtId="0" fontId="39" fillId="0" borderId="24" xfId="3" applyBorder="1" applyAlignment="1">
      <alignment horizontal="center"/>
    </xf>
    <xf numFmtId="0" fontId="39" fillId="0" borderId="7" xfId="3" applyFill="1" applyBorder="1" applyAlignment="1">
      <alignment horizontal="center" vertical="center"/>
    </xf>
    <xf numFmtId="3" fontId="39" fillId="0" borderId="7" xfId="3" applyNumberFormat="1" applyBorder="1"/>
    <xf numFmtId="9" fontId="0" fillId="0" borderId="47" xfId="4" applyFont="1" applyBorder="1" applyAlignment="1">
      <alignment horizontal="center" vertical="center"/>
    </xf>
    <xf numFmtId="10" fontId="0" fillId="0" borderId="7" xfId="4" applyNumberFormat="1" applyFont="1" applyBorder="1" applyAlignment="1">
      <alignment horizontal="center"/>
    </xf>
    <xf numFmtId="0" fontId="39" fillId="0" borderId="7" xfId="3" applyFill="1" applyBorder="1"/>
    <xf numFmtId="10" fontId="0" fillId="0" borderId="7" xfId="4" applyNumberFormat="1" applyFont="1" applyBorder="1" applyAlignment="1">
      <alignment horizontal="center" vertical="center"/>
    </xf>
    <xf numFmtId="10" fontId="0" fillId="0" borderId="7" xfId="4" applyNumberFormat="1" applyFont="1" applyBorder="1"/>
    <xf numFmtId="0" fontId="56" fillId="0" borderId="7" xfId="3" applyFont="1" applyBorder="1"/>
    <xf numFmtId="10" fontId="56" fillId="0" borderId="7" xfId="3" applyNumberFormat="1" applyFont="1" applyBorder="1"/>
    <xf numFmtId="9" fontId="39" fillId="0" borderId="7" xfId="3" applyNumberFormat="1" applyBorder="1" applyAlignment="1">
      <alignment horizontal="center" vertical="center" wrapText="1"/>
    </xf>
    <xf numFmtId="0" fontId="39" fillId="0" borderId="29" xfId="3" applyBorder="1"/>
    <xf numFmtId="0" fontId="39" fillId="0" borderId="41" xfId="3" applyBorder="1"/>
    <xf numFmtId="0" fontId="39" fillId="9" borderId="7" xfId="3" applyFill="1" applyBorder="1"/>
    <xf numFmtId="3" fontId="39" fillId="0" borderId="29" xfId="3" applyNumberFormat="1" applyBorder="1"/>
    <xf numFmtId="16" fontId="39" fillId="0" borderId="0" xfId="3" applyNumberFormat="1"/>
    <xf numFmtId="0" fontId="39" fillId="0" borderId="30" xfId="3" applyBorder="1"/>
    <xf numFmtId="0" fontId="39" fillId="0" borderId="24" xfId="3" applyBorder="1"/>
    <xf numFmtId="10" fontId="39" fillId="0" borderId="8" xfId="3" applyNumberFormat="1" applyBorder="1" applyAlignment="1">
      <alignment horizontal="center" vertical="center"/>
    </xf>
    <xf numFmtId="10" fontId="39" fillId="0" borderId="45" xfId="3" applyNumberFormat="1" applyBorder="1"/>
    <xf numFmtId="0" fontId="55" fillId="0" borderId="0" xfId="3" applyFont="1" applyBorder="1" applyAlignment="1">
      <alignment vertical="center" wrapText="1"/>
    </xf>
    <xf numFmtId="3" fontId="39" fillId="9" borderId="7" xfId="3" applyNumberFormat="1" applyFill="1" applyBorder="1"/>
    <xf numFmtId="0" fontId="39" fillId="0" borderId="43" xfId="3" applyBorder="1"/>
    <xf numFmtId="0" fontId="38" fillId="9" borderId="7" xfId="3" applyFont="1" applyFill="1" applyBorder="1"/>
    <xf numFmtId="0" fontId="57" fillId="0" borderId="0" xfId="3" applyFont="1"/>
    <xf numFmtId="171" fontId="39" fillId="0" borderId="7" xfId="3" applyNumberFormat="1" applyBorder="1"/>
    <xf numFmtId="0" fontId="39" fillId="0" borderId="0" xfId="3" applyAlignment="1">
      <alignment vertical="top" wrapText="1"/>
    </xf>
    <xf numFmtId="10" fontId="39" fillId="0" borderId="0" xfId="3" applyNumberFormat="1"/>
    <xf numFmtId="173" fontId="39" fillId="0" borderId="7" xfId="3" applyNumberFormat="1" applyBorder="1"/>
    <xf numFmtId="0" fontId="38" fillId="0" borderId="0" xfId="3" applyFont="1"/>
    <xf numFmtId="14" fontId="39" fillId="0" borderId="7" xfId="3" applyNumberFormat="1" applyBorder="1"/>
    <xf numFmtId="0" fontId="39" fillId="0" borderId="0" xfId="3" applyAlignment="1">
      <alignment horizontal="center" vertical="top"/>
    </xf>
    <xf numFmtId="0" fontId="39" fillId="9" borderId="7" xfId="3" applyFill="1" applyBorder="1" applyAlignment="1">
      <alignment horizontal="center" vertical="top"/>
    </xf>
    <xf numFmtId="0" fontId="39" fillId="9" borderId="7" xfId="3" applyFill="1" applyBorder="1" applyAlignment="1">
      <alignment horizontal="center" vertical="top" wrapText="1"/>
    </xf>
    <xf numFmtId="3" fontId="39" fillId="0" borderId="0" xfId="3" applyNumberFormat="1" applyAlignment="1">
      <alignment horizontal="center" vertical="top"/>
    </xf>
    <xf numFmtId="10" fontId="39" fillId="0" borderId="7" xfId="3" applyNumberFormat="1" applyBorder="1"/>
    <xf numFmtId="0" fontId="39" fillId="0" borderId="0" xfId="3" applyAlignment="1">
      <alignment horizontal="center" vertical="center"/>
    </xf>
    <xf numFmtId="17" fontId="39" fillId="0" borderId="7" xfId="3" applyNumberFormat="1" applyBorder="1"/>
    <xf numFmtId="0" fontId="0" fillId="0" borderId="0" xfId="0" applyAlignment="1"/>
    <xf numFmtId="0" fontId="58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3" fontId="61" fillId="10" borderId="53" xfId="0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horizontal="center"/>
    </xf>
    <xf numFmtId="0" fontId="63" fillId="10" borderId="54" xfId="0" applyFont="1" applyFill="1" applyBorder="1" applyAlignment="1">
      <alignment horizontal="left" vertical="center" wrapText="1"/>
    </xf>
    <xf numFmtId="3" fontId="58" fillId="0" borderId="0" xfId="0" applyNumberFormat="1" applyFont="1" applyBorder="1" applyAlignment="1">
      <alignment horizontal="center" vertical="center" wrapText="1"/>
    </xf>
    <xf numFmtId="0" fontId="58" fillId="0" borderId="0" xfId="0" applyFont="1"/>
    <xf numFmtId="3" fontId="59" fillId="0" borderId="0" xfId="0" applyNumberFormat="1" applyFont="1" applyBorder="1" applyAlignment="1">
      <alignment horizontal="center" vertical="center" wrapText="1"/>
    </xf>
    <xf numFmtId="0" fontId="61" fillId="10" borderId="54" xfId="0" applyFont="1" applyFill="1" applyBorder="1" applyAlignment="1">
      <alignment horizontal="left" vertical="center" wrapText="1"/>
    </xf>
    <xf numFmtId="0" fontId="61" fillId="10" borderId="56" xfId="0" applyNumberFormat="1" applyFont="1" applyFill="1" applyBorder="1" applyAlignment="1">
      <alignment horizontal="center" vertical="center" wrapText="1"/>
    </xf>
    <xf numFmtId="3" fontId="61" fillId="10" borderId="55" xfId="0" applyNumberFormat="1" applyFont="1" applyFill="1" applyBorder="1" applyAlignment="1">
      <alignment horizontal="center" vertical="center" wrapText="1"/>
    </xf>
    <xf numFmtId="3" fontId="39" fillId="0" borderId="7" xfId="3" applyNumberFormat="1" applyBorder="1" applyAlignment="1">
      <alignment horizontal="center" wrapText="1"/>
    </xf>
    <xf numFmtId="172" fontId="39" fillId="0" borderId="0" xfId="3" applyNumberFormat="1"/>
    <xf numFmtId="0" fontId="66" fillId="0" borderId="27" xfId="0" applyFont="1" applyBorder="1" applyAlignment="1"/>
    <xf numFmtId="0" fontId="51" fillId="11" borderId="7" xfId="3" applyFont="1" applyFill="1" applyBorder="1" applyAlignment="1">
      <alignment horizontal="left" vertical="center"/>
    </xf>
    <xf numFmtId="0" fontId="39" fillId="11" borderId="7" xfId="3" applyFont="1" applyFill="1" applyBorder="1" applyAlignment="1">
      <alignment horizontal="left" vertical="top" wrapText="1"/>
    </xf>
    <xf numFmtId="0" fontId="39" fillId="11" borderId="0" xfId="3" applyFont="1" applyFill="1" applyBorder="1" applyAlignment="1">
      <alignment horizontal="left" vertical="top" wrapText="1"/>
    </xf>
    <xf numFmtId="0" fontId="39" fillId="0" borderId="52" xfId="3" applyFill="1" applyBorder="1" applyAlignment="1">
      <alignment wrapText="1"/>
    </xf>
    <xf numFmtId="3" fontId="0" fillId="0" borderId="0" xfId="0" applyNumberFormat="1"/>
    <xf numFmtId="0" fontId="42" fillId="9" borderId="7" xfId="3" applyFont="1" applyFill="1" applyBorder="1" applyAlignment="1" applyProtection="1">
      <alignment horizontal="center"/>
      <protection locked="0" hidden="1"/>
    </xf>
    <xf numFmtId="3" fontId="43" fillId="9" borderId="7" xfId="3" applyNumberFormat="1" applyFont="1" applyFill="1" applyBorder="1" applyAlignment="1" applyProtection="1">
      <alignment horizontal="center" vertical="center"/>
      <protection locked="0"/>
    </xf>
    <xf numFmtId="169" fontId="39" fillId="0" borderId="0" xfId="1" applyNumberFormat="1" applyFont="1"/>
    <xf numFmtId="0" fontId="2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5" fillId="0" borderId="0" xfId="3" applyFont="1" applyBorder="1"/>
    <xf numFmtId="0" fontId="50" fillId="0" borderId="0" xfId="3" applyFont="1" applyFill="1" applyBorder="1" applyAlignment="1">
      <alignment horizontal="left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50" fillId="0" borderId="0" xfId="3" applyFont="1" applyBorder="1" applyAlignment="1">
      <alignment horizontal="left"/>
    </xf>
    <xf numFmtId="0" fontId="0" fillId="0" borderId="0" xfId="0" applyFont="1" applyAlignment="1"/>
    <xf numFmtId="0" fontId="0" fillId="0" borderId="0" xfId="0" applyFont="1" applyAlignment="1">
      <alignment horizontal="left"/>
    </xf>
    <xf numFmtId="0" fontId="51" fillId="0" borderId="7" xfId="3" applyFont="1" applyBorder="1" applyAlignment="1">
      <alignment horizontal="center" vertical="center"/>
    </xf>
    <xf numFmtId="0" fontId="39" fillId="0" borderId="7" xfId="3" applyBorder="1" applyAlignment="1"/>
    <xf numFmtId="0" fontId="66" fillId="0" borderId="0" xfId="0" applyFont="1" applyBorder="1" applyAlignment="1"/>
    <xf numFmtId="3" fontId="43" fillId="9" borderId="7" xfId="3" applyNumberFormat="1" applyFont="1" applyFill="1" applyBorder="1" applyAlignment="1" applyProtection="1">
      <alignment wrapText="1"/>
      <protection locked="0"/>
    </xf>
    <xf numFmtId="3" fontId="52" fillId="0" borderId="0" xfId="4" applyNumberFormat="1" applyFont="1" applyBorder="1" applyAlignment="1">
      <alignment horizontal="center" vertical="center"/>
    </xf>
    <xf numFmtId="4" fontId="39" fillId="0" borderId="7" xfId="3" applyNumberFormat="1" applyBorder="1" applyAlignment="1">
      <alignment horizontal="center" vertical="center"/>
    </xf>
    <xf numFmtId="0" fontId="43" fillId="9" borderId="7" xfId="3" applyFont="1" applyFill="1" applyBorder="1" applyAlignment="1" applyProtection="1">
      <alignment horizontal="center" wrapText="1"/>
      <protection locked="0"/>
    </xf>
    <xf numFmtId="0" fontId="78" fillId="0" borderId="0" xfId="0" applyFont="1" applyProtection="1">
      <protection hidden="1"/>
    </xf>
    <xf numFmtId="0" fontId="78" fillId="0" borderId="7" xfId="0" applyFont="1" applyBorder="1" applyProtection="1">
      <protection hidden="1"/>
    </xf>
    <xf numFmtId="10" fontId="78" fillId="0" borderId="7" xfId="1" applyNumberFormat="1" applyFont="1" applyFill="1" applyBorder="1" applyProtection="1">
      <protection hidden="1"/>
    </xf>
    <xf numFmtId="4" fontId="78" fillId="0" borderId="7" xfId="0" applyNumberFormat="1" applyFont="1" applyBorder="1" applyProtection="1">
      <protection hidden="1"/>
    </xf>
    <xf numFmtId="0" fontId="78" fillId="11" borderId="7" xfId="0" applyFont="1" applyFill="1" applyBorder="1" applyAlignment="1" applyProtection="1">
      <alignment vertical="top" wrapText="1"/>
      <protection hidden="1"/>
    </xf>
    <xf numFmtId="0" fontId="78" fillId="0" borderId="0" xfId="0" applyFont="1" applyAlignment="1" applyProtection="1">
      <alignment vertical="top" wrapText="1"/>
      <protection hidden="1"/>
    </xf>
    <xf numFmtId="3" fontId="78" fillId="0" borderId="7" xfId="0" applyNumberFormat="1" applyFont="1" applyBorder="1" applyProtection="1">
      <protection hidden="1"/>
    </xf>
    <xf numFmtId="10" fontId="78" fillId="0" borderId="7" xfId="0" applyNumberFormat="1" applyFont="1" applyFill="1" applyBorder="1" applyProtection="1">
      <protection hidden="1"/>
    </xf>
    <xf numFmtId="3" fontId="78" fillId="9" borderId="7" xfId="0" applyNumberFormat="1" applyFont="1" applyFill="1" applyBorder="1" applyProtection="1">
      <protection locked="0"/>
    </xf>
    <xf numFmtId="10" fontId="78" fillId="9" borderId="7" xfId="1" applyNumberFormat="1" applyFont="1" applyFill="1" applyBorder="1" applyProtection="1">
      <protection locked="0"/>
    </xf>
    <xf numFmtId="4" fontId="78" fillId="9" borderId="7" xfId="0" applyNumberFormat="1" applyFont="1" applyFill="1" applyBorder="1" applyProtection="1">
      <protection locked="0"/>
    </xf>
    <xf numFmtId="0" fontId="78" fillId="9" borderId="7" xfId="0" applyFont="1" applyFill="1" applyBorder="1" applyProtection="1">
      <protection locked="0"/>
    </xf>
    <xf numFmtId="2" fontId="78" fillId="0" borderId="7" xfId="0" applyNumberFormat="1" applyFont="1" applyBorder="1" applyProtection="1">
      <protection hidden="1"/>
    </xf>
    <xf numFmtId="9" fontId="78" fillId="9" borderId="7" xfId="1" applyFont="1" applyFill="1" applyBorder="1" applyProtection="1">
      <protection locked="0"/>
    </xf>
    <xf numFmtId="9" fontId="78" fillId="0" borderId="0" xfId="1" applyFont="1" applyProtection="1">
      <protection hidden="1"/>
    </xf>
    <xf numFmtId="0" fontId="39" fillId="0" borderId="0" xfId="3" applyFill="1"/>
    <xf numFmtId="3" fontId="39" fillId="0" borderId="0" xfId="3" applyNumberFormat="1" applyFill="1" applyAlignment="1">
      <alignment horizontal="center" vertical="center"/>
    </xf>
    <xf numFmtId="0" fontId="39" fillId="0" borderId="41" xfId="3" applyFill="1" applyBorder="1" applyProtection="1">
      <protection hidden="1"/>
    </xf>
    <xf numFmtId="0" fontId="39" fillId="0" borderId="42" xfId="3" applyFill="1" applyBorder="1" applyAlignment="1" applyProtection="1">
      <alignment horizontal="center"/>
      <protection hidden="1"/>
    </xf>
    <xf numFmtId="0" fontId="39" fillId="0" borderId="42" xfId="3" applyFill="1" applyBorder="1" applyProtection="1">
      <protection hidden="1"/>
    </xf>
    <xf numFmtId="3" fontId="39" fillId="0" borderId="42" xfId="3" applyNumberFormat="1" applyFill="1" applyBorder="1" applyAlignment="1" applyProtection="1">
      <alignment horizontal="center" vertical="center"/>
      <protection hidden="1"/>
    </xf>
    <xf numFmtId="0" fontId="39" fillId="0" borderId="43" xfId="3" applyFill="1" applyBorder="1" applyProtection="1">
      <protection hidden="1"/>
    </xf>
    <xf numFmtId="0" fontId="39" fillId="0" borderId="44" xfId="3" applyFill="1" applyBorder="1" applyProtection="1">
      <protection hidden="1"/>
    </xf>
    <xf numFmtId="0" fontId="39" fillId="0" borderId="0" xfId="3" applyFill="1" applyBorder="1" applyProtection="1">
      <protection hidden="1"/>
    </xf>
    <xf numFmtId="3" fontId="39" fillId="0" borderId="0" xfId="3" applyNumberFormat="1" applyFill="1" applyBorder="1" applyAlignment="1" applyProtection="1">
      <alignment horizontal="center" vertical="center"/>
      <protection hidden="1"/>
    </xf>
    <xf numFmtId="0" fontId="39" fillId="0" borderId="45" xfId="3" applyFill="1" applyBorder="1" applyProtection="1">
      <protection hidden="1"/>
    </xf>
    <xf numFmtId="0" fontId="39" fillId="0" borderId="46" xfId="3" applyFill="1" applyBorder="1" applyProtection="1">
      <protection hidden="1"/>
    </xf>
    <xf numFmtId="0" fontId="39" fillId="0" borderId="27" xfId="3" applyFill="1" applyBorder="1" applyProtection="1">
      <protection hidden="1"/>
    </xf>
    <xf numFmtId="3" fontId="39" fillId="0" borderId="27" xfId="3" applyNumberFormat="1" applyFill="1" applyBorder="1" applyAlignment="1" applyProtection="1">
      <alignment horizontal="center" vertical="center"/>
      <protection hidden="1"/>
    </xf>
    <xf numFmtId="0" fontId="39" fillId="0" borderId="47" xfId="3" applyFill="1" applyBorder="1" applyProtection="1">
      <protection hidden="1"/>
    </xf>
    <xf numFmtId="0" fontId="41" fillId="0" borderId="7" xfId="3" applyFont="1" applyFill="1" applyBorder="1" applyAlignment="1" applyProtection="1">
      <alignment horizontal="center" vertical="center" wrapText="1"/>
      <protection hidden="1"/>
    </xf>
    <xf numFmtId="0" fontId="41" fillId="0" borderId="0" xfId="3" applyFont="1" applyFill="1" applyBorder="1" applyAlignment="1" applyProtection="1">
      <alignment horizontal="center" vertical="center" wrapText="1"/>
      <protection hidden="1"/>
    </xf>
    <xf numFmtId="0" fontId="42" fillId="0" borderId="0" xfId="3" applyFont="1" applyFill="1" applyBorder="1" applyProtection="1">
      <protection hidden="1"/>
    </xf>
    <xf numFmtId="0" fontId="42" fillId="0" borderId="45" xfId="3" applyFont="1" applyFill="1" applyBorder="1" applyProtection="1">
      <protection hidden="1"/>
    </xf>
    <xf numFmtId="0" fontId="41" fillId="0" borderId="7" xfId="3" applyFont="1" applyFill="1" applyBorder="1" applyAlignment="1" applyProtection="1">
      <alignment horizontal="center" vertical="center"/>
      <protection hidden="1"/>
    </xf>
    <xf numFmtId="0" fontId="41" fillId="0" borderId="0" xfId="3" applyFont="1" applyFill="1" applyBorder="1" applyAlignment="1" applyProtection="1">
      <alignment horizontal="center" vertical="center"/>
      <protection hidden="1"/>
    </xf>
    <xf numFmtId="3" fontId="42" fillId="0" borderId="0" xfId="3" applyNumberFormat="1" applyFont="1" applyFill="1" applyBorder="1" applyAlignment="1" applyProtection="1">
      <alignment horizontal="center" vertical="center"/>
      <protection hidden="1"/>
    </xf>
    <xf numFmtId="0" fontId="42" fillId="0" borderId="0" xfId="3" applyFont="1" applyFill="1" applyBorder="1" applyAlignment="1" applyProtection="1">
      <alignment vertical="center" wrapText="1"/>
      <protection hidden="1"/>
    </xf>
    <xf numFmtId="0" fontId="69" fillId="0" borderId="0" xfId="3" applyFont="1" applyFill="1" applyBorder="1" applyAlignment="1" applyProtection="1">
      <alignment horizontal="right"/>
      <protection hidden="1"/>
    </xf>
    <xf numFmtId="0" fontId="42" fillId="0" borderId="0" xfId="3" applyFont="1" applyFill="1" applyBorder="1" applyAlignment="1" applyProtection="1">
      <protection hidden="1"/>
    </xf>
    <xf numFmtId="0" fontId="42" fillId="0" borderId="0" xfId="3" applyFont="1" applyFill="1" applyBorder="1" applyAlignment="1" applyProtection="1">
      <alignment horizontal="right"/>
      <protection hidden="1"/>
    </xf>
    <xf numFmtId="0" fontId="39" fillId="0" borderId="0" xfId="3" applyFill="1" applyBorder="1"/>
    <xf numFmtId="0" fontId="74" fillId="0" borderId="0" xfId="3" applyFont="1" applyFill="1" applyBorder="1" applyAlignment="1" applyProtection="1">
      <alignment vertical="top"/>
      <protection hidden="1"/>
    </xf>
    <xf numFmtId="0" fontId="41" fillId="0" borderId="0" xfId="3" applyFont="1" applyFill="1" applyBorder="1" applyAlignment="1" applyProtection="1">
      <alignment horizontal="center"/>
      <protection hidden="1"/>
    </xf>
    <xf numFmtId="0" fontId="41" fillId="0" borderId="45" xfId="3" applyFont="1" applyFill="1" applyBorder="1" applyAlignment="1" applyProtection="1">
      <alignment horizontal="center"/>
      <protection hidden="1"/>
    </xf>
    <xf numFmtId="3" fontId="42" fillId="0" borderId="7" xfId="3" applyNumberFormat="1" applyFont="1" applyFill="1" applyBorder="1" applyAlignment="1" applyProtection="1">
      <alignment horizontal="center" vertical="center"/>
      <protection locked="0" hidden="1"/>
    </xf>
    <xf numFmtId="0" fontId="42" fillId="0" borderId="0" xfId="3" applyFont="1" applyFill="1" applyBorder="1" applyAlignment="1" applyProtection="1">
      <alignment horizontal="left" vertical="center"/>
      <protection hidden="1"/>
    </xf>
    <xf numFmtId="0" fontId="42" fillId="0" borderId="0" xfId="3" applyFont="1" applyFill="1" applyBorder="1" applyAlignment="1" applyProtection="1">
      <alignment horizontal="left" vertical="center" wrapText="1"/>
      <protection hidden="1"/>
    </xf>
    <xf numFmtId="0" fontId="42" fillId="0" borderId="0" xfId="3" applyFont="1" applyFill="1" applyBorder="1" applyAlignment="1" applyProtection="1">
      <alignment horizontal="left" wrapText="1"/>
      <protection hidden="1"/>
    </xf>
    <xf numFmtId="3" fontId="43" fillId="0" borderId="7" xfId="3" applyNumberFormat="1" applyFont="1" applyFill="1" applyBorder="1" applyAlignment="1" applyProtection="1">
      <alignment horizontal="center" vertical="center"/>
      <protection locked="0"/>
    </xf>
    <xf numFmtId="3" fontId="42" fillId="0" borderId="45" xfId="3" applyNumberFormat="1" applyFont="1" applyFill="1" applyBorder="1" applyAlignment="1" applyProtection="1">
      <alignment horizontal="center" vertical="center"/>
      <protection hidden="1"/>
    </xf>
    <xf numFmtId="3" fontId="43" fillId="0" borderId="0" xfId="3" applyNumberFormat="1" applyFont="1" applyFill="1" applyBorder="1" applyAlignment="1" applyProtection="1">
      <alignment horizontal="center" vertical="center"/>
      <protection hidden="1"/>
    </xf>
    <xf numFmtId="0" fontId="43" fillId="0" borderId="0" xfId="3" applyFont="1" applyFill="1" applyBorder="1" applyAlignment="1" applyProtection="1">
      <alignment horizontal="left" wrapText="1"/>
      <protection hidden="1"/>
    </xf>
    <xf numFmtId="0" fontId="43" fillId="0" borderId="0" xfId="3" applyFont="1" applyFill="1" applyBorder="1" applyAlignment="1" applyProtection="1">
      <alignment wrapText="1"/>
      <protection hidden="1"/>
    </xf>
    <xf numFmtId="0" fontId="42" fillId="0" borderId="0" xfId="3" applyFont="1" applyFill="1" applyBorder="1" applyAlignment="1" applyProtection="1">
      <alignment wrapText="1"/>
      <protection hidden="1"/>
    </xf>
    <xf numFmtId="0" fontId="43" fillId="0" borderId="0" xfId="3" applyFont="1" applyFill="1" applyBorder="1" applyAlignment="1" applyProtection="1">
      <alignment horizontal="center" wrapText="1"/>
      <protection hidden="1"/>
    </xf>
    <xf numFmtId="0" fontId="64" fillId="0" borderId="0" xfId="3" applyFont="1" applyFill="1" applyBorder="1" applyAlignment="1" applyProtection="1">
      <alignment vertical="center" wrapText="1"/>
      <protection hidden="1"/>
    </xf>
    <xf numFmtId="0" fontId="70" fillId="0" borderId="0" xfId="3" applyFont="1" applyFill="1" applyBorder="1" applyAlignment="1" applyProtection="1">
      <alignment horizontal="left" vertical="center"/>
      <protection hidden="1"/>
    </xf>
    <xf numFmtId="3" fontId="43" fillId="0" borderId="30" xfId="3" applyNumberFormat="1" applyFont="1" applyFill="1" applyBorder="1" applyAlignment="1" applyProtection="1">
      <alignment wrapText="1"/>
      <protection locked="0"/>
    </xf>
    <xf numFmtId="3" fontId="43" fillId="0" borderId="24" xfId="3" applyNumberFormat="1" applyFont="1" applyFill="1" applyBorder="1" applyAlignment="1" applyProtection="1">
      <alignment wrapText="1"/>
      <protection locked="0"/>
    </xf>
    <xf numFmtId="3" fontId="43" fillId="0" borderId="0" xfId="3" applyNumberFormat="1" applyFont="1" applyFill="1" applyBorder="1" applyAlignment="1" applyProtection="1">
      <alignment wrapText="1"/>
      <protection locked="0"/>
    </xf>
    <xf numFmtId="14" fontId="42" fillId="0" borderId="7" xfId="3" applyNumberFormat="1" applyFont="1" applyFill="1" applyBorder="1" applyProtection="1">
      <protection locked="0"/>
    </xf>
    <xf numFmtId="0" fontId="39" fillId="0" borderId="48" xfId="3" applyFill="1" applyBorder="1" applyProtection="1">
      <protection hidden="1"/>
    </xf>
    <xf numFmtId="0" fontId="42" fillId="0" borderId="49" xfId="3" applyFont="1" applyFill="1" applyBorder="1" applyAlignment="1" applyProtection="1">
      <alignment wrapText="1"/>
      <protection hidden="1"/>
    </xf>
    <xf numFmtId="0" fontId="42" fillId="0" borderId="49" xfId="3" applyFont="1" applyFill="1" applyBorder="1" applyProtection="1">
      <protection hidden="1"/>
    </xf>
    <xf numFmtId="9" fontId="42" fillId="0" borderId="49" xfId="4" applyFont="1" applyFill="1" applyBorder="1" applyAlignment="1" applyProtection="1">
      <alignment horizontal="center" vertical="center"/>
      <protection hidden="1"/>
    </xf>
    <xf numFmtId="0" fontId="42" fillId="0" borderId="50" xfId="3" applyFont="1" applyFill="1" applyBorder="1" applyProtection="1">
      <protection hidden="1"/>
    </xf>
    <xf numFmtId="10" fontId="41" fillId="0" borderId="0" xfId="4" applyNumberFormat="1" applyFont="1" applyFill="1" applyBorder="1" applyAlignment="1" applyProtection="1">
      <alignment horizontal="center" vertical="center"/>
      <protection hidden="1"/>
    </xf>
    <xf numFmtId="0" fontId="42" fillId="0" borderId="51" xfId="3" applyFont="1" applyFill="1" applyBorder="1" applyProtection="1">
      <protection hidden="1"/>
    </xf>
    <xf numFmtId="3" fontId="43" fillId="0" borderId="31" xfId="3" applyNumberFormat="1" applyFont="1" applyFill="1" applyBorder="1" applyAlignment="1" applyProtection="1">
      <alignment horizontal="center" vertical="center"/>
      <protection hidden="1"/>
    </xf>
    <xf numFmtId="3" fontId="43" fillId="0" borderId="41" xfId="3" applyNumberFormat="1" applyFont="1" applyFill="1" applyBorder="1" applyAlignment="1" applyProtection="1">
      <alignment horizontal="center" vertical="center"/>
      <protection hidden="1"/>
    </xf>
    <xf numFmtId="3" fontId="43" fillId="0" borderId="42" xfId="3" applyNumberFormat="1" applyFont="1" applyFill="1" applyBorder="1" applyAlignment="1" applyProtection="1">
      <alignment horizontal="center" vertical="center"/>
      <protection hidden="1"/>
    </xf>
    <xf numFmtId="0" fontId="43" fillId="0" borderId="42" xfId="3" applyFont="1" applyFill="1" applyBorder="1" applyAlignment="1" applyProtection="1">
      <alignment horizontal="center"/>
      <protection hidden="1"/>
    </xf>
    <xf numFmtId="0" fontId="43" fillId="0" borderId="43" xfId="3" applyFont="1" applyFill="1" applyBorder="1" applyAlignment="1" applyProtection="1">
      <alignment horizontal="center"/>
      <protection hidden="1"/>
    </xf>
    <xf numFmtId="0" fontId="42" fillId="0" borderId="45" xfId="3" applyFont="1" applyFill="1" applyBorder="1" applyAlignment="1" applyProtection="1">
      <alignment horizontal="center"/>
      <protection hidden="1"/>
    </xf>
    <xf numFmtId="3" fontId="45" fillId="0" borderId="52" xfId="3" applyNumberFormat="1" applyFont="1" applyFill="1" applyBorder="1" applyAlignment="1" applyProtection="1">
      <alignment horizontal="center" vertical="center"/>
      <protection hidden="1"/>
    </xf>
    <xf numFmtId="3" fontId="45" fillId="0" borderId="44" xfId="3" applyNumberFormat="1" applyFont="1" applyFill="1" applyBorder="1" applyAlignment="1" applyProtection="1">
      <alignment horizontal="center" vertical="center"/>
      <protection hidden="1"/>
    </xf>
    <xf numFmtId="3" fontId="45" fillId="0" borderId="0" xfId="3" applyNumberFormat="1" applyFont="1" applyFill="1" applyBorder="1" applyAlignment="1" applyProtection="1">
      <alignment horizontal="center" vertical="center"/>
      <protection hidden="1"/>
    </xf>
    <xf numFmtId="0" fontId="45" fillId="0" borderId="0" xfId="3" applyFont="1" applyFill="1" applyBorder="1" applyAlignment="1" applyProtection="1">
      <alignment horizontal="center"/>
      <protection hidden="1"/>
    </xf>
    <xf numFmtId="3" fontId="45" fillId="0" borderId="45" xfId="3" applyNumberFormat="1" applyFont="1" applyFill="1" applyBorder="1" applyAlignment="1" applyProtection="1">
      <alignment horizontal="center" vertical="center"/>
      <protection hidden="1"/>
    </xf>
    <xf numFmtId="3" fontId="46" fillId="0" borderId="52" xfId="3" applyNumberFormat="1" applyFont="1" applyFill="1" applyBorder="1" applyAlignment="1" applyProtection="1">
      <alignment horizontal="right" vertical="center"/>
      <protection hidden="1"/>
    </xf>
    <xf numFmtId="3" fontId="46" fillId="0" borderId="44" xfId="3" applyNumberFormat="1" applyFont="1" applyFill="1" applyBorder="1" applyAlignment="1" applyProtection="1">
      <alignment horizontal="right" vertical="center"/>
      <protection hidden="1"/>
    </xf>
    <xf numFmtId="3" fontId="46" fillId="0" borderId="0" xfId="3" applyNumberFormat="1" applyFont="1" applyFill="1" applyBorder="1" applyAlignment="1" applyProtection="1">
      <alignment horizontal="right" vertical="center"/>
      <protection hidden="1"/>
    </xf>
    <xf numFmtId="3" fontId="46" fillId="0" borderId="45" xfId="3" applyNumberFormat="1" applyFont="1" applyFill="1" applyBorder="1" applyAlignment="1" applyProtection="1">
      <alignment horizontal="right" vertical="center"/>
      <protection hidden="1"/>
    </xf>
    <xf numFmtId="168" fontId="42" fillId="0" borderId="45" xfId="3" applyNumberFormat="1" applyFont="1" applyFill="1" applyBorder="1" applyAlignment="1" applyProtection="1">
      <alignment horizontal="center" vertical="center"/>
      <protection hidden="1"/>
    </xf>
    <xf numFmtId="3" fontId="43" fillId="0" borderId="52" xfId="3" applyNumberFormat="1" applyFont="1" applyFill="1" applyBorder="1" applyAlignment="1" applyProtection="1">
      <alignment horizontal="right" vertical="center"/>
      <protection hidden="1"/>
    </xf>
    <xf numFmtId="3" fontId="43" fillId="0" borderId="44" xfId="3" applyNumberFormat="1" applyFont="1" applyFill="1" applyBorder="1" applyAlignment="1" applyProtection="1">
      <alignment horizontal="right" vertical="center"/>
      <protection hidden="1"/>
    </xf>
    <xf numFmtId="3" fontId="43" fillId="0" borderId="0" xfId="3" applyNumberFormat="1" applyFont="1" applyFill="1" applyBorder="1" applyAlignment="1" applyProtection="1">
      <alignment horizontal="right" vertical="center"/>
      <protection hidden="1"/>
    </xf>
    <xf numFmtId="3" fontId="43" fillId="0" borderId="45" xfId="3" applyNumberFormat="1" applyFont="1" applyFill="1" applyBorder="1" applyAlignment="1" applyProtection="1">
      <alignment horizontal="right" vertical="center"/>
      <protection hidden="1"/>
    </xf>
    <xf numFmtId="10" fontId="43" fillId="0" borderId="52" xfId="4" applyNumberFormat="1" applyFont="1" applyFill="1" applyBorder="1" applyAlignment="1" applyProtection="1">
      <alignment horizontal="right" vertical="center"/>
      <protection hidden="1"/>
    </xf>
    <xf numFmtId="10" fontId="43" fillId="0" borderId="44" xfId="4" applyNumberFormat="1" applyFont="1" applyFill="1" applyBorder="1" applyAlignment="1" applyProtection="1">
      <alignment horizontal="right" vertical="center"/>
      <protection hidden="1"/>
    </xf>
    <xf numFmtId="10" fontId="43" fillId="0" borderId="0" xfId="4" applyNumberFormat="1" applyFont="1" applyFill="1" applyBorder="1" applyAlignment="1" applyProtection="1">
      <alignment horizontal="right" vertical="center"/>
      <protection hidden="1"/>
    </xf>
    <xf numFmtId="10" fontId="43" fillId="0" borderId="45" xfId="4" applyNumberFormat="1" applyFont="1" applyFill="1" applyBorder="1" applyAlignment="1" applyProtection="1">
      <alignment horizontal="right" vertical="center"/>
      <protection hidden="1"/>
    </xf>
    <xf numFmtId="10" fontId="42" fillId="0" borderId="45" xfId="4" applyNumberFormat="1" applyFont="1" applyFill="1" applyBorder="1" applyAlignment="1" applyProtection="1">
      <alignment horizontal="center" vertical="center"/>
      <protection hidden="1"/>
    </xf>
    <xf numFmtId="0" fontId="47" fillId="0" borderId="0" xfId="3" applyFont="1" applyFill="1" applyBorder="1" applyAlignment="1" applyProtection="1">
      <alignment horizontal="left" vertical="center"/>
      <protection hidden="1"/>
    </xf>
    <xf numFmtId="0" fontId="47" fillId="0" borderId="52" xfId="3" applyFont="1" applyFill="1" applyBorder="1" applyAlignment="1" applyProtection="1">
      <alignment horizontal="left" vertical="center"/>
      <protection hidden="1"/>
    </xf>
    <xf numFmtId="10" fontId="48" fillId="0" borderId="0" xfId="4" applyNumberFormat="1" applyFont="1" applyFill="1" applyBorder="1" applyAlignment="1" applyProtection="1">
      <alignment horizontal="right" vertical="center"/>
      <protection hidden="1"/>
    </xf>
    <xf numFmtId="0" fontId="65" fillId="0" borderId="0" xfId="3" applyFont="1" applyFill="1" applyBorder="1" applyAlignment="1" applyProtection="1">
      <alignment horizontal="right" vertical="center" wrapText="1"/>
      <protection hidden="1"/>
    </xf>
    <xf numFmtId="10" fontId="65" fillId="0" borderId="52" xfId="4" applyNumberFormat="1" applyFont="1" applyFill="1" applyBorder="1" applyAlignment="1" applyProtection="1">
      <alignment horizontal="right" vertical="center"/>
      <protection hidden="1"/>
    </xf>
    <xf numFmtId="10" fontId="65" fillId="0" borderId="44" xfId="4" applyNumberFormat="1" applyFont="1" applyFill="1" applyBorder="1" applyAlignment="1" applyProtection="1">
      <alignment horizontal="right" vertical="center"/>
      <protection hidden="1"/>
    </xf>
    <xf numFmtId="10" fontId="65" fillId="0" borderId="0" xfId="4" applyNumberFormat="1" applyFont="1" applyFill="1" applyBorder="1" applyAlignment="1" applyProtection="1">
      <alignment horizontal="right" vertical="center"/>
      <protection hidden="1"/>
    </xf>
    <xf numFmtId="10" fontId="65" fillId="0" borderId="45" xfId="4" applyNumberFormat="1" applyFont="1" applyFill="1" applyBorder="1" applyAlignment="1" applyProtection="1">
      <alignment horizontal="right" vertical="center"/>
      <protection hidden="1"/>
    </xf>
    <xf numFmtId="3" fontId="43" fillId="0" borderId="8" xfId="3" applyNumberFormat="1" applyFont="1" applyFill="1" applyBorder="1" applyAlignment="1" applyProtection="1">
      <alignment horizontal="right" vertical="center"/>
      <protection hidden="1"/>
    </xf>
    <xf numFmtId="0" fontId="42" fillId="0" borderId="0" xfId="3" applyFont="1" applyFill="1" applyBorder="1" applyAlignment="1" applyProtection="1">
      <alignment vertical="center"/>
      <protection hidden="1"/>
    </xf>
    <xf numFmtId="3" fontId="43" fillId="0" borderId="46" xfId="3" applyNumberFormat="1" applyFont="1" applyFill="1" applyBorder="1" applyAlignment="1" applyProtection="1">
      <alignment horizontal="right" vertical="center"/>
      <protection hidden="1"/>
    </xf>
    <xf numFmtId="3" fontId="43" fillId="0" borderId="27" xfId="3" applyNumberFormat="1" applyFont="1" applyFill="1" applyBorder="1" applyAlignment="1" applyProtection="1">
      <alignment horizontal="right" vertical="center"/>
      <protection hidden="1"/>
    </xf>
    <xf numFmtId="3" fontId="43" fillId="0" borderId="47" xfId="3" applyNumberFormat="1" applyFont="1" applyFill="1" applyBorder="1" applyAlignment="1" applyProtection="1">
      <alignment horizontal="right" vertical="center"/>
      <protection hidden="1"/>
    </xf>
    <xf numFmtId="169" fontId="0" fillId="0" borderId="27" xfId="4" applyNumberFormat="1" applyFont="1" applyFill="1" applyBorder="1" applyAlignment="1" applyProtection="1">
      <alignment horizontal="center" vertical="center"/>
      <protection hidden="1"/>
    </xf>
    <xf numFmtId="169" fontId="0" fillId="0" borderId="47" xfId="4" applyNumberFormat="1" applyFont="1" applyFill="1" applyBorder="1" applyAlignment="1" applyProtection="1">
      <alignment horizontal="center" vertical="center"/>
      <protection hidden="1"/>
    </xf>
    <xf numFmtId="3" fontId="39" fillId="0" borderId="0" xfId="3" applyNumberFormat="1" applyFill="1" applyBorder="1" applyAlignment="1">
      <alignment horizontal="center" vertical="center"/>
    </xf>
    <xf numFmtId="0" fontId="39" fillId="0" borderId="41" xfId="3" applyFill="1" applyBorder="1"/>
    <xf numFmtId="3" fontId="76" fillId="0" borderId="42" xfId="3" applyNumberFormat="1" applyFont="1" applyFill="1" applyBorder="1" applyAlignment="1" applyProtection="1">
      <alignment horizontal="center" vertical="center"/>
      <protection hidden="1"/>
    </xf>
    <xf numFmtId="0" fontId="76" fillId="0" borderId="42" xfId="3" applyFont="1" applyFill="1" applyBorder="1" applyProtection="1">
      <protection hidden="1"/>
    </xf>
    <xf numFmtId="0" fontId="39" fillId="0" borderId="44" xfId="3" applyFill="1" applyBorder="1"/>
    <xf numFmtId="3" fontId="76" fillId="0" borderId="0" xfId="3" applyNumberFormat="1" applyFont="1" applyFill="1" applyBorder="1" applyAlignment="1" applyProtection="1">
      <alignment horizontal="center" vertical="center"/>
      <protection hidden="1"/>
    </xf>
    <xf numFmtId="0" fontId="76" fillId="0" borderId="0" xfId="3" applyFont="1" applyFill="1" applyBorder="1" applyProtection="1">
      <protection hidden="1"/>
    </xf>
    <xf numFmtId="3" fontId="76" fillId="0" borderId="0" xfId="3" applyNumberFormat="1" applyFont="1" applyFill="1" applyBorder="1" applyProtection="1">
      <protection hidden="1"/>
    </xf>
    <xf numFmtId="0" fontId="49" fillId="0" borderId="44" xfId="3" applyFont="1" applyFill="1" applyBorder="1"/>
    <xf numFmtId="0" fontId="49" fillId="0" borderId="0" xfId="3" applyFont="1" applyFill="1" applyBorder="1" applyProtection="1">
      <protection hidden="1"/>
    </xf>
    <xf numFmtId="3" fontId="77" fillId="0" borderId="0" xfId="3" applyNumberFormat="1" applyFont="1" applyFill="1" applyBorder="1" applyAlignment="1" applyProtection="1">
      <alignment horizontal="right" vertical="center"/>
      <protection hidden="1"/>
    </xf>
    <xf numFmtId="3" fontId="77" fillId="0" borderId="0" xfId="3" applyNumberFormat="1" applyFont="1" applyFill="1" applyBorder="1" applyProtection="1">
      <protection hidden="1"/>
    </xf>
    <xf numFmtId="0" fontId="49" fillId="0" borderId="45" xfId="3" applyFont="1" applyFill="1" applyBorder="1" applyProtection="1">
      <protection hidden="1"/>
    </xf>
    <xf numFmtId="10" fontId="77" fillId="0" borderId="0" xfId="1" applyNumberFormat="1" applyFont="1" applyFill="1" applyBorder="1" applyAlignment="1" applyProtection="1">
      <alignment vertical="center"/>
      <protection hidden="1"/>
    </xf>
    <xf numFmtId="3" fontId="77" fillId="0" borderId="0" xfId="3" applyNumberFormat="1" applyFont="1" applyFill="1" applyBorder="1" applyAlignment="1" applyProtection="1">
      <alignment vertical="center"/>
      <protection hidden="1"/>
    </xf>
    <xf numFmtId="0" fontId="77" fillId="0" borderId="0" xfId="3" applyFont="1" applyFill="1" applyBorder="1" applyAlignment="1" applyProtection="1">
      <protection hidden="1"/>
    </xf>
    <xf numFmtId="0" fontId="49" fillId="0" borderId="46" xfId="3" applyFont="1" applyFill="1" applyBorder="1"/>
    <xf numFmtId="0" fontId="49" fillId="0" borderId="27" xfId="3" applyFont="1" applyFill="1" applyBorder="1" applyProtection="1">
      <protection hidden="1"/>
    </xf>
    <xf numFmtId="3" fontId="49" fillId="0" borderId="27" xfId="3" applyNumberFormat="1" applyFont="1" applyFill="1" applyBorder="1" applyAlignment="1" applyProtection="1">
      <alignment horizontal="center" vertical="center"/>
      <protection hidden="1"/>
    </xf>
    <xf numFmtId="0" fontId="49" fillId="0" borderId="47" xfId="3" applyFont="1" applyFill="1" applyBorder="1" applyProtection="1">
      <protection hidden="1"/>
    </xf>
    <xf numFmtId="0" fontId="42" fillId="9" borderId="0" xfId="3" applyFont="1" applyFill="1" applyBorder="1" applyAlignment="1" applyProtection="1">
      <alignment horizontal="center"/>
      <protection locked="0" hidden="1"/>
    </xf>
    <xf numFmtId="3" fontId="77" fillId="0" borderId="0" xfId="3" applyNumberFormat="1" applyFont="1" applyFill="1" applyBorder="1" applyAlignment="1" applyProtection="1">
      <alignment horizontal="right"/>
      <protection hidden="1"/>
    </xf>
    <xf numFmtId="0" fontId="82" fillId="0" borderId="0" xfId="3" applyFont="1" applyFill="1" applyBorder="1" applyAlignment="1" applyProtection="1">
      <alignment horizontal="right" vertical="center"/>
      <protection hidden="1"/>
    </xf>
    <xf numFmtId="0" fontId="84" fillId="0" borderId="0" xfId="3" applyFont="1" applyFill="1" applyBorder="1" applyAlignment="1" applyProtection="1">
      <alignment horizontal="left" vertical="center" wrapText="1"/>
      <protection hidden="1"/>
    </xf>
    <xf numFmtId="8" fontId="49" fillId="0" borderId="0" xfId="3" applyNumberFormat="1" applyFont="1"/>
    <xf numFmtId="10" fontId="49" fillId="0" borderId="0" xfId="1" applyNumberFormat="1" applyFont="1" applyAlignment="1">
      <alignment horizontal="center" vertical="center"/>
    </xf>
    <xf numFmtId="3" fontId="0" fillId="0" borderId="0" xfId="0" applyNumberFormat="1" applyFill="1"/>
    <xf numFmtId="3" fontId="80" fillId="0" borderId="0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locked="0"/>
    </xf>
    <xf numFmtId="0" fontId="80" fillId="0" borderId="0" xfId="0" applyFont="1" applyAlignment="1" applyProtection="1">
      <alignment vertical="center"/>
      <protection locked="0"/>
    </xf>
    <xf numFmtId="172" fontId="80" fillId="0" borderId="0" xfId="2" applyNumberFormat="1" applyFont="1" applyAlignment="1" applyProtection="1">
      <alignment vertical="center"/>
      <protection locked="0"/>
    </xf>
    <xf numFmtId="170" fontId="80" fillId="0" borderId="0" xfId="2" applyNumberFormat="1" applyFont="1" applyAlignment="1" applyProtection="1">
      <alignment vertical="center"/>
      <protection locked="0"/>
    </xf>
    <xf numFmtId="0" fontId="80" fillId="0" borderId="0" xfId="0" applyFont="1" applyBorder="1" applyAlignment="1" applyProtection="1">
      <alignment vertical="center"/>
      <protection locked="0"/>
    </xf>
    <xf numFmtId="10" fontId="80" fillId="0" borderId="0" xfId="1" applyNumberFormat="1" applyFont="1" applyAlignment="1" applyProtection="1">
      <alignment vertical="center"/>
      <protection locked="0"/>
    </xf>
    <xf numFmtId="10" fontId="83" fillId="12" borderId="0" xfId="1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Border="1" applyProtection="1">
      <protection locked="0"/>
    </xf>
    <xf numFmtId="0" fontId="81" fillId="0" borderId="0" xfId="0" applyFont="1" applyBorder="1" applyAlignment="1" applyProtection="1">
      <alignment vertical="center"/>
      <protection locked="0"/>
    </xf>
    <xf numFmtId="0" fontId="81" fillId="0" borderId="0" xfId="0" applyFont="1" applyBorder="1" applyProtection="1">
      <protection locked="0"/>
    </xf>
    <xf numFmtId="172" fontId="80" fillId="0" borderId="0" xfId="2" applyNumberFormat="1" applyFont="1" applyBorder="1" applyAlignment="1" applyProtection="1">
      <alignment vertical="center"/>
      <protection locked="0"/>
    </xf>
    <xf numFmtId="170" fontId="80" fillId="0" borderId="0" xfId="2" applyNumberFormat="1" applyFont="1" applyBorder="1" applyAlignment="1" applyProtection="1">
      <alignment vertical="center"/>
      <protection locked="0"/>
    </xf>
    <xf numFmtId="10" fontId="80" fillId="0" borderId="0" xfId="1" applyNumberFormat="1" applyFont="1" applyBorder="1" applyAlignment="1" applyProtection="1">
      <alignment vertical="center"/>
      <protection locked="0"/>
    </xf>
    <xf numFmtId="0" fontId="80" fillId="0" borderId="59" xfId="0" applyFont="1" applyBorder="1" applyAlignment="1" applyProtection="1">
      <alignment vertical="center"/>
      <protection locked="0"/>
    </xf>
    <xf numFmtId="3" fontId="80" fillId="0" borderId="59" xfId="0" applyNumberFormat="1" applyFont="1" applyBorder="1" applyAlignment="1" applyProtection="1">
      <alignment vertical="center"/>
      <protection hidden="1"/>
    </xf>
    <xf numFmtId="0" fontId="80" fillId="0" borderId="60" xfId="0" applyFont="1" applyBorder="1" applyAlignment="1" applyProtection="1">
      <alignment vertical="center"/>
      <protection locked="0"/>
    </xf>
    <xf numFmtId="3" fontId="80" fillId="0" borderId="60" xfId="0" applyNumberFormat="1" applyFont="1" applyBorder="1" applyAlignment="1" applyProtection="1">
      <alignment vertical="center"/>
      <protection hidden="1"/>
    </xf>
    <xf numFmtId="10" fontId="80" fillId="0" borderId="60" xfId="0" applyNumberFormat="1" applyFont="1" applyBorder="1" applyAlignment="1" applyProtection="1">
      <alignment vertical="center"/>
      <protection hidden="1"/>
    </xf>
    <xf numFmtId="0" fontId="44" fillId="0" borderId="49" xfId="3" applyFont="1" applyFill="1" applyBorder="1" applyAlignment="1" applyProtection="1">
      <alignment wrapText="1"/>
      <protection hidden="1"/>
    </xf>
    <xf numFmtId="14" fontId="42" fillId="0" borderId="0" xfId="3" applyNumberFormat="1" applyFont="1" applyFill="1" applyBorder="1" applyProtection="1">
      <protection locked="0"/>
    </xf>
    <xf numFmtId="0" fontId="44" fillId="0" borderId="0" xfId="3" applyFont="1" applyFill="1" applyBorder="1" applyAlignment="1" applyProtection="1">
      <alignment wrapText="1"/>
      <protection hidden="1"/>
    </xf>
    <xf numFmtId="0" fontId="0" fillId="11" borderId="7" xfId="0" applyFill="1" applyBorder="1"/>
    <xf numFmtId="0" fontId="86" fillId="0" borderId="0" xfId="3" applyFont="1" applyAlignment="1"/>
    <xf numFmtId="0" fontId="88" fillId="0" borderId="0" xfId="3" applyFont="1" applyFill="1" applyBorder="1" applyAlignment="1" applyProtection="1">
      <alignment horizontal="center"/>
      <protection hidden="1"/>
    </xf>
    <xf numFmtId="3" fontId="87" fillId="0" borderId="0" xfId="3" applyNumberFormat="1" applyFont="1" applyFill="1" applyBorder="1" applyAlignment="1" applyProtection="1">
      <alignment horizontal="center" vertical="center"/>
      <protection hidden="1"/>
    </xf>
    <xf numFmtId="0" fontId="89" fillId="0" borderId="0" xfId="3" applyFont="1" applyFill="1" applyBorder="1" applyAlignment="1" applyProtection="1">
      <alignment horizontal="left" vertical="center"/>
      <protection hidden="1"/>
    </xf>
    <xf numFmtId="0" fontId="90" fillId="0" borderId="0" xfId="3" applyFont="1" applyFill="1" applyBorder="1" applyProtection="1">
      <protection hidden="1"/>
    </xf>
    <xf numFmtId="10" fontId="71" fillId="9" borderId="7" xfId="1" applyNumberFormat="1" applyFont="1" applyFill="1" applyBorder="1" applyProtection="1">
      <protection locked="0"/>
    </xf>
    <xf numFmtId="0" fontId="39" fillId="0" borderId="7" xfId="3" applyBorder="1" applyAlignment="1">
      <alignment horizontal="center" vertical="center" wrapText="1"/>
    </xf>
    <xf numFmtId="0" fontId="39" fillId="0" borderId="7" xfId="3" applyBorder="1" applyAlignment="1">
      <alignment horizontal="left" vertical="center"/>
    </xf>
    <xf numFmtId="10" fontId="39" fillId="9" borderId="7" xfId="3" applyNumberFormat="1" applyFont="1" applyFill="1" applyBorder="1" applyAlignment="1">
      <alignment horizontal="center" vertical="center"/>
    </xf>
    <xf numFmtId="10" fontId="39" fillId="9" borderId="7" xfId="3" applyNumberFormat="1" applyFill="1" applyBorder="1" applyAlignment="1">
      <alignment horizontal="center"/>
    </xf>
    <xf numFmtId="10" fontId="39" fillId="9" borderId="7" xfId="3" applyNumberFormat="1" applyFill="1" applyBorder="1" applyAlignment="1">
      <alignment horizontal="center" vertical="center"/>
    </xf>
    <xf numFmtId="9" fontId="39" fillId="9" borderId="7" xfId="3" applyNumberFormat="1" applyFill="1" applyBorder="1" applyAlignment="1">
      <alignment horizontal="center" vertical="center"/>
    </xf>
    <xf numFmtId="9" fontId="39" fillId="9" borderId="7" xfId="3" applyNumberFormat="1" applyFont="1" applyFill="1" applyBorder="1" applyAlignment="1">
      <alignment horizontal="center" vertical="center"/>
    </xf>
    <xf numFmtId="0" fontId="39" fillId="9" borderId="0" xfId="3" applyFill="1"/>
    <xf numFmtId="0" fontId="39" fillId="14" borderId="0" xfId="3" applyFill="1"/>
    <xf numFmtId="0" fontId="39" fillId="14" borderId="7" xfId="3" applyFill="1" applyBorder="1"/>
    <xf numFmtId="3" fontId="51" fillId="14" borderId="7" xfId="3" applyNumberFormat="1" applyFont="1" applyFill="1" applyBorder="1"/>
    <xf numFmtId="3" fontId="39" fillId="14" borderId="7" xfId="3" applyNumberFormat="1" applyFill="1" applyBorder="1"/>
    <xf numFmtId="165" fontId="39" fillId="14" borderId="0" xfId="2" applyFont="1" applyFill="1"/>
    <xf numFmtId="0" fontId="39" fillId="11" borderId="7" xfId="3" applyFill="1" applyBorder="1"/>
    <xf numFmtId="3" fontId="39" fillId="11" borderId="7" xfId="3" applyNumberFormat="1" applyFill="1" applyBorder="1"/>
    <xf numFmtId="0" fontId="67" fillId="9" borderId="7" xfId="3" applyFont="1" applyFill="1" applyBorder="1" applyAlignment="1">
      <alignment horizontal="center" vertical="center" wrapText="1"/>
    </xf>
    <xf numFmtId="0" fontId="67" fillId="9" borderId="7" xfId="0" applyFont="1" applyFill="1" applyBorder="1" applyAlignment="1">
      <alignment horizontal="center" vertical="center"/>
    </xf>
    <xf numFmtId="0" fontId="51" fillId="11" borderId="7" xfId="3" applyFont="1" applyFill="1" applyBorder="1" applyAlignment="1">
      <alignment vertical="top" wrapText="1"/>
    </xf>
    <xf numFmtId="9" fontId="0" fillId="9" borderId="0" xfId="0" applyNumberFormat="1" applyFill="1"/>
    <xf numFmtId="9" fontId="39" fillId="9" borderId="24" xfId="1" applyFont="1" applyFill="1" applyBorder="1" applyAlignment="1">
      <alignment horizontal="center" vertical="center"/>
    </xf>
    <xf numFmtId="9" fontId="0" fillId="9" borderId="24" xfId="1" applyFont="1" applyFill="1" applyBorder="1" applyAlignment="1">
      <alignment horizontal="center"/>
    </xf>
    <xf numFmtId="170" fontId="0" fillId="9" borderId="7" xfId="5" applyNumberFormat="1" applyFont="1" applyFill="1" applyBorder="1" applyAlignment="1">
      <alignment horizontal="center" vertical="center"/>
    </xf>
    <xf numFmtId="170" fontId="0" fillId="9" borderId="0" xfId="5" applyNumberFormat="1" applyFont="1" applyFill="1" applyBorder="1" applyAlignment="1">
      <alignment horizontal="center" vertical="center"/>
    </xf>
    <xf numFmtId="0" fontId="39" fillId="11" borderId="7" xfId="3" applyFont="1" applyFill="1" applyBorder="1" applyAlignment="1">
      <alignment horizontal="center" vertical="top" wrapText="1"/>
    </xf>
    <xf numFmtId="3" fontId="39" fillId="14" borderId="7" xfId="3" applyNumberFormat="1" applyFont="1" applyFill="1" applyBorder="1"/>
    <xf numFmtId="3" fontId="43" fillId="7" borderId="0" xfId="3" applyNumberFormat="1" applyFont="1" applyFill="1" applyBorder="1" applyAlignment="1" applyProtection="1">
      <alignment horizontal="center" vertical="center"/>
      <protection locked="0" hidden="1"/>
    </xf>
    <xf numFmtId="9" fontId="39" fillId="9" borderId="7" xfId="3" applyNumberFormat="1" applyFill="1" applyBorder="1" applyAlignment="1">
      <alignment horizontal="right" vertical="center"/>
    </xf>
    <xf numFmtId="14" fontId="78" fillId="0" borderId="7" xfId="0" applyNumberFormat="1" applyFont="1" applyBorder="1" applyProtection="1">
      <protection hidden="1"/>
    </xf>
    <xf numFmtId="14" fontId="78" fillId="0" borderId="0" xfId="0" applyNumberFormat="1" applyFont="1" applyProtection="1">
      <protection hidden="1"/>
    </xf>
    <xf numFmtId="0" fontId="78" fillId="0" borderId="0" xfId="1" applyNumberFormat="1" applyFont="1" applyProtection="1">
      <protection hidden="1"/>
    </xf>
    <xf numFmtId="0" fontId="78" fillId="0" borderId="0" xfId="0" applyNumberFormat="1" applyFont="1" applyProtection="1">
      <protection hidden="1"/>
    </xf>
    <xf numFmtId="0" fontId="78" fillId="0" borderId="0" xfId="0" applyFont="1" applyBorder="1" applyProtection="1">
      <protection hidden="1"/>
    </xf>
    <xf numFmtId="3" fontId="78" fillId="0" borderId="0" xfId="0" applyNumberFormat="1" applyFont="1" applyProtection="1">
      <protection hidden="1"/>
    </xf>
    <xf numFmtId="0" fontId="78" fillId="0" borderId="7" xfId="0" applyNumberFormat="1" applyFont="1" applyBorder="1" applyProtection="1">
      <protection hidden="1"/>
    </xf>
    <xf numFmtId="14" fontId="0" fillId="0" borderId="0" xfId="0" applyNumberFormat="1"/>
    <xf numFmtId="176" fontId="59" fillId="0" borderId="7" xfId="0" applyNumberFormat="1" applyFont="1" applyFill="1" applyBorder="1" applyAlignment="1" applyProtection="1">
      <alignment vertical="top"/>
    </xf>
    <xf numFmtId="0" fontId="0" fillId="15" borderId="7" xfId="0" applyFill="1" applyBorder="1" applyAlignment="1">
      <alignment horizontal="center" vertical="center"/>
    </xf>
    <xf numFmtId="177" fontId="0" fillId="15" borderId="7" xfId="0" applyNumberFormat="1" applyFill="1" applyBorder="1" applyAlignment="1">
      <alignment horizontal="center" vertical="center"/>
    </xf>
    <xf numFmtId="178" fontId="3" fillId="0" borderId="7" xfId="6" applyNumberFormat="1" applyFont="1" applyBorder="1" applyAlignment="1">
      <alignment horizontal="center"/>
    </xf>
    <xf numFmtId="0" fontId="91" fillId="0" borderId="7" xfId="0" applyFont="1" applyFill="1" applyBorder="1" applyAlignment="1">
      <alignment horizontal="center" vertical="center"/>
    </xf>
    <xf numFmtId="177" fontId="3" fillId="0" borderId="7" xfId="6" applyNumberFormat="1" applyFont="1" applyBorder="1" applyAlignment="1">
      <alignment horizontal="center"/>
    </xf>
    <xf numFmtId="0" fontId="0" fillId="0" borderId="0" xfId="0" applyFill="1"/>
    <xf numFmtId="177" fontId="3" fillId="0" borderId="0" xfId="6" applyNumberFormat="1" applyFont="1" applyFill="1" applyBorder="1" applyAlignment="1">
      <alignment horizontal="center"/>
    </xf>
    <xf numFmtId="0" fontId="78" fillId="11" borderId="7" xfId="0" applyNumberFormat="1" applyFont="1" applyFill="1" applyBorder="1" applyAlignment="1" applyProtection="1">
      <alignment vertical="top" wrapText="1"/>
      <protection hidden="1"/>
    </xf>
    <xf numFmtId="174" fontId="78" fillId="9" borderId="7" xfId="1" applyNumberFormat="1" applyFont="1" applyFill="1" applyBorder="1" applyProtection="1">
      <protection locked="0"/>
    </xf>
    <xf numFmtId="174" fontId="3" fillId="0" borderId="7" xfId="1" applyNumberFormat="1" applyFont="1" applyBorder="1" applyAlignment="1">
      <alignment horizontal="center"/>
    </xf>
    <xf numFmtId="179" fontId="78" fillId="9" borderId="7" xfId="1" applyNumberFormat="1" applyFont="1" applyFill="1" applyBorder="1" applyProtection="1">
      <protection locked="0"/>
    </xf>
    <xf numFmtId="174" fontId="78" fillId="0" borderId="0" xfId="0" applyNumberFormat="1" applyFont="1" applyBorder="1" applyProtection="1">
      <protection hidden="1"/>
    </xf>
    <xf numFmtId="0" fontId="11" fillId="0" borderId="0" xfId="0" applyFont="1"/>
    <xf numFmtId="180" fontId="3" fillId="0" borderId="7" xfId="1" applyNumberFormat="1" applyFont="1" applyBorder="1" applyAlignment="1">
      <alignment horizontal="center"/>
    </xf>
    <xf numFmtId="0" fontId="89" fillId="0" borderId="0" xfId="3" applyFont="1" applyFill="1" applyBorder="1" applyProtection="1">
      <protection hidden="1"/>
    </xf>
    <xf numFmtId="0" fontId="39" fillId="0" borderId="7" xfId="3" applyBorder="1" applyAlignment="1">
      <alignment horizontal="center"/>
    </xf>
    <xf numFmtId="0" fontId="68" fillId="0" borderId="7" xfId="3" applyFont="1" applyBorder="1" applyAlignment="1">
      <alignment horizontal="center" vertical="center"/>
    </xf>
    <xf numFmtId="0" fontId="39" fillId="0" borderId="31" xfId="3" applyBorder="1" applyAlignment="1">
      <alignment horizontal="center"/>
    </xf>
    <xf numFmtId="0" fontId="39" fillId="0" borderId="7" xfId="3" applyBorder="1" applyAlignment="1">
      <alignment horizontal="center"/>
    </xf>
    <xf numFmtId="14" fontId="78" fillId="0" borderId="7" xfId="0" applyNumberFormat="1" applyFont="1" applyBorder="1" applyAlignment="1" applyProtection="1">
      <alignment horizontal="center" vertical="center"/>
      <protection hidden="1"/>
    </xf>
    <xf numFmtId="0" fontId="78" fillId="0" borderId="7" xfId="0" applyFont="1" applyBorder="1" applyAlignment="1" applyProtection="1">
      <alignment horizontal="center" vertical="center"/>
      <protection hidden="1"/>
    </xf>
    <xf numFmtId="0" fontId="42" fillId="16" borderId="0" xfId="3" applyFont="1" applyFill="1" applyBorder="1" applyAlignment="1" applyProtection="1">
      <alignment vertical="center" wrapText="1"/>
      <protection hidden="1"/>
    </xf>
    <xf numFmtId="10" fontId="39" fillId="0" borderId="7" xfId="3" applyNumberFormat="1" applyFont="1" applyFill="1" applyBorder="1" applyAlignment="1">
      <alignment horizontal="center" vertical="center"/>
    </xf>
    <xf numFmtId="10" fontId="39" fillId="0" borderId="7" xfId="3" applyNumberFormat="1" applyFill="1" applyBorder="1" applyAlignment="1">
      <alignment horizontal="center" vertical="center"/>
    </xf>
    <xf numFmtId="0" fontId="39" fillId="0" borderId="7" xfId="3" applyFont="1" applyFill="1" applyBorder="1" applyAlignment="1">
      <alignment horizontal="left"/>
    </xf>
    <xf numFmtId="0" fontId="1" fillId="0" borderId="0" xfId="3" applyFont="1" applyFill="1" applyBorder="1" applyAlignment="1">
      <alignment horizontal="left" vertical="center" wrapText="1"/>
    </xf>
    <xf numFmtId="0" fontId="39" fillId="0" borderId="0" xfId="3" applyFont="1" applyFill="1"/>
    <xf numFmtId="10" fontId="39" fillId="0" borderId="7" xfId="3" applyNumberFormat="1" applyFont="1" applyFill="1" applyBorder="1" applyAlignment="1">
      <alignment horizontal="center"/>
    </xf>
    <xf numFmtId="0" fontId="54" fillId="0" borderId="0" xfId="3" applyFont="1" applyFill="1" applyBorder="1" applyAlignment="1">
      <alignment horizontal="left" vertical="center" wrapText="1"/>
    </xf>
    <xf numFmtId="10" fontId="39" fillId="0" borderId="7" xfId="3" applyNumberFormat="1" applyFill="1" applyBorder="1" applyAlignment="1">
      <alignment horizontal="center"/>
    </xf>
    <xf numFmtId="9" fontId="39" fillId="0" borderId="7" xfId="3" applyNumberFormat="1" applyFill="1" applyBorder="1" applyAlignment="1">
      <alignment horizontal="center"/>
    </xf>
    <xf numFmtId="0" fontId="39" fillId="0" borderId="7" xfId="3" applyFill="1" applyBorder="1" applyAlignment="1">
      <alignment horizontal="center"/>
    </xf>
    <xf numFmtId="9" fontId="39" fillId="0" borderId="0" xfId="3" applyNumberFormat="1"/>
    <xf numFmtId="0" fontId="39" fillId="0" borderId="7" xfId="3" applyFont="1" applyBorder="1" applyAlignment="1">
      <alignment horizontal="center" vertical="center" wrapText="1"/>
    </xf>
    <xf numFmtId="0" fontId="39" fillId="0" borderId="7" xfId="3" applyFont="1" applyFill="1" applyBorder="1" applyAlignment="1">
      <alignment horizontal="center" vertical="center"/>
    </xf>
    <xf numFmtId="169" fontId="39" fillId="9" borderId="7" xfId="3" applyNumberFormat="1" applyFill="1" applyBorder="1" applyAlignment="1">
      <alignment horizontal="center" vertical="center"/>
    </xf>
    <xf numFmtId="0" fontId="39" fillId="13" borderId="0" xfId="3" applyFill="1"/>
    <xf numFmtId="0" fontId="39" fillId="0" borderId="0" xfId="3" applyAlignment="1">
      <alignment horizontal="right"/>
    </xf>
    <xf numFmtId="0" fontId="0" fillId="0" borderId="7" xfId="0" applyBorder="1"/>
    <xf numFmtId="0" fontId="11" fillId="14" borderId="7" xfId="0" applyFont="1" applyFill="1" applyBorder="1"/>
    <xf numFmtId="0" fontId="11" fillId="11" borderId="7" xfId="0" applyFont="1" applyFill="1" applyBorder="1"/>
    <xf numFmtId="10" fontId="0" fillId="0" borderId="7" xfId="1" applyNumberFormat="1" applyFont="1" applyBorder="1"/>
    <xf numFmtId="0" fontId="0" fillId="0" borderId="7" xfId="0" applyFont="1" applyBorder="1"/>
    <xf numFmtId="0" fontId="93" fillId="9" borderId="7" xfId="3" applyFont="1" applyFill="1" applyBorder="1" applyAlignment="1" applyProtection="1">
      <alignment horizontal="center" vertical="center"/>
      <protection locked="0" hidden="1"/>
    </xf>
    <xf numFmtId="9" fontId="93" fillId="9" borderId="7" xfId="1" applyFont="1" applyFill="1" applyBorder="1" applyAlignment="1" applyProtection="1">
      <alignment horizontal="center" vertical="center"/>
      <protection locked="0" hidden="1"/>
    </xf>
    <xf numFmtId="170" fontId="93" fillId="9" borderId="7" xfId="2" applyNumberFormat="1" applyFont="1" applyFill="1" applyBorder="1" applyAlignment="1" applyProtection="1">
      <alignment horizontal="center" vertical="center"/>
      <protection locked="0" hidden="1"/>
    </xf>
    <xf numFmtId="9" fontId="94" fillId="0" borderId="0" xfId="1" applyFont="1" applyFill="1" applyBorder="1" applyAlignment="1" applyProtection="1">
      <alignment horizontal="center" vertical="center"/>
      <protection locked="0" hidden="1"/>
    </xf>
    <xf numFmtId="0" fontId="39" fillId="13" borderId="0" xfId="3" applyFill="1" applyAlignment="1">
      <alignment horizontal="right"/>
    </xf>
    <xf numFmtId="0" fontId="39" fillId="13" borderId="7" xfId="3" applyFill="1" applyBorder="1"/>
    <xf numFmtId="0" fontId="67" fillId="0" borderId="7" xfId="3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/>
    </xf>
    <xf numFmtId="9" fontId="39" fillId="17" borderId="7" xfId="3" applyNumberFormat="1" applyFill="1" applyBorder="1"/>
    <xf numFmtId="9" fontId="39" fillId="17" borderId="7" xfId="3" applyNumberFormat="1" applyFill="1" applyBorder="1" applyAlignment="1">
      <alignment horizontal="center" vertical="center"/>
    </xf>
    <xf numFmtId="0" fontId="39" fillId="9" borderId="7" xfId="3" applyFill="1" applyBorder="1" applyAlignment="1">
      <alignment horizontal="right"/>
    </xf>
    <xf numFmtId="9" fontId="39" fillId="9" borderId="7" xfId="3" applyNumberFormat="1" applyFill="1" applyBorder="1" applyAlignment="1">
      <alignment horizontal="right"/>
    </xf>
    <xf numFmtId="0" fontId="42" fillId="13" borderId="0" xfId="3" applyFont="1" applyFill="1" applyBorder="1" applyAlignment="1" applyProtection="1">
      <alignment horizontal="left" vertical="center"/>
      <protection hidden="1"/>
    </xf>
    <xf numFmtId="0" fontId="41" fillId="13" borderId="0" xfId="3" applyFont="1" applyFill="1" applyBorder="1" applyAlignment="1" applyProtection="1">
      <alignment horizontal="center"/>
      <protection hidden="1"/>
    </xf>
    <xf numFmtId="0" fontId="42" fillId="13" borderId="0" xfId="3" applyFont="1" applyFill="1" applyBorder="1" applyAlignment="1" applyProtection="1">
      <alignment horizontal="left"/>
      <protection hidden="1"/>
    </xf>
    <xf numFmtId="0" fontId="42" fillId="13" borderId="0" xfId="3" applyFont="1" applyFill="1" applyBorder="1" applyAlignment="1" applyProtection="1">
      <alignment horizontal="left" vertical="center" wrapText="1"/>
      <protection hidden="1"/>
    </xf>
    <xf numFmtId="0" fontId="42" fillId="13" borderId="0" xfId="3" applyFont="1" applyFill="1" applyBorder="1" applyAlignment="1" applyProtection="1">
      <alignment horizontal="left" wrapText="1"/>
      <protection hidden="1"/>
    </xf>
    <xf numFmtId="0" fontId="42" fillId="13" borderId="0" xfId="3" applyFont="1" applyFill="1" applyBorder="1" applyAlignment="1" applyProtection="1">
      <alignment wrapText="1"/>
      <protection hidden="1"/>
    </xf>
    <xf numFmtId="0" fontId="68" fillId="0" borderId="0" xfId="3" applyFont="1" applyAlignment="1">
      <alignment horizontal="center"/>
    </xf>
    <xf numFmtId="0" fontId="95" fillId="0" borderId="0" xfId="3" applyFont="1" applyFill="1" applyBorder="1" applyProtection="1">
      <protection hidden="1"/>
    </xf>
    <xf numFmtId="0" fontId="80" fillId="0" borderId="0" xfId="0" applyFont="1" applyBorder="1" applyAlignment="1" applyProtection="1">
      <protection locked="0"/>
    </xf>
    <xf numFmtId="0" fontId="49" fillId="9" borderId="7" xfId="3" applyFont="1" applyFill="1" applyBorder="1"/>
    <xf numFmtId="0" fontId="39" fillId="9" borderId="29" xfId="3" applyFill="1" applyBorder="1"/>
    <xf numFmtId="3" fontId="39" fillId="0" borderId="7" xfId="3" applyNumberFormat="1" applyFill="1" applyBorder="1" applyAlignment="1">
      <alignment horizontal="center"/>
    </xf>
    <xf numFmtId="3" fontId="42" fillId="9" borderId="7" xfId="3" applyNumberFormat="1" applyFont="1" applyFill="1" applyBorder="1" applyAlignment="1" applyProtection="1">
      <alignment horizontal="center" vertical="center"/>
      <protection locked="0"/>
    </xf>
    <xf numFmtId="3" fontId="42" fillId="9" borderId="7" xfId="4" applyNumberFormat="1" applyFont="1" applyFill="1" applyBorder="1" applyAlignment="1" applyProtection="1">
      <alignment horizontal="center" vertical="center"/>
      <protection locked="0"/>
    </xf>
    <xf numFmtId="0" fontId="85" fillId="0" borderId="0" xfId="3" applyFont="1" applyFill="1" applyBorder="1" applyAlignment="1" applyProtection="1">
      <alignment horizontal="center" vertical="center"/>
      <protection hidden="1"/>
    </xf>
    <xf numFmtId="170" fontId="55" fillId="0" borderId="0" xfId="2" applyNumberFormat="1" applyFont="1" applyBorder="1" applyAlignment="1">
      <alignment horizontal="left" vertical="center" wrapText="1"/>
    </xf>
    <xf numFmtId="0" fontId="69" fillId="0" borderId="0" xfId="0" applyFont="1" applyProtection="1">
      <protection hidden="1"/>
    </xf>
    <xf numFmtId="174" fontId="39" fillId="0" borderId="0" xfId="3" applyNumberFormat="1"/>
    <xf numFmtId="0" fontId="78" fillId="0" borderId="0" xfId="0" applyFont="1" applyAlignment="1" applyProtection="1">
      <alignment vertical="center"/>
      <protection hidden="1"/>
    </xf>
    <xf numFmtId="0" fontId="78" fillId="0" borderId="0" xfId="0" applyNumberFormat="1" applyFont="1" applyAlignment="1" applyProtection="1">
      <alignment vertical="center"/>
      <protection hidden="1"/>
    </xf>
    <xf numFmtId="0" fontId="79" fillId="0" borderId="0" xfId="0" applyFont="1" applyBorder="1" applyAlignment="1" applyProtection="1">
      <alignment vertical="center"/>
      <protection locked="0"/>
    </xf>
    <xf numFmtId="0" fontId="78" fillId="0" borderId="0" xfId="0" applyFont="1" applyBorder="1" applyAlignment="1" applyProtection="1">
      <alignment vertical="center"/>
      <protection hidden="1"/>
    </xf>
    <xf numFmtId="0" fontId="78" fillId="0" borderId="7" xfId="0" applyFont="1" applyBorder="1" applyAlignment="1" applyProtection="1">
      <alignment vertical="center"/>
      <protection hidden="1"/>
    </xf>
    <xf numFmtId="14" fontId="78" fillId="9" borderId="7" xfId="0" applyNumberFormat="1" applyFont="1" applyFill="1" applyBorder="1" applyAlignment="1" applyProtection="1">
      <alignment vertical="center"/>
      <protection locked="0"/>
    </xf>
    <xf numFmtId="9" fontId="78" fillId="0" borderId="0" xfId="1" applyFont="1" applyAlignment="1" applyProtection="1">
      <alignment vertical="center"/>
      <protection hidden="1"/>
    </xf>
    <xf numFmtId="0" fontId="92" fillId="0" borderId="27" xfId="0" applyFont="1" applyBorder="1" applyAlignment="1" applyProtection="1">
      <alignment vertical="center"/>
      <protection hidden="1"/>
    </xf>
    <xf numFmtId="3" fontId="78" fillId="9" borderId="24" xfId="0" applyNumberFormat="1" applyFont="1" applyFill="1" applyBorder="1" applyAlignment="1" applyProtection="1">
      <alignment horizontal="center" vertical="center"/>
      <protection locked="0"/>
    </xf>
    <xf numFmtId="174" fontId="78" fillId="0" borderId="0" xfId="1" applyNumberFormat="1" applyFont="1" applyAlignment="1" applyProtection="1">
      <alignment vertical="center"/>
      <protection hidden="1"/>
    </xf>
    <xf numFmtId="3" fontId="78" fillId="9" borderId="7" xfId="0" applyNumberFormat="1" applyFont="1" applyFill="1" applyBorder="1" applyAlignment="1" applyProtection="1">
      <alignment vertical="center"/>
      <protection locked="0"/>
    </xf>
    <xf numFmtId="0" fontId="78" fillId="0" borderId="24" xfId="0" applyFont="1" applyBorder="1" applyAlignment="1" applyProtection="1">
      <alignment vertical="center"/>
      <protection hidden="1"/>
    </xf>
    <xf numFmtId="0" fontId="78" fillId="0" borderId="0" xfId="0" applyNumberFormat="1" applyFont="1" applyBorder="1" applyAlignment="1" applyProtection="1">
      <alignment vertical="center"/>
      <protection hidden="1"/>
    </xf>
    <xf numFmtId="9" fontId="78" fillId="0" borderId="0" xfId="0" applyNumberFormat="1" applyFont="1" applyAlignment="1" applyProtection="1">
      <alignment vertical="center"/>
      <protection hidden="1"/>
    </xf>
    <xf numFmtId="14" fontId="78" fillId="0" borderId="0" xfId="0" applyNumberFormat="1" applyFont="1" applyBorder="1" applyAlignment="1" applyProtection="1">
      <alignment vertical="center"/>
      <protection hidden="1"/>
    </xf>
    <xf numFmtId="10" fontId="78" fillId="9" borderId="7" xfId="1" applyNumberFormat="1" applyFont="1" applyFill="1" applyBorder="1" applyAlignment="1" applyProtection="1">
      <alignment vertical="center"/>
      <protection locked="0"/>
    </xf>
    <xf numFmtId="3" fontId="78" fillId="0" borderId="7" xfId="0" applyNumberFormat="1" applyFont="1" applyBorder="1" applyAlignment="1" applyProtection="1">
      <alignment vertical="center"/>
      <protection hidden="1"/>
    </xf>
    <xf numFmtId="3" fontId="78" fillId="0" borderId="0" xfId="0" applyNumberFormat="1" applyFont="1" applyAlignment="1" applyProtection="1">
      <alignment vertical="center"/>
      <protection hidden="1"/>
    </xf>
    <xf numFmtId="175" fontId="78" fillId="0" borderId="0" xfId="1" applyNumberFormat="1" applyFont="1" applyAlignment="1" applyProtection="1">
      <alignment vertical="center"/>
      <protection hidden="1"/>
    </xf>
    <xf numFmtId="0" fontId="78" fillId="0" borderId="0" xfId="0" applyFont="1" applyAlignment="1" applyProtection="1">
      <alignment vertical="center" wrapText="1"/>
      <protection hidden="1"/>
    </xf>
    <xf numFmtId="9" fontId="78" fillId="0" borderId="0" xfId="1" applyFont="1" applyBorder="1" applyAlignment="1" applyProtection="1">
      <alignment vertical="center"/>
      <protection hidden="1"/>
    </xf>
    <xf numFmtId="174" fontId="78" fillId="0" borderId="7" xfId="0" applyNumberFormat="1" applyFont="1" applyBorder="1" applyAlignment="1" applyProtection="1">
      <alignment vertical="center"/>
      <protection hidden="1"/>
    </xf>
    <xf numFmtId="0" fontId="96" fillId="0" borderId="7" xfId="0" applyFont="1" applyBorder="1" applyAlignment="1" applyProtection="1">
      <alignment vertical="center"/>
      <protection hidden="1"/>
    </xf>
    <xf numFmtId="174" fontId="96" fillId="0" borderId="7" xfId="1" applyNumberFormat="1" applyFont="1" applyBorder="1" applyAlignment="1" applyProtection="1">
      <alignment vertical="center"/>
      <protection hidden="1"/>
    </xf>
    <xf numFmtId="0" fontId="69" fillId="0" borderId="0" xfId="0" applyFont="1" applyAlignment="1" applyProtection="1">
      <alignment vertical="center"/>
      <protection hidden="1"/>
    </xf>
    <xf numFmtId="4" fontId="78" fillId="0" borderId="0" xfId="0" applyNumberFormat="1" applyFont="1" applyAlignment="1" applyProtection="1">
      <alignment vertical="center"/>
      <protection hidden="1"/>
    </xf>
    <xf numFmtId="0" fontId="78" fillId="0" borderId="0" xfId="1" applyNumberFormat="1" applyFont="1" applyAlignment="1" applyProtection="1">
      <alignment vertical="center"/>
      <protection hidden="1"/>
    </xf>
    <xf numFmtId="0" fontId="95" fillId="0" borderId="0" xfId="3" applyFont="1" applyFill="1" applyBorder="1" applyAlignment="1" applyProtection="1">
      <alignment horizontal="left"/>
      <protection hidden="1"/>
    </xf>
    <xf numFmtId="3" fontId="87" fillId="0" borderId="45" xfId="3" applyNumberFormat="1" applyFont="1" applyFill="1" applyBorder="1" applyAlignment="1" applyProtection="1">
      <alignment horizontal="center" vertical="center"/>
      <protection hidden="1"/>
    </xf>
    <xf numFmtId="10" fontId="39" fillId="13" borderId="7" xfId="3" applyNumberFormat="1" applyFill="1" applyBorder="1" applyAlignment="1">
      <alignment horizontal="center" vertical="center"/>
    </xf>
    <xf numFmtId="10" fontId="42" fillId="9" borderId="7" xfId="4" applyNumberFormat="1" applyFont="1" applyFill="1" applyBorder="1" applyAlignment="1" applyProtection="1">
      <alignment horizontal="center" vertical="center"/>
      <protection locked="0"/>
    </xf>
    <xf numFmtId="10" fontId="51" fillId="9" borderId="7" xfId="4" applyNumberFormat="1" applyFont="1" applyFill="1" applyBorder="1" applyAlignment="1">
      <alignment horizontal="center"/>
    </xf>
    <xf numFmtId="10" fontId="0" fillId="0" borderId="47" xfId="4" applyNumberFormat="1" applyFont="1" applyBorder="1" applyAlignment="1">
      <alignment horizontal="center" vertical="center"/>
    </xf>
    <xf numFmtId="0" fontId="39" fillId="18" borderId="7" xfId="3" applyFont="1" applyFill="1" applyBorder="1" applyAlignment="1">
      <alignment horizontal="center" vertical="center" wrapText="1"/>
    </xf>
    <xf numFmtId="0" fontId="39" fillId="18" borderId="7" xfId="3" applyFill="1" applyBorder="1" applyAlignment="1">
      <alignment horizontal="center" vertical="center" wrapText="1"/>
    </xf>
    <xf numFmtId="10" fontId="98" fillId="0" borderId="0" xfId="3" applyNumberFormat="1" applyFont="1" applyFill="1" applyBorder="1" applyAlignment="1" applyProtection="1">
      <alignment horizontal="center"/>
      <protection hidden="1"/>
    </xf>
    <xf numFmtId="0" fontId="11" fillId="0" borderId="33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42" fillId="13" borderId="0" xfId="3" applyFont="1" applyFill="1" applyBorder="1" applyAlignment="1" applyProtection="1">
      <alignment horizontal="left" vertical="center" wrapText="1"/>
      <protection hidden="1"/>
    </xf>
    <xf numFmtId="3" fontId="43" fillId="9" borderId="29" xfId="3" applyNumberFormat="1" applyFont="1" applyFill="1" applyBorder="1" applyAlignment="1" applyProtection="1">
      <alignment horizontal="center" vertical="center"/>
      <protection locked="0" hidden="1"/>
    </xf>
    <xf numFmtId="3" fontId="43" fillId="9" borderId="30" xfId="3" applyNumberFormat="1" applyFont="1" applyFill="1" applyBorder="1" applyAlignment="1" applyProtection="1">
      <alignment horizontal="center" vertical="center"/>
      <protection locked="0" hidden="1"/>
    </xf>
    <xf numFmtId="3" fontId="43" fillId="9" borderId="24" xfId="3" applyNumberFormat="1" applyFont="1" applyFill="1" applyBorder="1" applyAlignment="1" applyProtection="1">
      <alignment horizontal="center" vertical="center"/>
      <protection locked="0" hidden="1"/>
    </xf>
    <xf numFmtId="10" fontId="42" fillId="0" borderId="29" xfId="4" applyNumberFormat="1" applyFont="1" applyFill="1" applyBorder="1" applyAlignment="1" applyProtection="1">
      <alignment horizontal="center" vertical="center"/>
      <protection locked="0" hidden="1"/>
    </xf>
    <xf numFmtId="10" fontId="42" fillId="0" borderId="30" xfId="4" applyNumberFormat="1" applyFont="1" applyFill="1" applyBorder="1" applyAlignment="1" applyProtection="1">
      <alignment horizontal="center" vertical="center"/>
      <protection locked="0" hidden="1"/>
    </xf>
    <xf numFmtId="10" fontId="42" fillId="0" borderId="24" xfId="4" applyNumberFormat="1" applyFont="1" applyFill="1" applyBorder="1" applyAlignment="1" applyProtection="1">
      <alignment horizontal="center" vertical="center"/>
      <protection locked="0" hidden="1"/>
    </xf>
    <xf numFmtId="3" fontId="42" fillId="9" borderId="29" xfId="3" applyNumberFormat="1" applyFont="1" applyFill="1" applyBorder="1" applyAlignment="1" applyProtection="1">
      <alignment horizontal="center" vertical="center"/>
      <protection locked="0" hidden="1"/>
    </xf>
    <xf numFmtId="3" fontId="42" fillId="9" borderId="30" xfId="3" applyNumberFormat="1" applyFont="1" applyFill="1" applyBorder="1" applyAlignment="1" applyProtection="1">
      <alignment horizontal="center" vertical="center"/>
      <protection locked="0" hidden="1"/>
    </xf>
    <xf numFmtId="3" fontId="42" fillId="9" borderId="24" xfId="3" applyNumberFormat="1" applyFont="1" applyFill="1" applyBorder="1" applyAlignment="1" applyProtection="1">
      <alignment horizontal="center" vertical="center"/>
      <protection locked="0" hidden="1"/>
    </xf>
    <xf numFmtId="0" fontId="40" fillId="0" borderId="44" xfId="3" applyFont="1" applyFill="1" applyBorder="1" applyAlignment="1" applyProtection="1">
      <alignment horizontal="center" vertical="center"/>
      <protection hidden="1"/>
    </xf>
    <xf numFmtId="0" fontId="40" fillId="0" borderId="0" xfId="3" applyFont="1" applyFill="1" applyBorder="1" applyAlignment="1" applyProtection="1">
      <alignment horizontal="center" vertical="center"/>
      <protection hidden="1"/>
    </xf>
    <xf numFmtId="0" fontId="40" fillId="0" borderId="45" xfId="3" applyFont="1" applyFill="1" applyBorder="1" applyAlignment="1" applyProtection="1">
      <alignment horizontal="center" vertical="center"/>
      <protection hidden="1"/>
    </xf>
    <xf numFmtId="180" fontId="42" fillId="9" borderId="29" xfId="1" applyNumberFormat="1" applyFont="1" applyFill="1" applyBorder="1" applyAlignment="1" applyProtection="1">
      <alignment horizontal="center" vertical="center"/>
      <protection locked="0" hidden="1"/>
    </xf>
    <xf numFmtId="180" fontId="42" fillId="9" borderId="30" xfId="1" applyNumberFormat="1" applyFont="1" applyFill="1" applyBorder="1" applyAlignment="1" applyProtection="1">
      <alignment horizontal="center" vertical="center"/>
      <protection locked="0" hidden="1"/>
    </xf>
    <xf numFmtId="180" fontId="42" fillId="9" borderId="24" xfId="1" applyNumberFormat="1" applyFont="1" applyFill="1" applyBorder="1" applyAlignment="1" applyProtection="1">
      <alignment horizontal="center" vertical="center"/>
      <protection locked="0" hidden="1"/>
    </xf>
    <xf numFmtId="0" fontId="42" fillId="0" borderId="0" xfId="3" applyFont="1" applyFill="1" applyBorder="1" applyAlignment="1" applyProtection="1">
      <alignment horizontal="right" vertical="center"/>
      <protection hidden="1"/>
    </xf>
    <xf numFmtId="0" fontId="80" fillId="0" borderId="0" xfId="0" applyFont="1" applyBorder="1" applyAlignment="1" applyProtection="1">
      <alignment horizontal="left" vertical="top" wrapText="1"/>
      <protection locked="0"/>
    </xf>
    <xf numFmtId="0" fontId="74" fillId="0" borderId="0" xfId="0" applyFont="1" applyBorder="1" applyAlignment="1" applyProtection="1">
      <alignment horizontal="center" vertical="center" wrapText="1"/>
      <protection hidden="1"/>
    </xf>
    <xf numFmtId="0" fontId="27" fillId="9" borderId="7" xfId="0" applyFont="1" applyFill="1" applyBorder="1" applyAlignment="1" applyProtection="1">
      <alignment horizontal="left" vertical="center"/>
      <protection locked="0" hidden="1"/>
    </xf>
    <xf numFmtId="0" fontId="39" fillId="0" borderId="29" xfId="3" applyBorder="1" applyAlignment="1">
      <alignment horizontal="center"/>
    </xf>
    <xf numFmtId="0" fontId="39" fillId="0" borderId="24" xfId="3" applyBorder="1" applyAlignment="1">
      <alignment horizontal="center"/>
    </xf>
    <xf numFmtId="0" fontId="38" fillId="0" borderId="27" xfId="0" applyFont="1" applyBorder="1" applyAlignment="1">
      <alignment horizontal="center"/>
    </xf>
    <xf numFmtId="177" fontId="0" fillId="15" borderId="29" xfId="0" applyNumberFormat="1" applyFill="1" applyBorder="1" applyAlignment="1">
      <alignment horizontal="center" vertical="center"/>
    </xf>
    <xf numFmtId="177" fontId="0" fillId="15" borderId="30" xfId="0" applyNumberFormat="1" applyFill="1" applyBorder="1" applyAlignment="1">
      <alignment horizontal="center" vertical="center"/>
    </xf>
    <xf numFmtId="177" fontId="0" fillId="15" borderId="24" xfId="0" applyNumberFormat="1" applyFill="1" applyBorder="1" applyAlignment="1">
      <alignment horizontal="center" vertical="center"/>
    </xf>
    <xf numFmtId="0" fontId="19" fillId="0" borderId="0" xfId="0" applyFont="1" applyBorder="1" applyAlignment="1" applyProtection="1">
      <alignment wrapText="1"/>
    </xf>
    <xf numFmtId="0" fontId="20" fillId="0" borderId="0" xfId="0" applyFont="1" applyBorder="1" applyAlignment="1" applyProtection="1">
      <alignment wrapText="1"/>
    </xf>
    <xf numFmtId="0" fontId="20" fillId="0" borderId="0" xfId="0" applyFont="1" applyAlignment="1">
      <alignment wrapText="1"/>
    </xf>
    <xf numFmtId="0" fontId="32" fillId="7" borderId="0" xfId="0" applyFont="1" applyFill="1" applyBorder="1" applyAlignment="1" applyProtection="1">
      <alignment horizontal="left"/>
    </xf>
    <xf numFmtId="0" fontId="32" fillId="7" borderId="29" xfId="0" applyFont="1" applyFill="1" applyBorder="1" applyAlignment="1" applyProtection="1">
      <alignment horizontal="left"/>
      <protection locked="0"/>
    </xf>
    <xf numFmtId="0" fontId="32" fillId="7" borderId="30" xfId="0" applyFont="1" applyFill="1" applyBorder="1" applyAlignment="1" applyProtection="1">
      <alignment horizontal="left"/>
      <protection locked="0"/>
    </xf>
    <xf numFmtId="0" fontId="32" fillId="7" borderId="24" xfId="0" applyFont="1" applyFill="1" applyBorder="1" applyAlignment="1" applyProtection="1">
      <alignment horizontal="left"/>
      <protection locked="0"/>
    </xf>
    <xf numFmtId="0" fontId="36" fillId="7" borderId="33" xfId="0" applyFont="1" applyFill="1" applyBorder="1" applyAlignment="1" applyProtection="1">
      <alignment horizontal="center" vertical="center" wrapText="1"/>
    </xf>
    <xf numFmtId="0" fontId="36" fillId="7" borderId="34" xfId="0" applyFont="1" applyFill="1" applyBorder="1" applyAlignment="1" applyProtection="1">
      <alignment horizontal="center" vertical="center"/>
    </xf>
    <xf numFmtId="0" fontId="36" fillId="7" borderId="35" xfId="0" applyFont="1" applyFill="1" applyBorder="1" applyAlignment="1" applyProtection="1">
      <alignment horizontal="center" vertical="center"/>
    </xf>
    <xf numFmtId="0" fontId="35" fillId="7" borderId="0" xfId="0" applyFont="1" applyFill="1" applyBorder="1" applyAlignment="1" applyProtection="1">
      <alignment horizontal="center"/>
    </xf>
    <xf numFmtId="0" fontId="32" fillId="7" borderId="0" xfId="0" applyFont="1" applyFill="1" applyBorder="1" applyAlignment="1" applyProtection="1">
      <alignment horizontal="left" wrapText="1"/>
    </xf>
    <xf numFmtId="0" fontId="18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7" borderId="29" xfId="0" applyFont="1" applyFill="1" applyBorder="1" applyAlignment="1" applyProtection="1">
      <alignment horizontal="center"/>
      <protection locked="0"/>
    </xf>
    <xf numFmtId="0" fontId="32" fillId="7" borderId="30" xfId="0" applyFont="1" applyFill="1" applyBorder="1" applyAlignment="1" applyProtection="1">
      <alignment horizontal="center"/>
      <protection locked="0"/>
    </xf>
    <xf numFmtId="0" fontId="32" fillId="7" borderId="24" xfId="0" applyFont="1" applyFill="1" applyBorder="1" applyAlignment="1" applyProtection="1">
      <alignment horizontal="center"/>
      <protection locked="0"/>
    </xf>
    <xf numFmtId="14" fontId="32" fillId="7" borderId="29" xfId="0" applyNumberFormat="1" applyFont="1" applyFill="1" applyBorder="1" applyAlignment="1" applyProtection="1">
      <alignment horizontal="left"/>
      <protection locked="0"/>
    </xf>
    <xf numFmtId="14" fontId="32" fillId="7" borderId="30" xfId="0" applyNumberFormat="1" applyFont="1" applyFill="1" applyBorder="1" applyAlignment="1" applyProtection="1">
      <alignment horizontal="left"/>
      <protection locked="0"/>
    </xf>
    <xf numFmtId="14" fontId="32" fillId="7" borderId="24" xfId="0" applyNumberFormat="1" applyFont="1" applyFill="1" applyBorder="1" applyAlignment="1" applyProtection="1">
      <alignment horizontal="left"/>
      <protection locked="0"/>
    </xf>
    <xf numFmtId="0" fontId="34" fillId="7" borderId="0" xfId="0" applyFont="1" applyFill="1" applyBorder="1" applyAlignment="1" applyProtection="1">
      <alignment horizontal="left" wrapText="1"/>
    </xf>
    <xf numFmtId="0" fontId="3" fillId="0" borderId="0" xfId="0" applyFont="1" applyBorder="1" applyAlignment="1" applyProtection="1">
      <alignment horizontal="left" vertical="top"/>
      <protection locked="0"/>
    </xf>
    <xf numFmtId="0" fontId="33" fillId="7" borderId="7" xfId="0" applyFont="1" applyFill="1" applyBorder="1" applyAlignment="1" applyProtection="1">
      <alignment vertical="center"/>
    </xf>
    <xf numFmtId="4" fontId="34" fillId="7" borderId="29" xfId="0" applyNumberFormat="1" applyFont="1" applyFill="1" applyBorder="1" applyAlignment="1" applyProtection="1">
      <alignment horizontal="right" vertical="center" indent="1"/>
    </xf>
    <xf numFmtId="4" fontId="34" fillId="7" borderId="30" xfId="0" applyNumberFormat="1" applyFont="1" applyFill="1" applyBorder="1" applyAlignment="1" applyProtection="1">
      <alignment horizontal="right" vertical="center" indent="1"/>
    </xf>
    <xf numFmtId="0" fontId="29" fillId="0" borderId="17" xfId="0" applyFont="1" applyFill="1" applyBorder="1" applyAlignment="1" applyProtection="1">
      <alignment horizontal="center" vertical="center" wrapText="1"/>
    </xf>
    <xf numFmtId="0" fontId="29" fillId="0" borderId="12" xfId="0" applyFont="1" applyFill="1" applyBorder="1" applyAlignment="1" applyProtection="1">
      <alignment horizontal="center" vertical="center" wrapText="1"/>
    </xf>
    <xf numFmtId="0" fontId="33" fillId="7" borderId="7" xfId="0" applyFont="1" applyFill="1" applyBorder="1" applyAlignment="1" applyProtection="1">
      <alignment vertical="center" wrapText="1"/>
    </xf>
    <xf numFmtId="0" fontId="23" fillId="0" borderId="0" xfId="0" applyFont="1" applyBorder="1" applyAlignment="1" applyProtection="1">
      <alignment horizontal="left" wrapText="1"/>
      <protection locked="0"/>
    </xf>
    <xf numFmtId="0" fontId="29" fillId="0" borderId="16" xfId="0" applyFont="1" applyFill="1" applyBorder="1" applyAlignment="1" applyProtection="1">
      <alignment horizontal="center" vertical="center" wrapText="1"/>
    </xf>
    <xf numFmtId="0" fontId="29" fillId="0" borderId="11" xfId="0" applyFont="1" applyFill="1" applyBorder="1" applyAlignment="1" applyProtection="1">
      <alignment horizontal="center" vertical="center" wrapText="1"/>
    </xf>
    <xf numFmtId="0" fontId="29" fillId="0" borderId="36" xfId="0" applyFont="1" applyFill="1" applyBorder="1" applyAlignment="1" applyProtection="1">
      <alignment horizontal="center" vertical="center" wrapText="1"/>
    </xf>
    <xf numFmtId="0" fontId="29" fillId="0" borderId="37" xfId="0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horizontal="center" vertical="top" wrapText="1"/>
      <protection locked="0"/>
    </xf>
    <xf numFmtId="0" fontId="35" fillId="0" borderId="0" xfId="0" applyFont="1" applyBorder="1" applyAlignment="1" applyProtection="1">
      <alignment horizontal="center" vertical="top"/>
      <protection locked="0"/>
    </xf>
    <xf numFmtId="3" fontId="34" fillId="7" borderId="29" xfId="0" applyNumberFormat="1" applyFont="1" applyFill="1" applyBorder="1" applyAlignment="1" applyProtection="1">
      <alignment horizontal="right" vertical="center" indent="1"/>
    </xf>
    <xf numFmtId="3" fontId="34" fillId="7" borderId="30" xfId="0" applyNumberFormat="1" applyFont="1" applyFill="1" applyBorder="1" applyAlignment="1" applyProtection="1">
      <alignment horizontal="right" vertical="center" indent="1"/>
    </xf>
    <xf numFmtId="166" fontId="34" fillId="7" borderId="29" xfId="2" applyNumberFormat="1" applyFont="1" applyFill="1" applyBorder="1" applyAlignment="1" applyProtection="1">
      <alignment horizontal="right" vertical="center" indent="1"/>
    </xf>
    <xf numFmtId="166" fontId="34" fillId="7" borderId="30" xfId="2" applyNumberFormat="1" applyFont="1" applyFill="1" applyBorder="1" applyAlignment="1" applyProtection="1">
      <alignment horizontal="right" vertical="center" indent="1"/>
    </xf>
    <xf numFmtId="14" fontId="34" fillId="8" borderId="29" xfId="0" applyNumberFormat="1" applyFont="1" applyFill="1" applyBorder="1" applyAlignment="1" applyProtection="1">
      <alignment horizontal="left" vertical="center"/>
      <protection locked="0"/>
    </xf>
    <xf numFmtId="14" fontId="34" fillId="8" borderId="30" xfId="0" applyNumberFormat="1" applyFont="1" applyFill="1" applyBorder="1" applyAlignment="1" applyProtection="1">
      <alignment horizontal="left" vertical="center"/>
      <protection locked="0"/>
    </xf>
    <xf numFmtId="14" fontId="34" fillId="8" borderId="24" xfId="0" applyNumberFormat="1" applyFont="1" applyFill="1" applyBorder="1" applyAlignment="1" applyProtection="1">
      <alignment horizontal="left" vertical="center"/>
      <protection locked="0"/>
    </xf>
    <xf numFmtId="0" fontId="33" fillId="8" borderId="7" xfId="0" applyFont="1" applyFill="1" applyBorder="1" applyAlignment="1" applyProtection="1">
      <alignment vertical="center"/>
      <protection locked="0"/>
    </xf>
    <xf numFmtId="0" fontId="34" fillId="8" borderId="29" xfId="0" applyFont="1" applyFill="1" applyBorder="1" applyAlignment="1" applyProtection="1">
      <alignment horizontal="left" vertical="center" wrapText="1"/>
      <protection locked="0"/>
    </xf>
    <xf numFmtId="0" fontId="34" fillId="8" borderId="30" xfId="0" applyFont="1" applyFill="1" applyBorder="1" applyAlignment="1" applyProtection="1">
      <alignment horizontal="left" vertical="center" wrapText="1"/>
      <protection locked="0"/>
    </xf>
    <xf numFmtId="0" fontId="34" fillId="8" borderId="24" xfId="0" applyFont="1" applyFill="1" applyBorder="1" applyAlignment="1" applyProtection="1">
      <alignment horizontal="left" vertical="center" wrapText="1"/>
      <protection locked="0"/>
    </xf>
    <xf numFmtId="0" fontId="34" fillId="8" borderId="29" xfId="0" applyFont="1" applyFill="1" applyBorder="1" applyAlignment="1" applyProtection="1">
      <alignment horizontal="left" vertical="center"/>
      <protection locked="0"/>
    </xf>
    <xf numFmtId="0" fontId="34" fillId="8" borderId="30" xfId="0" applyFont="1" applyFill="1" applyBorder="1" applyAlignment="1" applyProtection="1">
      <alignment horizontal="left" vertical="center"/>
      <protection locked="0"/>
    </xf>
    <xf numFmtId="0" fontId="34" fillId="8" borderId="24" xfId="0" applyFont="1" applyFill="1" applyBorder="1" applyAlignment="1" applyProtection="1">
      <alignment horizontal="left" vertical="center"/>
      <protection locked="0"/>
    </xf>
    <xf numFmtId="4" fontId="34" fillId="7" borderId="29" xfId="2" applyNumberFormat="1" applyFont="1" applyFill="1" applyBorder="1" applyAlignment="1" applyProtection="1">
      <alignment horizontal="right" vertical="center" indent="1"/>
    </xf>
    <xf numFmtId="4" fontId="34" fillId="7" borderId="30" xfId="2" applyNumberFormat="1" applyFont="1" applyFill="1" applyBorder="1" applyAlignment="1" applyProtection="1">
      <alignment horizontal="right" vertical="center" indent="1"/>
    </xf>
    <xf numFmtId="0" fontId="33" fillId="8" borderId="31" xfId="0" applyFont="1" applyFill="1" applyBorder="1" applyAlignment="1" applyProtection="1">
      <alignment vertical="center"/>
      <protection locked="0"/>
    </xf>
    <xf numFmtId="1" fontId="34" fillId="7" borderId="29" xfId="0" applyNumberFormat="1" applyFont="1" applyFill="1" applyBorder="1" applyAlignment="1" applyProtection="1">
      <alignment horizontal="right" vertical="center" indent="1"/>
      <protection locked="0"/>
    </xf>
    <xf numFmtId="1" fontId="34" fillId="7" borderId="30" xfId="0" applyNumberFormat="1" applyFont="1" applyFill="1" applyBorder="1" applyAlignment="1" applyProtection="1">
      <alignment horizontal="right" vertical="center" indent="1"/>
      <protection locked="0"/>
    </xf>
    <xf numFmtId="10" fontId="34" fillId="7" borderId="29" xfId="1" applyNumberFormat="1" applyFont="1" applyFill="1" applyBorder="1" applyAlignment="1" applyProtection="1">
      <alignment horizontal="right" vertical="center" indent="1"/>
    </xf>
    <xf numFmtId="10" fontId="34" fillId="7" borderId="30" xfId="1" applyNumberFormat="1" applyFont="1" applyFill="1" applyBorder="1" applyAlignment="1" applyProtection="1">
      <alignment horizontal="right" vertical="center" indent="1"/>
    </xf>
    <xf numFmtId="0" fontId="2" fillId="5" borderId="0" xfId="0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 applyProtection="1">
      <alignment horizontal="center" vertical="top"/>
      <protection locked="0"/>
    </xf>
    <xf numFmtId="0" fontId="2" fillId="5" borderId="0" xfId="0" applyFont="1" applyFill="1" applyBorder="1" applyAlignment="1" applyProtection="1">
      <alignment vertical="center"/>
      <protection locked="0"/>
    </xf>
    <xf numFmtId="0" fontId="2" fillId="4" borderId="0" xfId="0" applyFont="1" applyFill="1" applyBorder="1" applyAlignment="1" applyProtection="1">
      <alignment vertical="center"/>
    </xf>
    <xf numFmtId="3" fontId="3" fillId="4" borderId="0" xfId="0" applyNumberFormat="1" applyFont="1" applyFill="1" applyBorder="1" applyAlignment="1" applyProtection="1">
      <alignment horizontal="right" vertical="center" indent="1"/>
    </xf>
    <xf numFmtId="166" fontId="3" fillId="4" borderId="0" xfId="2" applyNumberFormat="1" applyFont="1" applyFill="1" applyBorder="1" applyAlignment="1" applyProtection="1">
      <alignment horizontal="right" vertical="center" indent="1"/>
    </xf>
    <xf numFmtId="0" fontId="2" fillId="5" borderId="0" xfId="0" applyFont="1" applyFill="1" applyBorder="1" applyAlignment="1" applyProtection="1">
      <alignment horizontal="center" vertical="center"/>
      <protection locked="0"/>
    </xf>
    <xf numFmtId="14" fontId="3" fillId="5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top"/>
      <protection locked="0"/>
    </xf>
    <xf numFmtId="10" fontId="3" fillId="4" borderId="0" xfId="1" applyNumberFormat="1" applyFont="1" applyFill="1" applyBorder="1" applyAlignment="1" applyProtection="1">
      <alignment horizontal="right" vertical="center" indent="1"/>
    </xf>
    <xf numFmtId="1" fontId="3" fillId="4" borderId="0" xfId="0" applyNumberFormat="1" applyFont="1" applyFill="1" applyBorder="1" applyAlignment="1" applyProtection="1">
      <alignment horizontal="right" vertical="center" indent="1"/>
      <protection locked="0"/>
    </xf>
    <xf numFmtId="0" fontId="15" fillId="6" borderId="38" xfId="0" applyFont="1" applyFill="1" applyBorder="1" applyAlignment="1" applyProtection="1">
      <alignment horizontal="center" vertical="center" wrapText="1"/>
    </xf>
    <xf numFmtId="0" fontId="15" fillId="6" borderId="39" xfId="0" applyFont="1" applyFill="1" applyBorder="1" applyAlignment="1" applyProtection="1">
      <alignment horizontal="center" vertical="center" wrapText="1"/>
    </xf>
    <xf numFmtId="0" fontId="15" fillId="6" borderId="40" xfId="0" applyFont="1" applyFill="1" applyBorder="1" applyAlignment="1" applyProtection="1">
      <alignment horizontal="center" vertical="center" wrapText="1"/>
    </xf>
    <xf numFmtId="0" fontId="61" fillId="10" borderId="53" xfId="0" applyFont="1" applyFill="1" applyBorder="1" applyAlignment="1">
      <alignment horizontal="center" vertical="center" wrapText="1"/>
    </xf>
    <xf numFmtId="0" fontId="61" fillId="10" borderId="57" xfId="0" applyFont="1" applyFill="1" applyBorder="1" applyAlignment="1">
      <alignment horizontal="center" vertical="center" wrapText="1"/>
    </xf>
    <xf numFmtId="0" fontId="61" fillId="10" borderId="58" xfId="0" applyFont="1" applyFill="1" applyBorder="1" applyAlignment="1">
      <alignment horizontal="center" vertical="center" wrapText="1"/>
    </xf>
    <xf numFmtId="0" fontId="93" fillId="9" borderId="44" xfId="3" applyFont="1" applyFill="1" applyBorder="1" applyAlignment="1" applyProtection="1">
      <alignment horizontal="center" vertical="center"/>
      <protection locked="0" hidden="1"/>
    </xf>
    <xf numFmtId="0" fontId="93" fillId="9" borderId="0" xfId="3" applyFont="1" applyFill="1" applyBorder="1" applyAlignment="1" applyProtection="1">
      <alignment horizontal="center" vertical="center"/>
      <protection locked="0" hidden="1"/>
    </xf>
  </cellXfs>
  <cellStyles count="7">
    <cellStyle name="Обычный" xfId="0" builtinId="0"/>
    <cellStyle name="Обычный 2" xfId="3"/>
    <cellStyle name="Обычный 3" xfId="6"/>
    <cellStyle name="Процентный" xfId="1" builtinId="5"/>
    <cellStyle name="Процентный 2" xfId="4"/>
    <cellStyle name="Финансовый" xfId="2" builtinId="3"/>
    <cellStyle name="Финансовый 2" xfId="5"/>
  </cellStyles>
  <dxfs count="8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Динамика задолженности</a:t>
            </a:r>
          </a:p>
        </c:rich>
      </c:tx>
      <c:layout>
        <c:manualLayout>
          <c:xMode val="edge"/>
          <c:yMode val="edge"/>
          <c:x val="0.36571428571428571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97825271841738E-2"/>
          <c:y val="0.16168130280544904"/>
          <c:w val="0.77753620797400325"/>
          <c:h val="0.71351229511296188"/>
        </c:manualLayout>
      </c:layout>
      <c:areaChart>
        <c:grouping val="stacked"/>
        <c:varyColors val="0"/>
        <c:ser>
          <c:idx val="0"/>
          <c:order val="0"/>
          <c:tx>
            <c:v>ОД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Расчет!$I$4:$I$404</c:f>
              <c:numCache>
                <c:formatCode>#,##0.00</c:formatCode>
                <c:ptCount val="401"/>
                <c:pt idx="0">
                  <c:v>2600000</c:v>
                </c:pt>
                <c:pt idx="1">
                  <c:v>2594414.0300000003</c:v>
                </c:pt>
                <c:pt idx="2">
                  <c:v>2589534.9</c:v>
                </c:pt>
                <c:pt idx="3">
                  <c:v>2583857.4900000002</c:v>
                </c:pt>
                <c:pt idx="4">
                  <c:v>2578883.04</c:v>
                </c:pt>
                <c:pt idx="5">
                  <c:v>2571167.71</c:v>
                </c:pt>
                <c:pt idx="6">
                  <c:v>2561404.29</c:v>
                </c:pt>
                <c:pt idx="7">
                  <c:v>2553549.42</c:v>
                </c:pt>
                <c:pt idx="8">
                  <c:v>2544974.21</c:v>
                </c:pt>
                <c:pt idx="9">
                  <c:v>2536988.17</c:v>
                </c:pt>
                <c:pt idx="10">
                  <c:v>2528285.0100000002</c:v>
                </c:pt>
                <c:pt idx="11">
                  <c:v>2520165.73</c:v>
                </c:pt>
                <c:pt idx="12">
                  <c:v>2511981.63</c:v>
                </c:pt>
                <c:pt idx="13">
                  <c:v>2503085.27</c:v>
                </c:pt>
                <c:pt idx="14">
                  <c:v>2494764.81</c:v>
                </c:pt>
                <c:pt idx="15">
                  <c:v>2485735.4300000002</c:v>
                </c:pt>
                <c:pt idx="16">
                  <c:v>2477276.4500000002</c:v>
                </c:pt>
                <c:pt idx="17">
                  <c:v>2468749.94</c:v>
                </c:pt>
                <c:pt idx="18">
                  <c:v>2458247.9900000002</c:v>
                </c:pt>
                <c:pt idx="19">
                  <c:v>2449569.56</c:v>
                </c:pt>
                <c:pt idx="20">
                  <c:v>2440191</c:v>
                </c:pt>
                <c:pt idx="21">
                  <c:v>2431368.42</c:v>
                </c:pt>
                <c:pt idx="22">
                  <c:v>2421849.2400000002</c:v>
                </c:pt>
                <c:pt idx="23">
                  <c:v>2412880.2200000002</c:v>
                </c:pt>
                <c:pt idx="24">
                  <c:v>2403839.6</c:v>
                </c:pt>
                <c:pt idx="25">
                  <c:v>2394107.73</c:v>
                </c:pt>
                <c:pt idx="26">
                  <c:v>2384917.2400000002</c:v>
                </c:pt>
                <c:pt idx="27">
                  <c:v>2375039.1800000002</c:v>
                </c:pt>
                <c:pt idx="28">
                  <c:v>2365696.4500000002</c:v>
                </c:pt>
                <c:pt idx="29">
                  <c:v>2356279.13</c:v>
                </c:pt>
                <c:pt idx="30">
                  <c:v>2344966.16</c:v>
                </c:pt>
                <c:pt idx="31">
                  <c:v>2335383.34</c:v>
                </c:pt>
                <c:pt idx="32">
                  <c:v>2325122.58</c:v>
                </c:pt>
                <c:pt idx="33">
                  <c:v>2315381.34</c:v>
                </c:pt>
                <c:pt idx="34">
                  <c:v>2304966.04</c:v>
                </c:pt>
                <c:pt idx="35">
                  <c:v>2295063.88</c:v>
                </c:pt>
                <c:pt idx="36">
                  <c:v>2285082.66</c:v>
                </c:pt>
                <c:pt idx="37">
                  <c:v>2274433.27</c:v>
                </c:pt>
                <c:pt idx="38">
                  <c:v>2264287.35</c:v>
                </c:pt>
                <c:pt idx="39">
                  <c:v>2253477.3000000003</c:v>
                </c:pt>
                <c:pt idx="40">
                  <c:v>2243164.0699999998</c:v>
                </c:pt>
                <c:pt idx="41">
                  <c:v>2232719.58</c:v>
                </c:pt>
                <c:pt idx="42">
                  <c:v>2221045.0699999998</c:v>
                </c:pt>
                <c:pt idx="43">
                  <c:v>2210424.4700000002</c:v>
                </c:pt>
                <c:pt idx="44">
                  <c:v>2199151.61</c:v>
                </c:pt>
                <c:pt idx="45">
                  <c:v>2188356.7000000002</c:v>
                </c:pt>
                <c:pt idx="46">
                  <c:v>2176913.81</c:v>
                </c:pt>
                <c:pt idx="47">
                  <c:v>2165941.85</c:v>
                </c:pt>
                <c:pt idx="48">
                  <c:v>2154882.5300000003</c:v>
                </c:pt>
                <c:pt idx="49">
                  <c:v>2143181.7200000002</c:v>
                </c:pt>
                <c:pt idx="50">
                  <c:v>2131941.19</c:v>
                </c:pt>
                <c:pt idx="51">
                  <c:v>2120063.62</c:v>
                </c:pt>
                <c:pt idx="52">
                  <c:v>2108639.0300000003</c:v>
                </c:pt>
                <c:pt idx="53">
                  <c:v>2097169.48</c:v>
                </c:pt>
                <c:pt idx="54">
                  <c:v>2083988.08</c:v>
                </c:pt>
                <c:pt idx="55">
                  <c:v>2072321.73</c:v>
                </c:pt>
                <c:pt idx="56">
                  <c:v>2060028.54</c:v>
                </c:pt>
                <c:pt idx="57">
                  <c:v>2048170.9000000001</c:v>
                </c:pt>
                <c:pt idx="58">
                  <c:v>2035691.12</c:v>
                </c:pt>
                <c:pt idx="59">
                  <c:v>2023639.19</c:v>
                </c:pt>
                <c:pt idx="60">
                  <c:v>2011491.04</c:v>
                </c:pt>
                <c:pt idx="61">
                  <c:v>1998727.87</c:v>
                </c:pt>
                <c:pt idx="62">
                  <c:v>1986380.84</c:v>
                </c:pt>
                <c:pt idx="63">
                  <c:v>1973423.67</c:v>
                </c:pt>
                <c:pt idx="64">
                  <c:v>1960874.62</c:v>
                </c:pt>
                <c:pt idx="65">
                  <c:v>1948225.3800000001</c:v>
                </c:pt>
                <c:pt idx="66">
                  <c:v>1933969.95</c:v>
                </c:pt>
                <c:pt idx="67">
                  <c:v>1921105.9199999999</c:v>
                </c:pt>
                <c:pt idx="68">
                  <c:v>1907644.44</c:v>
                </c:pt>
                <c:pt idx="69">
                  <c:v>1894570.24</c:v>
                </c:pt>
                <c:pt idx="70">
                  <c:v>1880903.74</c:v>
                </c:pt>
                <c:pt idx="71">
                  <c:v>1867616.05</c:v>
                </c:pt>
                <c:pt idx="72">
                  <c:v>1854222.28</c:v>
                </c:pt>
                <c:pt idx="73">
                  <c:v>1840244.05</c:v>
                </c:pt>
                <c:pt idx="74">
                  <c:v>1826631.75</c:v>
                </c:pt>
                <c:pt idx="75">
                  <c:v>1812440.36</c:v>
                </c:pt>
                <c:pt idx="76">
                  <c:v>1798606.09</c:v>
                </c:pt>
                <c:pt idx="77">
                  <c:v>1784661.37</c:v>
                </c:pt>
                <c:pt idx="78">
                  <c:v>1769226.49</c:v>
                </c:pt>
                <c:pt idx="79">
                  <c:v>1755047.22</c:v>
                </c:pt>
                <c:pt idx="80">
                  <c:v>1740302.76</c:v>
                </c:pt>
                <c:pt idx="81">
                  <c:v>1725892.57</c:v>
                </c:pt>
                <c:pt idx="82">
                  <c:v>1710922.86</c:v>
                </c:pt>
                <c:pt idx="83">
                  <c:v>1696278.12</c:v>
                </c:pt>
                <c:pt idx="84">
                  <c:v>1681516.46</c:v>
                </c:pt>
                <c:pt idx="85">
                  <c:v>1666203.9000000001</c:v>
                </c:pt>
                <c:pt idx="86">
                  <c:v>1651202.1400000001</c:v>
                </c:pt>
                <c:pt idx="87">
                  <c:v>1635655.37</c:v>
                </c:pt>
                <c:pt idx="88">
                  <c:v>1620409.73</c:v>
                </c:pt>
                <c:pt idx="89">
                  <c:v>1605007.02</c:v>
                </c:pt>
                <c:pt idx="90">
                  <c:v>1588657.25</c:v>
                </c:pt>
                <c:pt idx="91">
                  <c:v>1573001.74</c:v>
                </c:pt>
                <c:pt idx="92">
                  <c:v>1556817.59</c:v>
                </c:pt>
                <c:pt idx="93">
                  <c:v>1540908.58</c:v>
                </c:pt>
                <c:pt idx="94">
                  <c:v>1524477.1500000001</c:v>
                </c:pt>
                <c:pt idx="95">
                  <c:v>1508310.6500000001</c:v>
                </c:pt>
                <c:pt idx="96">
                  <c:v>1492015.44</c:v>
                </c:pt>
                <c:pt idx="97">
                  <c:v>1475207.3</c:v>
                </c:pt>
                <c:pt idx="98">
                  <c:v>1458648.53</c:v>
                </c:pt>
                <c:pt idx="99">
                  <c:v>1441583.3</c:v>
                </c:pt>
                <c:pt idx="100">
                  <c:v>1424756.82</c:v>
                </c:pt>
                <c:pt idx="101">
                  <c:v>1407827.45</c:v>
                </c:pt>
                <c:pt idx="102">
                  <c:v>1389675.24</c:v>
                </c:pt>
                <c:pt idx="103">
                  <c:v>1372465.8</c:v>
                </c:pt>
                <c:pt idx="104">
                  <c:v>1354765.51</c:v>
                </c:pt>
                <c:pt idx="105">
                  <c:v>1337277.3600000001</c:v>
                </c:pt>
                <c:pt idx="106">
                  <c:v>1319305.2</c:v>
                </c:pt>
                <c:pt idx="107">
                  <c:v>1301533.95</c:v>
                </c:pt>
                <c:pt idx="108">
                  <c:v>1283620.83</c:v>
                </c:pt>
                <c:pt idx="109">
                  <c:v>1265234.1200000001</c:v>
                </c:pt>
                <c:pt idx="110">
                  <c:v>1247031.19</c:v>
                </c:pt>
                <c:pt idx="111">
                  <c:v>1228361.79</c:v>
                </c:pt>
                <c:pt idx="112">
                  <c:v>1209864.49</c:v>
                </c:pt>
                <c:pt idx="113">
                  <c:v>1191219.52</c:v>
                </c:pt>
                <c:pt idx="114">
                  <c:v>1171505.3600000001</c:v>
                </c:pt>
                <c:pt idx="115">
                  <c:v>1152554.1500000001</c:v>
                </c:pt>
                <c:pt idx="116">
                  <c:v>1133154.81</c:v>
                </c:pt>
                <c:pt idx="117">
                  <c:v>1113897.42</c:v>
                </c:pt>
                <c:pt idx="118">
                  <c:v>1094199.42</c:v>
                </c:pt>
                <c:pt idx="119">
                  <c:v>1074631.03</c:v>
                </c:pt>
                <c:pt idx="120">
                  <c:v>1054906.4099999999</c:v>
                </c:pt>
                <c:pt idx="121">
                  <c:v>1034752.65</c:v>
                </c:pt>
                <c:pt idx="122">
                  <c:v>1014709.66</c:v>
                </c:pt>
                <c:pt idx="123">
                  <c:v>994245.33000000007</c:v>
                </c:pt>
                <c:pt idx="124">
                  <c:v>973878.95000000007</c:v>
                </c:pt>
                <c:pt idx="125">
                  <c:v>953349.97</c:v>
                </c:pt>
                <c:pt idx="126">
                  <c:v>931920.54</c:v>
                </c:pt>
                <c:pt idx="127">
                  <c:v>911056.59</c:v>
                </c:pt>
                <c:pt idx="128">
                  <c:v>889791.44000000006</c:v>
                </c:pt>
                <c:pt idx="129">
                  <c:v>868591.14</c:v>
                </c:pt>
                <c:pt idx="130">
                  <c:v>846997.9</c:v>
                </c:pt>
                <c:pt idx="131">
                  <c:v>825455.96</c:v>
                </c:pt>
                <c:pt idx="132">
                  <c:v>803742.04</c:v>
                </c:pt>
                <c:pt idx="133">
                  <c:v>781647.77</c:v>
                </c:pt>
                <c:pt idx="134">
                  <c:v>759584.1</c:v>
                </c:pt>
                <c:pt idx="135">
                  <c:v>737148.67</c:v>
                </c:pt>
                <c:pt idx="136">
                  <c:v>714729.74</c:v>
                </c:pt>
                <c:pt idx="137">
                  <c:v>692116.24</c:v>
                </c:pt>
                <c:pt idx="138">
                  <c:v>668967.18000000005</c:v>
                </c:pt>
                <c:pt idx="139">
                  <c:v>645989.32999999996</c:v>
                </c:pt>
                <c:pt idx="140">
                  <c:v>622662.62</c:v>
                </c:pt>
                <c:pt idx="141">
                  <c:v>599316.1</c:v>
                </c:pt>
                <c:pt idx="142">
                  <c:v>575629.78</c:v>
                </c:pt>
                <c:pt idx="143">
                  <c:v>551908.80000000005</c:v>
                </c:pt>
                <c:pt idx="144">
                  <c:v>527998.96</c:v>
                </c:pt>
                <c:pt idx="145">
                  <c:v>503763.15</c:v>
                </c:pt>
                <c:pt idx="146">
                  <c:v>479469.99</c:v>
                </c:pt>
                <c:pt idx="147">
                  <c:v>454860.27</c:v>
                </c:pt>
                <c:pt idx="148">
                  <c:v>430177.75</c:v>
                </c:pt>
                <c:pt idx="149">
                  <c:v>405308.10000000003</c:v>
                </c:pt>
                <c:pt idx="150">
                  <c:v>379926.76</c:v>
                </c:pt>
                <c:pt idx="151">
                  <c:v>354655.93</c:v>
                </c:pt>
                <c:pt idx="152">
                  <c:v>329092.01</c:v>
                </c:pt>
                <c:pt idx="153">
                  <c:v>303415.34000000003</c:v>
                </c:pt>
                <c:pt idx="154">
                  <c:v>277455.53999999998</c:v>
                </c:pt>
                <c:pt idx="155">
                  <c:v>251366.62</c:v>
                </c:pt>
                <c:pt idx="156">
                  <c:v>225069.42</c:v>
                </c:pt>
                <c:pt idx="157">
                  <c:v>198504.31</c:v>
                </c:pt>
                <c:pt idx="158">
                  <c:v>171785.08000000002</c:v>
                </c:pt>
                <c:pt idx="159">
                  <c:v>144808.30000000002</c:v>
                </c:pt>
                <c:pt idx="160">
                  <c:v>117660.39</c:v>
                </c:pt>
                <c:pt idx="161">
                  <c:v>90295.74</c:v>
                </c:pt>
                <c:pt idx="162">
                  <c:v>62642.86</c:v>
                </c:pt>
                <c:pt idx="163">
                  <c:v>34838.97</c:v>
                </c:pt>
                <c:pt idx="164">
                  <c:v>6804.14</c:v>
                </c:pt>
                <c:pt idx="1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F7-450A-BA32-67CEFD5C7FC9}"/>
            </c:ext>
          </c:extLst>
        </c:ser>
        <c:ser>
          <c:idx val="1"/>
          <c:order val="1"/>
          <c:tx>
            <c:v>НЗ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val>
            <c:numRef>
              <c:f>Расчет!$N$4:$N$404</c:f>
              <c:numCache>
                <c:formatCode>#,##0.00</c:formatCode>
                <c:ptCount val="4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F7-450A-BA32-67CEFD5C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97056"/>
        <c:axId val="104935424"/>
      </c:areaChart>
      <c:catAx>
        <c:axId val="1043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49354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49354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4397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3047709036370452"/>
          <c:y val="0.41210374639769454"/>
          <c:w val="4.0952380952380962E-2"/>
          <c:h val="0.21325648414985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Динамика ежемесячного платежа</a:t>
            </a:r>
          </a:p>
        </c:rich>
      </c:tx>
      <c:layout>
        <c:manualLayout>
          <c:xMode val="edge"/>
          <c:yMode val="edge"/>
          <c:x val="0.32571428571428573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83589551305805E-2"/>
          <c:y val="0.20172991056211362"/>
          <c:w val="0.77575193100862605"/>
          <c:h val="0.65482210557013765"/>
        </c:manualLayout>
      </c:layout>
      <c:barChart>
        <c:barDir val="col"/>
        <c:grouping val="stacked"/>
        <c:varyColors val="0"/>
        <c:ser>
          <c:idx val="1"/>
          <c:order val="0"/>
          <c:tx>
            <c:v>Проценты на ОД</c:v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Расчет!$G$4:$G$404</c:f>
              <c:numCache>
                <c:formatCode>#,##0.00</c:formatCode>
                <c:ptCount val="401"/>
                <c:pt idx="1">
                  <c:v>33817.050000000003</c:v>
                </c:pt>
                <c:pt idx="2">
                  <c:v>23424.87</c:v>
                </c:pt>
                <c:pt idx="3">
                  <c:v>22626.59</c:v>
                </c:pt>
                <c:pt idx="4">
                  <c:v>23329.55</c:v>
                </c:pt>
                <c:pt idx="5">
                  <c:v>20588.670000000002</c:v>
                </c:pt>
                <c:pt idx="6">
                  <c:v>18540.580000000002</c:v>
                </c:pt>
                <c:pt idx="7">
                  <c:v>20449.13</c:v>
                </c:pt>
                <c:pt idx="8">
                  <c:v>19728.79</c:v>
                </c:pt>
                <c:pt idx="9">
                  <c:v>20317.96</c:v>
                </c:pt>
                <c:pt idx="10">
                  <c:v>19600.84</c:v>
                </c:pt>
                <c:pt idx="11">
                  <c:v>20184.72</c:v>
                </c:pt>
                <c:pt idx="12">
                  <c:v>20119.900000000001</c:v>
                </c:pt>
                <c:pt idx="13">
                  <c:v>19407.64</c:v>
                </c:pt>
                <c:pt idx="14">
                  <c:v>19983.54</c:v>
                </c:pt>
                <c:pt idx="15">
                  <c:v>19274.62</c:v>
                </c:pt>
                <c:pt idx="16">
                  <c:v>19845.02</c:v>
                </c:pt>
                <c:pt idx="17">
                  <c:v>19777.490000000002</c:v>
                </c:pt>
                <c:pt idx="18">
                  <c:v>17802.05</c:v>
                </c:pt>
                <c:pt idx="19">
                  <c:v>19625.57</c:v>
                </c:pt>
                <c:pt idx="20">
                  <c:v>18925.439999999999</c:v>
                </c:pt>
                <c:pt idx="21">
                  <c:v>19481.420000000002</c:v>
                </c:pt>
                <c:pt idx="22">
                  <c:v>18784.82</c:v>
                </c:pt>
                <c:pt idx="23">
                  <c:v>19334.98</c:v>
                </c:pt>
                <c:pt idx="24">
                  <c:v>19263.38</c:v>
                </c:pt>
                <c:pt idx="25">
                  <c:v>18572.13</c:v>
                </c:pt>
                <c:pt idx="26">
                  <c:v>19113.510000000002</c:v>
                </c:pt>
                <c:pt idx="27">
                  <c:v>18425.939999999999</c:v>
                </c:pt>
                <c:pt idx="28">
                  <c:v>18961.27</c:v>
                </c:pt>
                <c:pt idx="29">
                  <c:v>18886.68</c:v>
                </c:pt>
                <c:pt idx="30">
                  <c:v>16991.03</c:v>
                </c:pt>
                <c:pt idx="31">
                  <c:v>18721.18</c:v>
                </c:pt>
                <c:pt idx="32">
                  <c:v>18043.240000000002</c:v>
                </c:pt>
                <c:pt idx="33">
                  <c:v>18562.760000000002</c:v>
                </c:pt>
                <c:pt idx="34">
                  <c:v>17888.7</c:v>
                </c:pt>
                <c:pt idx="35">
                  <c:v>18401.84</c:v>
                </c:pt>
                <c:pt idx="36">
                  <c:v>18322.78</c:v>
                </c:pt>
                <c:pt idx="37">
                  <c:v>17654.61</c:v>
                </c:pt>
                <c:pt idx="38">
                  <c:v>18158.080000000002</c:v>
                </c:pt>
                <c:pt idx="39">
                  <c:v>17493.95</c:v>
                </c:pt>
                <c:pt idx="40">
                  <c:v>17990.77</c:v>
                </c:pt>
                <c:pt idx="41">
                  <c:v>17859.510000000002</c:v>
                </c:pt>
                <c:pt idx="42">
                  <c:v>16629.490000000002</c:v>
                </c:pt>
                <c:pt idx="43">
                  <c:v>17683.400000000001</c:v>
                </c:pt>
                <c:pt idx="44">
                  <c:v>17031.14</c:v>
                </c:pt>
                <c:pt idx="45">
                  <c:v>17509.09</c:v>
                </c:pt>
                <c:pt idx="46">
                  <c:v>16861.11</c:v>
                </c:pt>
                <c:pt idx="47">
                  <c:v>17332.04</c:v>
                </c:pt>
                <c:pt idx="48">
                  <c:v>17244.68</c:v>
                </c:pt>
                <c:pt idx="49">
                  <c:v>16603.189999999999</c:v>
                </c:pt>
                <c:pt idx="50">
                  <c:v>17063.47</c:v>
                </c:pt>
                <c:pt idx="51">
                  <c:v>16426.43</c:v>
                </c:pt>
                <c:pt idx="52">
                  <c:v>16879.41</c:v>
                </c:pt>
                <c:pt idx="53">
                  <c:v>16834.45</c:v>
                </c:pt>
                <c:pt idx="54">
                  <c:v>15122.6</c:v>
                </c:pt>
                <c:pt idx="55">
                  <c:v>16637.650000000001</c:v>
                </c:pt>
                <c:pt idx="56">
                  <c:v>16010.81</c:v>
                </c:pt>
                <c:pt idx="57">
                  <c:v>16446.36</c:v>
                </c:pt>
                <c:pt idx="58">
                  <c:v>15824.220000000001</c:v>
                </c:pt>
                <c:pt idx="59">
                  <c:v>16252.07</c:v>
                </c:pt>
                <c:pt idx="60">
                  <c:v>16155.85</c:v>
                </c:pt>
                <c:pt idx="61">
                  <c:v>15540.83</c:v>
                </c:pt>
                <c:pt idx="62">
                  <c:v>15956.970000000001</c:v>
                </c:pt>
                <c:pt idx="63">
                  <c:v>15346.83</c:v>
                </c:pt>
                <c:pt idx="64">
                  <c:v>15754.95</c:v>
                </c:pt>
                <c:pt idx="65">
                  <c:v>15654.76</c:v>
                </c:pt>
                <c:pt idx="66">
                  <c:v>14048.57</c:v>
                </c:pt>
                <c:pt idx="67">
                  <c:v>15439.970000000001</c:v>
                </c:pt>
                <c:pt idx="68">
                  <c:v>14842.52</c:v>
                </c:pt>
                <c:pt idx="69">
                  <c:v>15229.800000000001</c:v>
                </c:pt>
                <c:pt idx="70">
                  <c:v>14637.5</c:v>
                </c:pt>
                <c:pt idx="71">
                  <c:v>15016.31</c:v>
                </c:pt>
                <c:pt idx="72">
                  <c:v>14910.23</c:v>
                </c:pt>
                <c:pt idx="73">
                  <c:v>14325.77</c:v>
                </c:pt>
                <c:pt idx="74">
                  <c:v>14691.7</c:v>
                </c:pt>
                <c:pt idx="75">
                  <c:v>14112.61</c:v>
                </c:pt>
                <c:pt idx="76">
                  <c:v>14469.73</c:v>
                </c:pt>
                <c:pt idx="77">
                  <c:v>14359.28</c:v>
                </c:pt>
                <c:pt idx="78">
                  <c:v>12869.12</c:v>
                </c:pt>
                <c:pt idx="79">
                  <c:v>14124.73</c:v>
                </c:pt>
                <c:pt idx="80">
                  <c:v>13559.54</c:v>
                </c:pt>
                <c:pt idx="81">
                  <c:v>13893.81</c:v>
                </c:pt>
                <c:pt idx="82">
                  <c:v>13334.29</c:v>
                </c:pt>
                <c:pt idx="83">
                  <c:v>13659.26</c:v>
                </c:pt>
                <c:pt idx="84">
                  <c:v>13542.34</c:v>
                </c:pt>
                <c:pt idx="85">
                  <c:v>12991.44</c:v>
                </c:pt>
                <c:pt idx="86">
                  <c:v>13302.24</c:v>
                </c:pt>
                <c:pt idx="87">
                  <c:v>12757.23</c:v>
                </c:pt>
                <c:pt idx="88">
                  <c:v>13058.36</c:v>
                </c:pt>
                <c:pt idx="89">
                  <c:v>12901.29</c:v>
                </c:pt>
                <c:pt idx="90">
                  <c:v>11954.23</c:v>
                </c:pt>
                <c:pt idx="91">
                  <c:v>12648.49</c:v>
                </c:pt>
                <c:pt idx="92">
                  <c:v>12119.85</c:v>
                </c:pt>
                <c:pt idx="93">
                  <c:v>12394.99</c:v>
                </c:pt>
                <c:pt idx="94">
                  <c:v>11872.57</c:v>
                </c:pt>
                <c:pt idx="95">
                  <c:v>12137.5</c:v>
                </c:pt>
                <c:pt idx="96">
                  <c:v>12008.79</c:v>
                </c:pt>
                <c:pt idx="97">
                  <c:v>11495.86</c:v>
                </c:pt>
                <c:pt idx="98">
                  <c:v>11745.23</c:v>
                </c:pt>
                <c:pt idx="99">
                  <c:v>11238.77</c:v>
                </c:pt>
                <c:pt idx="100">
                  <c:v>11477.52</c:v>
                </c:pt>
                <c:pt idx="101">
                  <c:v>11374.630000000001</c:v>
                </c:pt>
                <c:pt idx="102">
                  <c:v>10151.790000000001</c:v>
                </c:pt>
                <c:pt idx="103">
                  <c:v>11094.56</c:v>
                </c:pt>
                <c:pt idx="104">
                  <c:v>10603.710000000001</c:v>
                </c:pt>
                <c:pt idx="105">
                  <c:v>10815.85</c:v>
                </c:pt>
                <c:pt idx="106">
                  <c:v>10331.84</c:v>
                </c:pt>
                <c:pt idx="107">
                  <c:v>10532.75</c:v>
                </c:pt>
                <c:pt idx="108">
                  <c:v>10390.880000000001</c:v>
                </c:pt>
                <c:pt idx="109">
                  <c:v>9917.2900000000009</c:v>
                </c:pt>
                <c:pt idx="110">
                  <c:v>10101.07</c:v>
                </c:pt>
                <c:pt idx="111">
                  <c:v>9634.6</c:v>
                </c:pt>
                <c:pt idx="112">
                  <c:v>9806.7000000000007</c:v>
                </c:pt>
                <c:pt idx="113">
                  <c:v>9659.0300000000007</c:v>
                </c:pt>
                <c:pt idx="114">
                  <c:v>8589.84</c:v>
                </c:pt>
                <c:pt idx="115">
                  <c:v>9352.7900000000009</c:v>
                </c:pt>
                <c:pt idx="116">
                  <c:v>8904.66</c:v>
                </c:pt>
                <c:pt idx="117">
                  <c:v>9046.61</c:v>
                </c:pt>
                <c:pt idx="118">
                  <c:v>8606</c:v>
                </c:pt>
                <c:pt idx="119">
                  <c:v>8735.61</c:v>
                </c:pt>
                <c:pt idx="120">
                  <c:v>8579.380000000001</c:v>
                </c:pt>
                <c:pt idx="121">
                  <c:v>8150.24</c:v>
                </c:pt>
                <c:pt idx="122">
                  <c:v>8261.01</c:v>
                </c:pt>
                <c:pt idx="123">
                  <c:v>7839.67</c:v>
                </c:pt>
                <c:pt idx="124">
                  <c:v>7937.62</c:v>
                </c:pt>
                <c:pt idx="125">
                  <c:v>7775.02</c:v>
                </c:pt>
                <c:pt idx="126">
                  <c:v>6874.57</c:v>
                </c:pt>
                <c:pt idx="127">
                  <c:v>7440.05</c:v>
                </c:pt>
                <c:pt idx="128">
                  <c:v>7038.85</c:v>
                </c:pt>
                <c:pt idx="129">
                  <c:v>7103.7</c:v>
                </c:pt>
                <c:pt idx="130">
                  <c:v>6710.76</c:v>
                </c:pt>
                <c:pt idx="131">
                  <c:v>6762.06</c:v>
                </c:pt>
                <c:pt idx="132">
                  <c:v>6590.08</c:v>
                </c:pt>
                <c:pt idx="133">
                  <c:v>6209.7300000000005</c:v>
                </c:pt>
                <c:pt idx="134">
                  <c:v>6240.33</c:v>
                </c:pt>
                <c:pt idx="135">
                  <c:v>5868.57</c:v>
                </c:pt>
                <c:pt idx="136">
                  <c:v>5885.07</c:v>
                </c:pt>
                <c:pt idx="137">
                  <c:v>5690.5</c:v>
                </c:pt>
                <c:pt idx="138">
                  <c:v>5154.9400000000005</c:v>
                </c:pt>
                <c:pt idx="139">
                  <c:v>5326.1500000000005</c:v>
                </c:pt>
                <c:pt idx="140">
                  <c:v>4977.29</c:v>
                </c:pt>
                <c:pt idx="141">
                  <c:v>4957.4800000000005</c:v>
                </c:pt>
                <c:pt idx="142">
                  <c:v>4617.68</c:v>
                </c:pt>
                <c:pt idx="143">
                  <c:v>4583.0200000000004</c:v>
                </c:pt>
                <c:pt idx="144">
                  <c:v>4394.16</c:v>
                </c:pt>
                <c:pt idx="145">
                  <c:v>4068.19</c:v>
                </c:pt>
                <c:pt idx="146">
                  <c:v>4010.84</c:v>
                </c:pt>
                <c:pt idx="147">
                  <c:v>3694.28</c:v>
                </c:pt>
                <c:pt idx="148">
                  <c:v>3621.48</c:v>
                </c:pt>
                <c:pt idx="149">
                  <c:v>3434.35</c:v>
                </c:pt>
                <c:pt idx="150">
                  <c:v>2922.66</c:v>
                </c:pt>
                <c:pt idx="151">
                  <c:v>3033.17</c:v>
                </c:pt>
                <c:pt idx="152">
                  <c:v>2740.08</c:v>
                </c:pt>
                <c:pt idx="153">
                  <c:v>2627.33</c:v>
                </c:pt>
                <c:pt idx="154">
                  <c:v>2344.2000000000003</c:v>
                </c:pt>
                <c:pt idx="155">
                  <c:v>2215.08</c:v>
                </c:pt>
                <c:pt idx="156">
                  <c:v>2006.8</c:v>
                </c:pt>
                <c:pt idx="157">
                  <c:v>1738.89</c:v>
                </c:pt>
                <c:pt idx="158">
                  <c:v>1584.77</c:v>
                </c:pt>
                <c:pt idx="159">
                  <c:v>1327.22</c:v>
                </c:pt>
                <c:pt idx="160">
                  <c:v>1156.0899999999999</c:v>
                </c:pt>
                <c:pt idx="161">
                  <c:v>939.35</c:v>
                </c:pt>
                <c:pt idx="162">
                  <c:v>651.12</c:v>
                </c:pt>
                <c:pt idx="163">
                  <c:v>500.11</c:v>
                </c:pt>
                <c:pt idx="164">
                  <c:v>269.17</c:v>
                </c:pt>
                <c:pt idx="165">
                  <c:v>54.32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B8-463B-9A85-40DCBEAB53E6}"/>
            </c:ext>
          </c:extLst>
        </c:ser>
        <c:ser>
          <c:idx val="0"/>
          <c:order val="1"/>
          <c:tx>
            <c:v>Проценты на НЗ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val>
            <c:numRef>
              <c:f>Расчет!$L$4:$L$404</c:f>
              <c:numCache>
                <c:formatCode>#,##0.00</c:formatCode>
                <c:ptCount val="4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B8-463B-9A85-40DCBEAB53E6}"/>
            </c:ext>
          </c:extLst>
        </c:ser>
        <c:ser>
          <c:idx val="2"/>
          <c:order val="2"/>
          <c:tx>
            <c:v>Погашение НЗ</c:v>
          </c:tx>
          <c:spPr>
            <a:solidFill>
              <a:srgbClr val="7CC539"/>
            </a:solidFill>
          </c:spPr>
          <c:invertIfNegative val="0"/>
          <c:val>
            <c:numRef>
              <c:f>Расчет!$Z$4:$Z$404</c:f>
              <c:numCache>
                <c:formatCode>General</c:formatCode>
                <c:ptCount val="4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B8-463B-9A85-40DCBEAB53E6}"/>
            </c:ext>
          </c:extLst>
        </c:ser>
        <c:ser>
          <c:idx val="3"/>
          <c:order val="3"/>
          <c:tx>
            <c:v>Погашение ОД</c:v>
          </c:tx>
          <c:spPr>
            <a:solidFill>
              <a:srgbClr val="3D9725"/>
            </a:solidFill>
            <a:ln>
              <a:noFill/>
            </a:ln>
          </c:spPr>
          <c:invertIfNegative val="0"/>
          <c:val>
            <c:numRef>
              <c:f>Расчет!$H$4:$H$404</c:f>
              <c:numCache>
                <c:formatCode>#,##0.00</c:formatCode>
                <c:ptCount val="401"/>
                <c:pt idx="1">
                  <c:v>5585.9700000000012</c:v>
                </c:pt>
                <c:pt idx="2">
                  <c:v>4879.130000000001</c:v>
                </c:pt>
                <c:pt idx="3">
                  <c:v>5677.41</c:v>
                </c:pt>
                <c:pt idx="4">
                  <c:v>4974.4500000000007</c:v>
                </c:pt>
                <c:pt idx="5">
                  <c:v>7715.3299999999981</c:v>
                </c:pt>
                <c:pt idx="6">
                  <c:v>9763.4199999999983</c:v>
                </c:pt>
                <c:pt idx="7">
                  <c:v>7854.869999999999</c:v>
                </c:pt>
                <c:pt idx="8">
                  <c:v>8575.2099999999991</c:v>
                </c:pt>
                <c:pt idx="9">
                  <c:v>7986.0400000000009</c:v>
                </c:pt>
                <c:pt idx="10">
                  <c:v>8703.16</c:v>
                </c:pt>
                <c:pt idx="11">
                  <c:v>8119.2799999999988</c:v>
                </c:pt>
                <c:pt idx="12">
                  <c:v>8184.0999999999985</c:v>
                </c:pt>
                <c:pt idx="13">
                  <c:v>8896.36</c:v>
                </c:pt>
                <c:pt idx="14">
                  <c:v>8320.4599999999991</c:v>
                </c:pt>
                <c:pt idx="15">
                  <c:v>9029.380000000001</c:v>
                </c:pt>
                <c:pt idx="16">
                  <c:v>8458.98</c:v>
                </c:pt>
                <c:pt idx="17">
                  <c:v>8526.5099999999984</c:v>
                </c:pt>
                <c:pt idx="18">
                  <c:v>10501.95</c:v>
                </c:pt>
                <c:pt idx="19">
                  <c:v>8678.43</c:v>
                </c:pt>
                <c:pt idx="20">
                  <c:v>9378.5600000000013</c:v>
                </c:pt>
                <c:pt idx="21">
                  <c:v>8822.5799999999981</c:v>
                </c:pt>
                <c:pt idx="22">
                  <c:v>9519.18</c:v>
                </c:pt>
                <c:pt idx="23">
                  <c:v>8969.02</c:v>
                </c:pt>
                <c:pt idx="24">
                  <c:v>9040.619999999999</c:v>
                </c:pt>
                <c:pt idx="25">
                  <c:v>9731.869999999999</c:v>
                </c:pt>
                <c:pt idx="26">
                  <c:v>9190.489999999998</c:v>
                </c:pt>
                <c:pt idx="27">
                  <c:v>9878.0600000000013</c:v>
                </c:pt>
                <c:pt idx="28">
                  <c:v>9342.73</c:v>
                </c:pt>
                <c:pt idx="29">
                  <c:v>9417.32</c:v>
                </c:pt>
                <c:pt idx="30">
                  <c:v>11312.970000000001</c:v>
                </c:pt>
                <c:pt idx="31">
                  <c:v>9582.82</c:v>
                </c:pt>
                <c:pt idx="32">
                  <c:v>10260.759999999998</c:v>
                </c:pt>
                <c:pt idx="33">
                  <c:v>9741.239999999998</c:v>
                </c:pt>
                <c:pt idx="34">
                  <c:v>10415.299999999999</c:v>
                </c:pt>
                <c:pt idx="35">
                  <c:v>9902.16</c:v>
                </c:pt>
                <c:pt idx="36">
                  <c:v>9981.2200000000012</c:v>
                </c:pt>
                <c:pt idx="37">
                  <c:v>10649.39</c:v>
                </c:pt>
                <c:pt idx="38">
                  <c:v>10145.919999999998</c:v>
                </c:pt>
                <c:pt idx="39">
                  <c:v>10810.05</c:v>
                </c:pt>
                <c:pt idx="40">
                  <c:v>10313.23</c:v>
                </c:pt>
                <c:pt idx="41">
                  <c:v>10444.489999999998</c:v>
                </c:pt>
                <c:pt idx="42">
                  <c:v>11674.509999999998</c:v>
                </c:pt>
                <c:pt idx="43">
                  <c:v>10620.599999999999</c:v>
                </c:pt>
                <c:pt idx="44">
                  <c:v>11272.86</c:v>
                </c:pt>
                <c:pt idx="45">
                  <c:v>10794.91</c:v>
                </c:pt>
                <c:pt idx="46">
                  <c:v>11442.89</c:v>
                </c:pt>
                <c:pt idx="47">
                  <c:v>10971.96</c:v>
                </c:pt>
                <c:pt idx="48">
                  <c:v>11059.32</c:v>
                </c:pt>
                <c:pt idx="49">
                  <c:v>11700.810000000001</c:v>
                </c:pt>
                <c:pt idx="50">
                  <c:v>11240.529999999999</c:v>
                </c:pt>
                <c:pt idx="51">
                  <c:v>11877.57</c:v>
                </c:pt>
                <c:pt idx="52">
                  <c:v>11424.59</c:v>
                </c:pt>
                <c:pt idx="53">
                  <c:v>11469.55</c:v>
                </c:pt>
                <c:pt idx="54">
                  <c:v>13181.4</c:v>
                </c:pt>
                <c:pt idx="55">
                  <c:v>11666.349999999999</c:v>
                </c:pt>
                <c:pt idx="56">
                  <c:v>12293.19</c:v>
                </c:pt>
                <c:pt idx="57">
                  <c:v>11857.64</c:v>
                </c:pt>
                <c:pt idx="58">
                  <c:v>12479.779999999999</c:v>
                </c:pt>
                <c:pt idx="59">
                  <c:v>12051.93</c:v>
                </c:pt>
                <c:pt idx="60">
                  <c:v>12148.15</c:v>
                </c:pt>
                <c:pt idx="61">
                  <c:v>12763.17</c:v>
                </c:pt>
                <c:pt idx="62">
                  <c:v>12347.029999999999</c:v>
                </c:pt>
                <c:pt idx="63">
                  <c:v>12957.17</c:v>
                </c:pt>
                <c:pt idx="64">
                  <c:v>12549.05</c:v>
                </c:pt>
                <c:pt idx="65">
                  <c:v>12649.24</c:v>
                </c:pt>
                <c:pt idx="66">
                  <c:v>14255.43</c:v>
                </c:pt>
                <c:pt idx="67">
                  <c:v>12864.029999999999</c:v>
                </c:pt>
                <c:pt idx="68">
                  <c:v>13461.48</c:v>
                </c:pt>
                <c:pt idx="69">
                  <c:v>13074.199999999999</c:v>
                </c:pt>
                <c:pt idx="70">
                  <c:v>13666.5</c:v>
                </c:pt>
                <c:pt idx="71">
                  <c:v>13287.69</c:v>
                </c:pt>
                <c:pt idx="72">
                  <c:v>13393.77</c:v>
                </c:pt>
                <c:pt idx="73">
                  <c:v>13978.23</c:v>
                </c:pt>
                <c:pt idx="74">
                  <c:v>13612.3</c:v>
                </c:pt>
                <c:pt idx="75">
                  <c:v>14191.39</c:v>
                </c:pt>
                <c:pt idx="76">
                  <c:v>13834.27</c:v>
                </c:pt>
                <c:pt idx="77">
                  <c:v>13944.72</c:v>
                </c:pt>
                <c:pt idx="78">
                  <c:v>15434.88</c:v>
                </c:pt>
                <c:pt idx="79">
                  <c:v>14179.27</c:v>
                </c:pt>
                <c:pt idx="80">
                  <c:v>14744.46</c:v>
                </c:pt>
                <c:pt idx="81">
                  <c:v>14410.19</c:v>
                </c:pt>
                <c:pt idx="82">
                  <c:v>14969.71</c:v>
                </c:pt>
                <c:pt idx="83">
                  <c:v>14644.74</c:v>
                </c:pt>
                <c:pt idx="84">
                  <c:v>14761.66</c:v>
                </c:pt>
                <c:pt idx="85">
                  <c:v>15312.56</c:v>
                </c:pt>
                <c:pt idx="86">
                  <c:v>15001.76</c:v>
                </c:pt>
                <c:pt idx="87">
                  <c:v>15546.77</c:v>
                </c:pt>
                <c:pt idx="88">
                  <c:v>15245.64</c:v>
                </c:pt>
                <c:pt idx="89">
                  <c:v>15402.71</c:v>
                </c:pt>
                <c:pt idx="90">
                  <c:v>16349.77</c:v>
                </c:pt>
                <c:pt idx="91">
                  <c:v>15655.51</c:v>
                </c:pt>
                <c:pt idx="92">
                  <c:v>16184.15</c:v>
                </c:pt>
                <c:pt idx="93">
                  <c:v>15909.01</c:v>
                </c:pt>
                <c:pt idx="94">
                  <c:v>16431.43</c:v>
                </c:pt>
                <c:pt idx="95">
                  <c:v>16166.5</c:v>
                </c:pt>
                <c:pt idx="96">
                  <c:v>16295.21</c:v>
                </c:pt>
                <c:pt idx="97">
                  <c:v>16808.14</c:v>
                </c:pt>
                <c:pt idx="98">
                  <c:v>16558.77</c:v>
                </c:pt>
                <c:pt idx="99">
                  <c:v>17065.23</c:v>
                </c:pt>
                <c:pt idx="100">
                  <c:v>16826.48</c:v>
                </c:pt>
                <c:pt idx="101">
                  <c:v>16929.37</c:v>
                </c:pt>
                <c:pt idx="102">
                  <c:v>18152.21</c:v>
                </c:pt>
                <c:pt idx="103">
                  <c:v>17209.440000000002</c:v>
                </c:pt>
                <c:pt idx="104">
                  <c:v>17700.29</c:v>
                </c:pt>
                <c:pt idx="105">
                  <c:v>17488.150000000001</c:v>
                </c:pt>
                <c:pt idx="106">
                  <c:v>17972.16</c:v>
                </c:pt>
                <c:pt idx="107">
                  <c:v>17771.25</c:v>
                </c:pt>
                <c:pt idx="108">
                  <c:v>17913.12</c:v>
                </c:pt>
                <c:pt idx="109">
                  <c:v>18386.71</c:v>
                </c:pt>
                <c:pt idx="110">
                  <c:v>18202.93</c:v>
                </c:pt>
                <c:pt idx="111">
                  <c:v>18669.400000000001</c:v>
                </c:pt>
                <c:pt idx="112">
                  <c:v>18497.3</c:v>
                </c:pt>
                <c:pt idx="113">
                  <c:v>18644.97</c:v>
                </c:pt>
                <c:pt idx="114">
                  <c:v>19714.16</c:v>
                </c:pt>
                <c:pt idx="115">
                  <c:v>18951.21</c:v>
                </c:pt>
                <c:pt idx="116">
                  <c:v>19399.34</c:v>
                </c:pt>
                <c:pt idx="117">
                  <c:v>19257.39</c:v>
                </c:pt>
                <c:pt idx="118">
                  <c:v>19698</c:v>
                </c:pt>
                <c:pt idx="119">
                  <c:v>19568.39</c:v>
                </c:pt>
                <c:pt idx="120">
                  <c:v>19724.62</c:v>
                </c:pt>
                <c:pt idx="121">
                  <c:v>20153.760000000002</c:v>
                </c:pt>
                <c:pt idx="122">
                  <c:v>20042.989999999998</c:v>
                </c:pt>
                <c:pt idx="123">
                  <c:v>20464.330000000002</c:v>
                </c:pt>
                <c:pt idx="124">
                  <c:v>20366.38</c:v>
                </c:pt>
                <c:pt idx="125">
                  <c:v>20528.98</c:v>
                </c:pt>
                <c:pt idx="126">
                  <c:v>21429.43</c:v>
                </c:pt>
                <c:pt idx="127">
                  <c:v>20863.95</c:v>
                </c:pt>
                <c:pt idx="128">
                  <c:v>21265.15</c:v>
                </c:pt>
                <c:pt idx="129">
                  <c:v>21200.3</c:v>
                </c:pt>
                <c:pt idx="130">
                  <c:v>21593.239999999998</c:v>
                </c:pt>
                <c:pt idx="131">
                  <c:v>21541.94</c:v>
                </c:pt>
                <c:pt idx="132">
                  <c:v>21713.919999999998</c:v>
                </c:pt>
                <c:pt idx="133">
                  <c:v>22094.27</c:v>
                </c:pt>
                <c:pt idx="134">
                  <c:v>22063.67</c:v>
                </c:pt>
                <c:pt idx="135">
                  <c:v>22435.43</c:v>
                </c:pt>
                <c:pt idx="136">
                  <c:v>22418.93</c:v>
                </c:pt>
                <c:pt idx="137">
                  <c:v>22613.5</c:v>
                </c:pt>
                <c:pt idx="138">
                  <c:v>23149.059999999998</c:v>
                </c:pt>
                <c:pt idx="139">
                  <c:v>22977.85</c:v>
                </c:pt>
                <c:pt idx="140">
                  <c:v>23326.71</c:v>
                </c:pt>
                <c:pt idx="141">
                  <c:v>23346.52</c:v>
                </c:pt>
                <c:pt idx="142">
                  <c:v>23686.32</c:v>
                </c:pt>
                <c:pt idx="143">
                  <c:v>23720.98</c:v>
                </c:pt>
                <c:pt idx="144">
                  <c:v>23909.84</c:v>
                </c:pt>
                <c:pt idx="145">
                  <c:v>24235.81</c:v>
                </c:pt>
                <c:pt idx="146">
                  <c:v>24293.16</c:v>
                </c:pt>
                <c:pt idx="147">
                  <c:v>24609.72</c:v>
                </c:pt>
                <c:pt idx="148">
                  <c:v>24682.52</c:v>
                </c:pt>
                <c:pt idx="149">
                  <c:v>24869.65</c:v>
                </c:pt>
                <c:pt idx="150">
                  <c:v>25381.34</c:v>
                </c:pt>
                <c:pt idx="151">
                  <c:v>25270.83</c:v>
                </c:pt>
                <c:pt idx="152">
                  <c:v>25563.919999999998</c:v>
                </c:pt>
                <c:pt idx="153">
                  <c:v>25676.67</c:v>
                </c:pt>
                <c:pt idx="154">
                  <c:v>25959.8</c:v>
                </c:pt>
                <c:pt idx="155">
                  <c:v>26088.92</c:v>
                </c:pt>
                <c:pt idx="156">
                  <c:v>26297.200000000001</c:v>
                </c:pt>
                <c:pt idx="157">
                  <c:v>26565.11</c:v>
                </c:pt>
                <c:pt idx="158">
                  <c:v>26719.23</c:v>
                </c:pt>
                <c:pt idx="159">
                  <c:v>26976.78</c:v>
                </c:pt>
                <c:pt idx="160">
                  <c:v>27147.91</c:v>
                </c:pt>
                <c:pt idx="161">
                  <c:v>27364.65</c:v>
                </c:pt>
                <c:pt idx="162">
                  <c:v>27652.880000000001</c:v>
                </c:pt>
                <c:pt idx="163">
                  <c:v>27803.89</c:v>
                </c:pt>
                <c:pt idx="164">
                  <c:v>28034.83</c:v>
                </c:pt>
                <c:pt idx="165">
                  <c:v>6804.14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B8-463B-9A85-40DCBEAB5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6827776"/>
        <c:axId val="106829312"/>
      </c:barChart>
      <c:catAx>
        <c:axId val="1068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682931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06829312"/>
        <c:scaling>
          <c:orientation val="minMax"/>
          <c:max val="3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682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857222847144102"/>
          <c:y val="0.43376677915260592"/>
          <c:w val="0.10285724284464437"/>
          <c:h val="0.238961311654225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0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5C1AA63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5C1AA630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5C1AA630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280147</xdr:colOff>
      <xdr:row>2</xdr:row>
      <xdr:rowOff>100853</xdr:rowOff>
    </xdr:from>
    <xdr:to>
      <xdr:col>9</xdr:col>
      <xdr:colOff>313765</xdr:colOff>
      <xdr:row>10</xdr:row>
      <xdr:rowOff>167528</xdr:rowOff>
    </xdr:to>
    <xdr:pic>
      <xdr:nvPicPr>
        <xdr:cNvPr id="2" name="Рисунок 1" descr="cid:image001.png@01D497C5.C6334FB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0618" y="268941"/>
          <a:ext cx="2667000" cy="1019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4</xdr:col>
      <xdr:colOff>142875</xdr:colOff>
      <xdr:row>7</xdr:row>
      <xdr:rowOff>66675</xdr:rowOff>
    </xdr:to>
    <xdr:pic>
      <xdr:nvPicPr>
        <xdr:cNvPr id="2" name="Рисунок 1" descr="cid:image001.png@01D497C5.C6334FB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57175"/>
          <a:ext cx="3028950" cy="1019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43544</xdr:colOff>
      <xdr:row>2</xdr:row>
      <xdr:rowOff>44186</xdr:rowOff>
    </xdr:from>
    <xdr:to>
      <xdr:col>12</xdr:col>
      <xdr:colOff>314231</xdr:colOff>
      <xdr:row>6</xdr:row>
      <xdr:rowOff>95801</xdr:rowOff>
    </xdr:to>
    <xdr:pic>
      <xdr:nvPicPr>
        <xdr:cNvPr id="3" name="Рисунок 2" descr="cid:image001.png@01D497C5.C6334FB0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030" y="403415"/>
          <a:ext cx="1925316" cy="747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31</xdr:row>
          <xdr:rowOff>123825</xdr:rowOff>
        </xdr:from>
        <xdr:to>
          <xdr:col>8</xdr:col>
          <xdr:colOff>9525</xdr:colOff>
          <xdr:row>32</xdr:row>
          <xdr:rowOff>104775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</a:rPr>
                <a:t>Рассчитать график платежей</a:t>
              </a:r>
            </a:p>
            <a:p>
              <a:pPr algn="ctr" rtl="0">
                <a:defRPr sz="1000"/>
              </a:pPr>
              <a:endParaRPr lang="ru-RU" sz="1100" b="0" i="0" u="none" strike="noStrike" baseline="0">
                <a:solidFill>
                  <a:srgbClr val="0000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7</xdr:col>
      <xdr:colOff>752475</xdr:colOff>
      <xdr:row>1</xdr:row>
      <xdr:rowOff>19050</xdr:rowOff>
    </xdr:from>
    <xdr:to>
      <xdr:col>10</xdr:col>
      <xdr:colOff>200025</xdr:colOff>
      <xdr:row>1</xdr:row>
      <xdr:rowOff>600075</xdr:rowOff>
    </xdr:to>
    <xdr:pic>
      <xdr:nvPicPr>
        <xdr:cNvPr id="1094" name="Рисунок 2" descr="ДОМ РФ_АИЖК">
          <a:extLst>
            <a:ext uri="{FF2B5EF4-FFF2-40B4-BE49-F238E27FC236}">
              <a16:creationId xmlns:a16="http://schemas.microsoft.com/office/drawing/2014/main" xmlns="" id="{00000000-0008-0000-08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23825"/>
          <a:ext cx="1295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1</xdr:row>
      <xdr:rowOff>361950</xdr:rowOff>
    </xdr:from>
    <xdr:to>
      <xdr:col>26</xdr:col>
      <xdr:colOff>85725</xdr:colOff>
      <xdr:row>35</xdr:row>
      <xdr:rowOff>47625</xdr:rowOff>
    </xdr:to>
    <xdr:pic>
      <xdr:nvPicPr>
        <xdr:cNvPr id="1095" name="Рисунок 1">
          <a:extLst>
            <a:ext uri="{FF2B5EF4-FFF2-40B4-BE49-F238E27FC236}">
              <a16:creationId xmlns:a16="http://schemas.microsoft.com/office/drawing/2014/main" xmlns="" id="{00000000-0008-0000-08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466725"/>
          <a:ext cx="8572500" cy="565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</xdr:row>
      <xdr:rowOff>9525</xdr:rowOff>
    </xdr:from>
    <xdr:to>
      <xdr:col>16</xdr:col>
      <xdr:colOff>485775</xdr:colOff>
      <xdr:row>18</xdr:row>
      <xdr:rowOff>76200</xdr:rowOff>
    </xdr:to>
    <xdr:graphicFrame macro="">
      <xdr:nvGraphicFramePr>
        <xdr:cNvPr id="2807" name="Chart 1">
          <a:extLst>
            <a:ext uri="{FF2B5EF4-FFF2-40B4-BE49-F238E27FC236}">
              <a16:creationId xmlns:a16="http://schemas.microsoft.com/office/drawing/2014/main" xmlns="" id="{00000000-0008-0000-1000-0000F70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18</xdr:row>
      <xdr:rowOff>142875</xdr:rowOff>
    </xdr:from>
    <xdr:to>
      <xdr:col>16</xdr:col>
      <xdr:colOff>514350</xdr:colOff>
      <xdr:row>38</xdr:row>
      <xdr:rowOff>0</xdr:rowOff>
    </xdr:to>
    <xdr:graphicFrame macro="">
      <xdr:nvGraphicFramePr>
        <xdr:cNvPr id="2808" name="Chart 2">
          <a:extLst>
            <a:ext uri="{FF2B5EF4-FFF2-40B4-BE49-F238E27FC236}">
              <a16:creationId xmlns:a16="http://schemas.microsoft.com/office/drawing/2014/main" xmlns="" id="{00000000-0008-0000-1000-0000F80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14</xdr:col>
      <xdr:colOff>266700</xdr:colOff>
      <xdr:row>41</xdr:row>
      <xdr:rowOff>142875</xdr:rowOff>
    </xdr:to>
    <xdr:sp macro="" textlink="">
      <xdr:nvSpPr>
        <xdr:cNvPr id="8345" name="TextBox 1">
          <a:extLst>
            <a:ext uri="{FF2B5EF4-FFF2-40B4-BE49-F238E27FC236}">
              <a16:creationId xmlns:a16="http://schemas.microsoft.com/office/drawing/2014/main" xmlns="" id="{00000000-0008-0000-1300-000099200000}"/>
            </a:ext>
          </a:extLst>
        </xdr:cNvPr>
        <xdr:cNvSpPr txBox="1">
          <a:spLocks noChangeArrowheads="1"/>
        </xdr:cNvSpPr>
      </xdr:nvSpPr>
      <xdr:spPr bwMode="auto">
        <a:xfrm>
          <a:off x="38100" y="85725"/>
          <a:ext cx="9124950" cy="792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400" b="1" i="0" strike="noStrike">
              <a:solidFill>
                <a:srgbClr val="000000"/>
              </a:solidFill>
              <a:latin typeface="Calibri"/>
            </a:rPr>
            <a:t>Ипотечный калькулятор: военкредит</a:t>
          </a: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Calibri"/>
            </a:rPr>
            <a:t>Ипотечный калькулятор позволяет рассчитывать максимальную сумму кредита/займа и производить расчет периодов погашения кредита/займа с формированием Графика ежемесячных платежей (лист "Печать").</a:t>
          </a:r>
        </a:p>
        <a:p>
          <a:pPr algn="l" rtl="0">
            <a:defRPr sz="1000"/>
          </a:pPr>
          <a:endParaRPr lang="ru-RU" sz="1200" b="0" i="0" strike="noStrike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Calibri"/>
            </a:rPr>
            <a:t>Начать расчет необходимо с внесения данных в поля ипотечного калькулятора (лист "Параметры").</a:t>
          </a: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Calibri"/>
            </a:rPr>
            <a:t>Поля "ФИО", "Договор №", "Дата договора", "Дата рождения", "Дата</a:t>
          </a:r>
          <a:r>
            <a:rPr lang="ru-RU" sz="1200" b="0" i="0" strike="noStrike" baseline="0">
              <a:solidFill>
                <a:srgbClr val="000000"/>
              </a:solidFill>
              <a:latin typeface="Calibri"/>
            </a:rPr>
            <a:t> окончания ЦЖЗ"</a:t>
          </a:r>
          <a:r>
            <a:rPr lang="ru-RU" sz="1200" b="0" i="0" strike="noStrike">
              <a:solidFill>
                <a:srgbClr val="000000"/>
              </a:solidFill>
              <a:latin typeface="Calibri"/>
            </a:rPr>
            <a:t> являются обязательными для заполнения при формировании окончательной версии Графика ежемесячных платежей.</a:t>
          </a:r>
          <a:endParaRPr lang="ru-RU" sz="1400" b="1" i="0" strike="noStrike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Calibri"/>
            </a:rPr>
            <a:t> </a:t>
          </a:r>
          <a:endParaRPr lang="ru-RU" sz="1000" b="0" i="0" strike="noStrike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+mn-lt"/>
            </a:rPr>
            <a:t>В разделе "Расчетные параметры" указывается дата выдачи кредита/займа (при предварительном расчете указывается предполагаемая дата).  Поле  "Максимальный фактический срок кредита (займа)" автоматический заполняется  в месяцах (с учетом требования "Основных параметров").  В поле "Стоимость предмета ипотеки" указывается минимальная из двух величин - стоимости Жилого помещения по договору купли-продажи жилого помещения и рыночной стоимости Жилого помещения из Отчета об оценке.</a:t>
          </a:r>
        </a:p>
        <a:p>
          <a:pPr algn="l" rtl="0">
            <a:defRPr sz="1000"/>
          </a:pPr>
          <a:endParaRPr lang="ru-RU" sz="1200" b="0" i="0" strike="noStrike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200" b="0" i="0" strike="noStrike">
              <a:solidFill>
                <a:srgbClr val="000000"/>
              </a:solidFill>
              <a:latin typeface="Calibri"/>
            </a:rPr>
            <a:t>Ипотечный калькулятор предусматривает 2 режима пересчета:</a:t>
          </a:r>
        </a:p>
        <a:p>
          <a:pPr algn="l" rtl="0">
            <a:defRPr sz="1000"/>
          </a:pPr>
          <a:r>
            <a:rPr lang="ru-RU" sz="1200" b="1" i="0" strike="noStrike">
              <a:solidFill>
                <a:srgbClr val="000000"/>
              </a:solidFill>
              <a:latin typeface="Calibri"/>
            </a:rPr>
            <a:t>Расчет максимальной суммы кредита (займа). </a:t>
          </a:r>
          <a:r>
            <a:rPr lang="ru-RU" sz="1200" b="0" i="0" strike="noStrike">
              <a:solidFill>
                <a:srgbClr val="000000"/>
              </a:solidFill>
              <a:latin typeface="Calibri"/>
            </a:rPr>
            <a:t>Запускается кнопкой "Рассчитать макс. сумму кредита (займа)". В этом режиме производится вычисление максимально допустимой суммы кредита /займа, которая при заданных значениях справочника процентов и накопительных</a:t>
          </a:r>
          <a:r>
            <a:rPr lang="ru-RU" sz="1200" b="0" i="0" strike="noStrike" baseline="0">
              <a:solidFill>
                <a:srgbClr val="000000"/>
              </a:solidFill>
              <a:latin typeface="Calibri"/>
            </a:rPr>
            <a:t> взносов </a:t>
          </a:r>
          <a:r>
            <a:rPr lang="ru-RU" sz="1200" b="0" i="0" strike="noStrike">
              <a:solidFill>
                <a:srgbClr val="000000"/>
              </a:solidFill>
              <a:latin typeface="+mn-lt"/>
            </a:rPr>
            <a:t>погашается за количество периодов, не превышающее указанное в поле "Максимальный фактический срок кредита (займа)". При пересчете таблицы "Расчет" и "Печать" не обновляются. Результат вычислений выводится в листе "Параметры" в поле "Максимальная сумма кредита (займа)".</a:t>
          </a:r>
        </a:p>
        <a:p>
          <a:pPr algn="l" rtl="0">
            <a:defRPr sz="1000"/>
          </a:pPr>
          <a:r>
            <a:rPr lang="ru-RU" sz="1200" b="1" i="0" strike="noStrike">
              <a:solidFill>
                <a:srgbClr val="000000"/>
              </a:solidFill>
              <a:latin typeface="Calibri"/>
            </a:rPr>
            <a:t>Пересчет всех периодов в таблице с формированием графика ежемесячных платежей</a:t>
          </a:r>
          <a:r>
            <a:rPr lang="ru-RU" sz="1200" b="0" i="0" strike="noStrike">
              <a:solidFill>
                <a:srgbClr val="000000"/>
              </a:solidFill>
              <a:latin typeface="Calibri"/>
            </a:rPr>
            <a:t>. Запускается кнопкой "Рассчитать график платежей". В этом режиме на основании введенных данных  и рассчитанных после запуска "Рассчитать макс. сумму кредита (займа)" рассчитываются все периоды погашения кредита /займа. Результат расчета отображается на закладках "Расчет" и "Печать". Размер кредита /займа по ЦЖЗ может быть уменьшен в соответствии с запросом военнослужащего (в таком случае запрашиваемая сумма вносится пользователем в листе "Параметры" в раздел "Расчет платежей", справа от поля "Размер кредита (займа)" вместо рассчитанной суммы) , после этого для расчета графика платежей запускается кнопка "Рассчитать график платежей".</a:t>
          </a:r>
        </a:p>
        <a:p>
          <a:pPr algn="l" rtl="0">
            <a:defRPr sz="1000"/>
          </a:pPr>
          <a:endParaRPr lang="ru-RU" sz="1200" b="0" i="0" strike="noStrike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AC404"/>
  <sheetViews>
    <sheetView showGridLines="0" workbookViewId="0">
      <pane xSplit="1" ySplit="3" topLeftCell="B13" activePane="bottomRight" state="frozen"/>
      <selection pane="topRight" activeCell="B1" sqref="B1"/>
      <selection pane="bottomLeft" activeCell="A4" sqref="A4"/>
      <selection pane="bottomRight" activeCell="L4" sqref="L4"/>
    </sheetView>
  </sheetViews>
  <sheetFormatPr defaultColWidth="9.140625" defaultRowHeight="15" x14ac:dyDescent="0.25"/>
  <cols>
    <col min="1" max="1" width="7.140625" style="13" customWidth="1"/>
    <col min="2" max="2" width="7" style="16" customWidth="1"/>
    <col min="3" max="3" width="8.85546875" style="13" customWidth="1"/>
    <col min="4" max="6" width="10.42578125" style="13" customWidth="1"/>
    <col min="7" max="7" width="9.42578125" style="13" customWidth="1"/>
    <col min="8" max="11" width="10.42578125" style="13" customWidth="1"/>
    <col min="12" max="12" width="10.140625" style="13" customWidth="1"/>
    <col min="13" max="14" width="10.42578125" style="13" customWidth="1"/>
    <col min="15" max="16" width="9"/>
    <col min="17" max="25" width="9.140625" style="11" customWidth="1"/>
    <col min="26" max="26" width="9.140625" style="11" hidden="1" customWidth="1"/>
    <col min="27" max="28" width="9.140625" style="11" customWidth="1"/>
    <col min="29" max="29" width="9.140625" style="11" hidden="1" customWidth="1"/>
    <col min="30" max="16384" width="9.140625" style="11"/>
  </cols>
  <sheetData>
    <row r="1" spans="1:29" s="17" customFormat="1" ht="18.75" customHeight="1" thickBot="1" x14ac:dyDescent="0.3">
      <c r="A1" s="606" t="s">
        <v>7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8"/>
    </row>
    <row r="2" spans="1:29" ht="81.75" customHeight="1" thickBot="1" x14ac:dyDescent="0.3">
      <c r="A2" s="82" t="s">
        <v>2</v>
      </c>
      <c r="B2" s="83" t="s">
        <v>3</v>
      </c>
      <c r="C2" s="83" t="s">
        <v>0</v>
      </c>
      <c r="D2" s="85" t="s">
        <v>9</v>
      </c>
      <c r="E2" s="85" t="s">
        <v>4</v>
      </c>
      <c r="F2" s="85" t="s">
        <v>27</v>
      </c>
      <c r="G2" s="85" t="s">
        <v>23</v>
      </c>
      <c r="H2" s="85" t="s">
        <v>25</v>
      </c>
      <c r="I2" s="85" t="s">
        <v>10</v>
      </c>
      <c r="J2" s="85" t="s">
        <v>11</v>
      </c>
      <c r="K2" s="85" t="s">
        <v>26</v>
      </c>
      <c r="L2" s="85" t="s">
        <v>24</v>
      </c>
      <c r="M2" s="85" t="s">
        <v>12</v>
      </c>
      <c r="N2" s="84" t="s">
        <v>36</v>
      </c>
    </row>
    <row r="3" spans="1:29" s="13" customFormat="1" ht="11.25" customHeight="1" thickBot="1" x14ac:dyDescent="0.25">
      <c r="A3" s="81">
        <v>1</v>
      </c>
      <c r="B3" s="12">
        <v>2</v>
      </c>
      <c r="C3" s="12">
        <v>3</v>
      </c>
      <c r="D3" s="12">
        <v>4</v>
      </c>
      <c r="E3" s="12">
        <v>5</v>
      </c>
      <c r="F3" s="12">
        <v>6</v>
      </c>
      <c r="G3" s="12">
        <v>7</v>
      </c>
      <c r="H3" s="12">
        <v>8</v>
      </c>
      <c r="I3" s="12">
        <v>9</v>
      </c>
      <c r="J3" s="12">
        <v>10</v>
      </c>
      <c r="K3" s="12">
        <v>11</v>
      </c>
      <c r="L3" s="12">
        <v>12</v>
      </c>
      <c r="M3" s="12">
        <v>13</v>
      </c>
      <c r="N3" s="70">
        <v>14</v>
      </c>
    </row>
    <row r="4" spans="1:29" x14ac:dyDescent="0.25">
      <c r="A4" s="93">
        <v>1</v>
      </c>
      <c r="B4" s="94">
        <v>14</v>
      </c>
      <c r="C4" s="97">
        <v>42613</v>
      </c>
      <c r="D4" s="95">
        <v>2600000</v>
      </c>
      <c r="E4" s="95">
        <v>0</v>
      </c>
      <c r="F4" s="95">
        <v>11099.02</v>
      </c>
      <c r="G4" s="95"/>
      <c r="H4" s="95"/>
      <c r="I4" s="95">
        <v>2600000</v>
      </c>
      <c r="J4" s="95">
        <v>0</v>
      </c>
      <c r="K4" s="95">
        <v>0</v>
      </c>
      <c r="L4" s="95"/>
      <c r="M4" s="95"/>
      <c r="N4" s="96">
        <v>0</v>
      </c>
      <c r="Z4" s="11">
        <f t="shared" ref="Z4:Z67" si="0">IF(M4&gt;0,0,-M4)</f>
        <v>0</v>
      </c>
      <c r="AC4" s="14"/>
    </row>
    <row r="5" spans="1:29" x14ac:dyDescent="0.25">
      <c r="A5" s="87">
        <v>2</v>
      </c>
      <c r="B5" s="86">
        <v>30</v>
      </c>
      <c r="C5" s="97">
        <v>42643</v>
      </c>
      <c r="D5" s="15">
        <v>2600000</v>
      </c>
      <c r="E5" s="15">
        <v>39403.020000000004</v>
      </c>
      <c r="F5" s="15">
        <v>22718.03</v>
      </c>
      <c r="G5" s="15">
        <v>33817.050000000003</v>
      </c>
      <c r="H5" s="15">
        <v>5585.9700000000012</v>
      </c>
      <c r="I5" s="15">
        <v>2594414.0300000003</v>
      </c>
      <c r="J5" s="15">
        <v>0</v>
      </c>
      <c r="K5" s="15">
        <v>0</v>
      </c>
      <c r="L5" s="15">
        <v>0</v>
      </c>
      <c r="M5" s="15">
        <v>0</v>
      </c>
      <c r="N5" s="88">
        <v>0</v>
      </c>
      <c r="Z5" s="11">
        <f t="shared" si="0"/>
        <v>0</v>
      </c>
      <c r="AC5" s="14"/>
    </row>
    <row r="6" spans="1:29" x14ac:dyDescent="0.25">
      <c r="A6" s="87">
        <v>3</v>
      </c>
      <c r="B6" s="86">
        <v>31</v>
      </c>
      <c r="C6" s="97">
        <v>42674</v>
      </c>
      <c r="D6" s="15">
        <v>2594414.0300000003</v>
      </c>
      <c r="E6" s="15">
        <v>28304</v>
      </c>
      <c r="F6" s="15">
        <v>23424.87</v>
      </c>
      <c r="G6" s="15">
        <v>23424.87</v>
      </c>
      <c r="H6" s="15">
        <v>4879.130000000001</v>
      </c>
      <c r="I6" s="15">
        <v>2589534.9</v>
      </c>
      <c r="J6" s="15">
        <v>0</v>
      </c>
      <c r="K6" s="15">
        <v>0</v>
      </c>
      <c r="L6" s="15">
        <v>0</v>
      </c>
      <c r="M6" s="15">
        <v>0</v>
      </c>
      <c r="N6" s="88">
        <v>0</v>
      </c>
      <c r="Z6" s="11">
        <f t="shared" si="0"/>
        <v>0</v>
      </c>
      <c r="AC6" s="14"/>
    </row>
    <row r="7" spans="1:29" x14ac:dyDescent="0.25">
      <c r="A7" s="87">
        <v>4</v>
      </c>
      <c r="B7" s="86">
        <v>30</v>
      </c>
      <c r="C7" s="97">
        <v>42704</v>
      </c>
      <c r="D7" s="15">
        <v>2589534.9</v>
      </c>
      <c r="E7" s="15">
        <v>28304</v>
      </c>
      <c r="F7" s="15">
        <v>22626.59</v>
      </c>
      <c r="G7" s="15">
        <v>22626.59</v>
      </c>
      <c r="H7" s="15">
        <v>5677.41</v>
      </c>
      <c r="I7" s="15">
        <v>2583857.4900000002</v>
      </c>
      <c r="J7" s="15">
        <v>0</v>
      </c>
      <c r="K7" s="15">
        <v>0</v>
      </c>
      <c r="L7" s="15">
        <v>0</v>
      </c>
      <c r="M7" s="15">
        <v>0</v>
      </c>
      <c r="N7" s="88">
        <v>0</v>
      </c>
      <c r="Z7" s="11">
        <f t="shared" si="0"/>
        <v>0</v>
      </c>
      <c r="AC7" s="14"/>
    </row>
    <row r="8" spans="1:29" x14ac:dyDescent="0.25">
      <c r="A8" s="87">
        <v>5</v>
      </c>
      <c r="B8" s="86">
        <v>31</v>
      </c>
      <c r="C8" s="97">
        <v>42735</v>
      </c>
      <c r="D8" s="15">
        <v>2583857.4900000002</v>
      </c>
      <c r="E8" s="15">
        <v>28304</v>
      </c>
      <c r="F8" s="15">
        <v>23329.55</v>
      </c>
      <c r="G8" s="15">
        <v>23329.55</v>
      </c>
      <c r="H8" s="15">
        <v>4974.4500000000007</v>
      </c>
      <c r="I8" s="15">
        <v>2578883.04</v>
      </c>
      <c r="J8" s="15">
        <v>0</v>
      </c>
      <c r="K8" s="15">
        <v>0</v>
      </c>
      <c r="L8" s="15">
        <v>0</v>
      </c>
      <c r="M8" s="15">
        <v>0</v>
      </c>
      <c r="N8" s="88">
        <v>0</v>
      </c>
      <c r="Z8" s="11">
        <f t="shared" si="0"/>
        <v>0</v>
      </c>
      <c r="AC8" s="14"/>
    </row>
    <row r="9" spans="1:29" x14ac:dyDescent="0.25">
      <c r="A9" s="87">
        <v>6</v>
      </c>
      <c r="B9" s="86">
        <v>31</v>
      </c>
      <c r="C9" s="97">
        <v>42766</v>
      </c>
      <c r="D9" s="15">
        <v>2578883.04</v>
      </c>
      <c r="E9" s="15">
        <v>28304</v>
      </c>
      <c r="F9" s="15">
        <v>20588.670000000002</v>
      </c>
      <c r="G9" s="15">
        <v>20588.670000000002</v>
      </c>
      <c r="H9" s="15">
        <v>7715.3299999999981</v>
      </c>
      <c r="I9" s="15">
        <v>2571167.71</v>
      </c>
      <c r="J9" s="15">
        <v>0</v>
      </c>
      <c r="K9" s="15">
        <v>0</v>
      </c>
      <c r="L9" s="15">
        <v>0</v>
      </c>
      <c r="M9" s="15">
        <v>0</v>
      </c>
      <c r="N9" s="88">
        <v>0</v>
      </c>
      <c r="Z9" s="11">
        <f t="shared" si="0"/>
        <v>0</v>
      </c>
      <c r="AC9" s="14"/>
    </row>
    <row r="10" spans="1:29" x14ac:dyDescent="0.25">
      <c r="A10" s="87">
        <v>7</v>
      </c>
      <c r="B10" s="86">
        <v>28</v>
      </c>
      <c r="C10" s="97">
        <v>42794</v>
      </c>
      <c r="D10" s="15">
        <v>2571167.71</v>
      </c>
      <c r="E10" s="15">
        <v>28304</v>
      </c>
      <c r="F10" s="15">
        <v>18540.580000000002</v>
      </c>
      <c r="G10" s="15">
        <v>18540.580000000002</v>
      </c>
      <c r="H10" s="15">
        <v>9763.4199999999983</v>
      </c>
      <c r="I10" s="15">
        <v>2561404.29</v>
      </c>
      <c r="J10" s="15">
        <v>0</v>
      </c>
      <c r="K10" s="15">
        <v>0</v>
      </c>
      <c r="L10" s="15">
        <v>0</v>
      </c>
      <c r="M10" s="15">
        <v>0</v>
      </c>
      <c r="N10" s="88">
        <v>0</v>
      </c>
      <c r="Z10" s="11">
        <f t="shared" si="0"/>
        <v>0</v>
      </c>
      <c r="AC10" s="14"/>
    </row>
    <row r="11" spans="1:29" x14ac:dyDescent="0.25">
      <c r="A11" s="87">
        <v>8</v>
      </c>
      <c r="B11" s="86">
        <v>31</v>
      </c>
      <c r="C11" s="97">
        <v>42825</v>
      </c>
      <c r="D11" s="15">
        <v>2561404.29</v>
      </c>
      <c r="E11" s="15">
        <v>28304</v>
      </c>
      <c r="F11" s="15">
        <v>20449.13</v>
      </c>
      <c r="G11" s="15">
        <v>20449.13</v>
      </c>
      <c r="H11" s="15">
        <v>7854.869999999999</v>
      </c>
      <c r="I11" s="15">
        <v>2553549.42</v>
      </c>
      <c r="J11" s="15">
        <v>0</v>
      </c>
      <c r="K11" s="15">
        <v>0</v>
      </c>
      <c r="L11" s="15">
        <v>0</v>
      </c>
      <c r="M11" s="15">
        <v>0</v>
      </c>
      <c r="N11" s="88">
        <v>0</v>
      </c>
      <c r="Z11" s="11">
        <f t="shared" si="0"/>
        <v>0</v>
      </c>
      <c r="AC11" s="14"/>
    </row>
    <row r="12" spans="1:29" x14ac:dyDescent="0.25">
      <c r="A12" s="87">
        <v>9</v>
      </c>
      <c r="B12" s="86">
        <v>30</v>
      </c>
      <c r="C12" s="97">
        <v>42855</v>
      </c>
      <c r="D12" s="15">
        <v>2553549.42</v>
      </c>
      <c r="E12" s="15">
        <v>28304</v>
      </c>
      <c r="F12" s="15">
        <v>19728.79</v>
      </c>
      <c r="G12" s="15">
        <v>19728.79</v>
      </c>
      <c r="H12" s="15">
        <v>8575.2099999999991</v>
      </c>
      <c r="I12" s="15">
        <v>2544974.21</v>
      </c>
      <c r="J12" s="15">
        <v>0</v>
      </c>
      <c r="K12" s="15">
        <v>0</v>
      </c>
      <c r="L12" s="15">
        <v>0</v>
      </c>
      <c r="M12" s="15">
        <v>0</v>
      </c>
      <c r="N12" s="88">
        <v>0</v>
      </c>
      <c r="Z12" s="11">
        <f t="shared" si="0"/>
        <v>0</v>
      </c>
      <c r="AC12" s="14"/>
    </row>
    <row r="13" spans="1:29" x14ac:dyDescent="0.25">
      <c r="A13" s="87">
        <v>10</v>
      </c>
      <c r="B13" s="86">
        <v>31</v>
      </c>
      <c r="C13" s="97">
        <v>42886</v>
      </c>
      <c r="D13" s="15">
        <v>2544974.21</v>
      </c>
      <c r="E13" s="15">
        <v>28304</v>
      </c>
      <c r="F13" s="15">
        <v>20317.96</v>
      </c>
      <c r="G13" s="15">
        <v>20317.96</v>
      </c>
      <c r="H13" s="15">
        <v>7986.0400000000009</v>
      </c>
      <c r="I13" s="15">
        <v>2536988.17</v>
      </c>
      <c r="J13" s="15">
        <v>0</v>
      </c>
      <c r="K13" s="15">
        <v>0</v>
      </c>
      <c r="L13" s="15">
        <v>0</v>
      </c>
      <c r="M13" s="15">
        <v>0</v>
      </c>
      <c r="N13" s="88">
        <v>0</v>
      </c>
      <c r="Z13" s="11">
        <f t="shared" si="0"/>
        <v>0</v>
      </c>
      <c r="AC13" s="14"/>
    </row>
    <row r="14" spans="1:29" x14ac:dyDescent="0.25">
      <c r="A14" s="87">
        <v>11</v>
      </c>
      <c r="B14" s="86">
        <v>30</v>
      </c>
      <c r="C14" s="97">
        <v>42916</v>
      </c>
      <c r="D14" s="15">
        <v>2536988.17</v>
      </c>
      <c r="E14" s="15">
        <v>28304</v>
      </c>
      <c r="F14" s="15">
        <v>19600.84</v>
      </c>
      <c r="G14" s="15">
        <v>19600.84</v>
      </c>
      <c r="H14" s="15">
        <v>8703.16</v>
      </c>
      <c r="I14" s="15">
        <v>2528285.0100000002</v>
      </c>
      <c r="J14" s="15">
        <v>0</v>
      </c>
      <c r="K14" s="15">
        <v>0</v>
      </c>
      <c r="L14" s="15">
        <v>0</v>
      </c>
      <c r="M14" s="15">
        <v>0</v>
      </c>
      <c r="N14" s="88">
        <v>0</v>
      </c>
      <c r="Z14" s="11">
        <f t="shared" si="0"/>
        <v>0</v>
      </c>
      <c r="AC14" s="14"/>
    </row>
    <row r="15" spans="1:29" x14ac:dyDescent="0.25">
      <c r="A15" s="87">
        <v>12</v>
      </c>
      <c r="B15" s="86">
        <v>31</v>
      </c>
      <c r="C15" s="97">
        <v>42947</v>
      </c>
      <c r="D15" s="15">
        <v>2528285.0100000002</v>
      </c>
      <c r="E15" s="15">
        <v>28304</v>
      </c>
      <c r="F15" s="15">
        <v>20184.72</v>
      </c>
      <c r="G15" s="15">
        <v>20184.72</v>
      </c>
      <c r="H15" s="15">
        <v>8119.2799999999988</v>
      </c>
      <c r="I15" s="15">
        <v>2520165.73</v>
      </c>
      <c r="J15" s="15">
        <v>0</v>
      </c>
      <c r="K15" s="15">
        <v>0</v>
      </c>
      <c r="L15" s="15">
        <v>0</v>
      </c>
      <c r="M15" s="15">
        <v>0</v>
      </c>
      <c r="N15" s="88">
        <v>0</v>
      </c>
      <c r="Z15" s="11">
        <f t="shared" si="0"/>
        <v>0</v>
      </c>
      <c r="AC15" s="14"/>
    </row>
    <row r="16" spans="1:29" x14ac:dyDescent="0.25">
      <c r="A16" s="87">
        <v>13</v>
      </c>
      <c r="B16" s="86">
        <v>31</v>
      </c>
      <c r="C16" s="97">
        <v>42978</v>
      </c>
      <c r="D16" s="15">
        <v>2520165.73</v>
      </c>
      <c r="E16" s="15">
        <v>28304</v>
      </c>
      <c r="F16" s="15">
        <v>20119.900000000001</v>
      </c>
      <c r="G16" s="15">
        <v>20119.900000000001</v>
      </c>
      <c r="H16" s="15">
        <v>8184.0999999999985</v>
      </c>
      <c r="I16" s="15">
        <v>2511981.63</v>
      </c>
      <c r="J16" s="15">
        <v>0</v>
      </c>
      <c r="K16" s="15">
        <v>0</v>
      </c>
      <c r="L16" s="15">
        <v>0</v>
      </c>
      <c r="M16" s="15">
        <v>0</v>
      </c>
      <c r="N16" s="88">
        <v>0</v>
      </c>
      <c r="Z16" s="11">
        <f t="shared" si="0"/>
        <v>0</v>
      </c>
      <c r="AC16" s="14"/>
    </row>
    <row r="17" spans="1:29" x14ac:dyDescent="0.25">
      <c r="A17" s="87">
        <v>14</v>
      </c>
      <c r="B17" s="86">
        <v>30</v>
      </c>
      <c r="C17" s="97">
        <v>43008</v>
      </c>
      <c r="D17" s="15">
        <v>2511981.63</v>
      </c>
      <c r="E17" s="15">
        <v>28304</v>
      </c>
      <c r="F17" s="15">
        <v>19407.64</v>
      </c>
      <c r="G17" s="15">
        <v>19407.64</v>
      </c>
      <c r="H17" s="15">
        <v>8896.36</v>
      </c>
      <c r="I17" s="15">
        <v>2503085.27</v>
      </c>
      <c r="J17" s="15">
        <v>0</v>
      </c>
      <c r="K17" s="15">
        <v>0</v>
      </c>
      <c r="L17" s="15">
        <v>0</v>
      </c>
      <c r="M17" s="15">
        <v>0</v>
      </c>
      <c r="N17" s="88">
        <v>0</v>
      </c>
      <c r="Z17" s="11">
        <f t="shared" si="0"/>
        <v>0</v>
      </c>
      <c r="AC17" s="14"/>
    </row>
    <row r="18" spans="1:29" x14ac:dyDescent="0.25">
      <c r="A18" s="87">
        <v>15</v>
      </c>
      <c r="B18" s="86">
        <v>31</v>
      </c>
      <c r="C18" s="97">
        <v>43039</v>
      </c>
      <c r="D18" s="15">
        <v>2503085.27</v>
      </c>
      <c r="E18" s="15">
        <v>28304</v>
      </c>
      <c r="F18" s="15">
        <v>19983.54</v>
      </c>
      <c r="G18" s="15">
        <v>19983.54</v>
      </c>
      <c r="H18" s="15">
        <v>8320.4599999999991</v>
      </c>
      <c r="I18" s="15">
        <v>2494764.81</v>
      </c>
      <c r="J18" s="15">
        <v>0</v>
      </c>
      <c r="K18" s="15">
        <v>0</v>
      </c>
      <c r="L18" s="15">
        <v>0</v>
      </c>
      <c r="M18" s="15">
        <v>0</v>
      </c>
      <c r="N18" s="88">
        <v>0</v>
      </c>
      <c r="Z18" s="11">
        <f t="shared" si="0"/>
        <v>0</v>
      </c>
      <c r="AC18" s="14"/>
    </row>
    <row r="19" spans="1:29" x14ac:dyDescent="0.25">
      <c r="A19" s="87">
        <v>16</v>
      </c>
      <c r="B19" s="86">
        <v>30</v>
      </c>
      <c r="C19" s="97">
        <v>43069</v>
      </c>
      <c r="D19" s="15">
        <v>2494764.81</v>
      </c>
      <c r="E19" s="15">
        <v>28304</v>
      </c>
      <c r="F19" s="15">
        <v>19274.62</v>
      </c>
      <c r="G19" s="15">
        <v>19274.62</v>
      </c>
      <c r="H19" s="15">
        <v>9029.380000000001</v>
      </c>
      <c r="I19" s="15">
        <v>2485735.4300000002</v>
      </c>
      <c r="J19" s="15">
        <v>0</v>
      </c>
      <c r="K19" s="15">
        <v>0</v>
      </c>
      <c r="L19" s="15">
        <v>0</v>
      </c>
      <c r="M19" s="15">
        <v>0</v>
      </c>
      <c r="N19" s="88">
        <v>0</v>
      </c>
      <c r="Z19" s="11">
        <f t="shared" si="0"/>
        <v>0</v>
      </c>
      <c r="AC19" s="14"/>
    </row>
    <row r="20" spans="1:29" x14ac:dyDescent="0.25">
      <c r="A20" s="87">
        <v>17</v>
      </c>
      <c r="B20" s="86">
        <v>31</v>
      </c>
      <c r="C20" s="97">
        <v>43100</v>
      </c>
      <c r="D20" s="15">
        <v>2485735.4300000002</v>
      </c>
      <c r="E20" s="15">
        <v>28304</v>
      </c>
      <c r="F20" s="15">
        <v>19845.02</v>
      </c>
      <c r="G20" s="15">
        <v>19845.02</v>
      </c>
      <c r="H20" s="15">
        <v>8458.98</v>
      </c>
      <c r="I20" s="15">
        <v>2477276.4500000002</v>
      </c>
      <c r="J20" s="15">
        <v>0</v>
      </c>
      <c r="K20" s="15">
        <v>0</v>
      </c>
      <c r="L20" s="15">
        <v>0</v>
      </c>
      <c r="M20" s="15">
        <v>0</v>
      </c>
      <c r="N20" s="88">
        <v>0</v>
      </c>
      <c r="Z20" s="11">
        <f t="shared" si="0"/>
        <v>0</v>
      </c>
      <c r="AC20" s="14"/>
    </row>
    <row r="21" spans="1:29" x14ac:dyDescent="0.25">
      <c r="A21" s="87">
        <v>18</v>
      </c>
      <c r="B21" s="86">
        <v>31</v>
      </c>
      <c r="C21" s="97">
        <v>43131</v>
      </c>
      <c r="D21" s="15">
        <v>2477276.4500000002</v>
      </c>
      <c r="E21" s="15">
        <v>28304</v>
      </c>
      <c r="F21" s="15">
        <v>19777.490000000002</v>
      </c>
      <c r="G21" s="15">
        <v>19777.490000000002</v>
      </c>
      <c r="H21" s="15">
        <v>8526.5099999999984</v>
      </c>
      <c r="I21" s="15">
        <v>2468749.94</v>
      </c>
      <c r="J21" s="15">
        <v>0</v>
      </c>
      <c r="K21" s="15">
        <v>0</v>
      </c>
      <c r="L21" s="15">
        <v>0</v>
      </c>
      <c r="M21" s="15">
        <v>0</v>
      </c>
      <c r="N21" s="88">
        <v>0</v>
      </c>
      <c r="Z21" s="11">
        <f t="shared" si="0"/>
        <v>0</v>
      </c>
      <c r="AC21" s="14"/>
    </row>
    <row r="22" spans="1:29" x14ac:dyDescent="0.25">
      <c r="A22" s="87">
        <v>19</v>
      </c>
      <c r="B22" s="86">
        <v>28</v>
      </c>
      <c r="C22" s="97">
        <v>43159</v>
      </c>
      <c r="D22" s="15">
        <v>2468749.94</v>
      </c>
      <c r="E22" s="15">
        <v>28304</v>
      </c>
      <c r="F22" s="15">
        <v>17802.05</v>
      </c>
      <c r="G22" s="15">
        <v>17802.05</v>
      </c>
      <c r="H22" s="15">
        <v>10501.95</v>
      </c>
      <c r="I22" s="15">
        <v>2458247.9900000002</v>
      </c>
      <c r="J22" s="15">
        <v>0</v>
      </c>
      <c r="K22" s="15">
        <v>0</v>
      </c>
      <c r="L22" s="15">
        <v>0</v>
      </c>
      <c r="M22" s="15">
        <v>0</v>
      </c>
      <c r="N22" s="88">
        <v>0</v>
      </c>
      <c r="Z22" s="11">
        <f t="shared" si="0"/>
        <v>0</v>
      </c>
      <c r="AC22" s="14"/>
    </row>
    <row r="23" spans="1:29" x14ac:dyDescent="0.25">
      <c r="A23" s="87">
        <v>20</v>
      </c>
      <c r="B23" s="86">
        <v>31</v>
      </c>
      <c r="C23" s="97">
        <v>43190</v>
      </c>
      <c r="D23" s="15">
        <v>2458247.9900000002</v>
      </c>
      <c r="E23" s="15">
        <v>28304</v>
      </c>
      <c r="F23" s="15">
        <v>19625.57</v>
      </c>
      <c r="G23" s="15">
        <v>19625.57</v>
      </c>
      <c r="H23" s="15">
        <v>8678.43</v>
      </c>
      <c r="I23" s="15">
        <v>2449569.56</v>
      </c>
      <c r="J23" s="15">
        <v>0</v>
      </c>
      <c r="K23" s="15">
        <v>0</v>
      </c>
      <c r="L23" s="15">
        <v>0</v>
      </c>
      <c r="M23" s="15">
        <v>0</v>
      </c>
      <c r="N23" s="88">
        <v>0</v>
      </c>
      <c r="Z23" s="11">
        <f t="shared" si="0"/>
        <v>0</v>
      </c>
      <c r="AC23" s="14"/>
    </row>
    <row r="24" spans="1:29" x14ac:dyDescent="0.25">
      <c r="A24" s="87">
        <v>21</v>
      </c>
      <c r="B24" s="86">
        <v>30</v>
      </c>
      <c r="C24" s="97">
        <v>43220</v>
      </c>
      <c r="D24" s="15">
        <v>2449569.56</v>
      </c>
      <c r="E24" s="15">
        <v>28304</v>
      </c>
      <c r="F24" s="15">
        <v>18925.439999999999</v>
      </c>
      <c r="G24" s="15">
        <v>18925.439999999999</v>
      </c>
      <c r="H24" s="15">
        <v>9378.5600000000013</v>
      </c>
      <c r="I24" s="15">
        <v>2440191</v>
      </c>
      <c r="J24" s="15">
        <v>0</v>
      </c>
      <c r="K24" s="15">
        <v>0</v>
      </c>
      <c r="L24" s="15">
        <v>0</v>
      </c>
      <c r="M24" s="15">
        <v>0</v>
      </c>
      <c r="N24" s="88">
        <v>0</v>
      </c>
      <c r="Z24" s="11">
        <f t="shared" si="0"/>
        <v>0</v>
      </c>
      <c r="AC24" s="14"/>
    </row>
    <row r="25" spans="1:29" x14ac:dyDescent="0.25">
      <c r="A25" s="87">
        <v>22</v>
      </c>
      <c r="B25" s="86">
        <v>31</v>
      </c>
      <c r="C25" s="97">
        <v>43251</v>
      </c>
      <c r="D25" s="15">
        <v>2440191</v>
      </c>
      <c r="E25" s="15">
        <v>28304</v>
      </c>
      <c r="F25" s="15">
        <v>19481.420000000002</v>
      </c>
      <c r="G25" s="15">
        <v>19481.420000000002</v>
      </c>
      <c r="H25" s="15">
        <v>8822.5799999999981</v>
      </c>
      <c r="I25" s="15">
        <v>2431368.42</v>
      </c>
      <c r="J25" s="15">
        <v>0</v>
      </c>
      <c r="K25" s="15">
        <v>0</v>
      </c>
      <c r="L25" s="15">
        <v>0</v>
      </c>
      <c r="M25" s="15">
        <v>0</v>
      </c>
      <c r="N25" s="88">
        <v>0</v>
      </c>
      <c r="Z25" s="11">
        <f t="shared" si="0"/>
        <v>0</v>
      </c>
      <c r="AC25" s="14"/>
    </row>
    <row r="26" spans="1:29" x14ac:dyDescent="0.25">
      <c r="A26" s="87">
        <v>23</v>
      </c>
      <c r="B26" s="86">
        <v>30</v>
      </c>
      <c r="C26" s="97">
        <v>43281</v>
      </c>
      <c r="D26" s="15">
        <v>2431368.42</v>
      </c>
      <c r="E26" s="15">
        <v>28304</v>
      </c>
      <c r="F26" s="15">
        <v>18784.82</v>
      </c>
      <c r="G26" s="15">
        <v>18784.82</v>
      </c>
      <c r="H26" s="15">
        <v>9519.18</v>
      </c>
      <c r="I26" s="15">
        <v>2421849.2400000002</v>
      </c>
      <c r="J26" s="15">
        <v>0</v>
      </c>
      <c r="K26" s="15">
        <v>0</v>
      </c>
      <c r="L26" s="15">
        <v>0</v>
      </c>
      <c r="M26" s="15">
        <v>0</v>
      </c>
      <c r="N26" s="88">
        <v>0</v>
      </c>
      <c r="Z26" s="11">
        <f t="shared" si="0"/>
        <v>0</v>
      </c>
      <c r="AC26" s="14"/>
    </row>
    <row r="27" spans="1:29" x14ac:dyDescent="0.25">
      <c r="A27" s="87">
        <v>24</v>
      </c>
      <c r="B27" s="86">
        <v>31</v>
      </c>
      <c r="C27" s="97">
        <v>43312</v>
      </c>
      <c r="D27" s="15">
        <v>2421849.2400000002</v>
      </c>
      <c r="E27" s="15">
        <v>28304</v>
      </c>
      <c r="F27" s="15">
        <v>19334.98</v>
      </c>
      <c r="G27" s="15">
        <v>19334.98</v>
      </c>
      <c r="H27" s="15">
        <v>8969.02</v>
      </c>
      <c r="I27" s="15">
        <v>2412880.2200000002</v>
      </c>
      <c r="J27" s="15">
        <v>0</v>
      </c>
      <c r="K27" s="15">
        <v>0</v>
      </c>
      <c r="L27" s="15">
        <v>0</v>
      </c>
      <c r="M27" s="15">
        <v>0</v>
      </c>
      <c r="N27" s="88">
        <v>0</v>
      </c>
      <c r="Z27" s="11">
        <f t="shared" si="0"/>
        <v>0</v>
      </c>
      <c r="AC27" s="14"/>
    </row>
    <row r="28" spans="1:29" x14ac:dyDescent="0.25">
      <c r="A28" s="87">
        <v>25</v>
      </c>
      <c r="B28" s="86">
        <v>31</v>
      </c>
      <c r="C28" s="97">
        <v>43343</v>
      </c>
      <c r="D28" s="15">
        <v>2412880.2200000002</v>
      </c>
      <c r="E28" s="15">
        <v>28304</v>
      </c>
      <c r="F28" s="15">
        <v>19263.38</v>
      </c>
      <c r="G28" s="15">
        <v>19263.38</v>
      </c>
      <c r="H28" s="15">
        <v>9040.619999999999</v>
      </c>
      <c r="I28" s="15">
        <v>2403839.6</v>
      </c>
      <c r="J28" s="15">
        <v>0</v>
      </c>
      <c r="K28" s="15">
        <v>0</v>
      </c>
      <c r="L28" s="15">
        <v>0</v>
      </c>
      <c r="M28" s="15">
        <v>0</v>
      </c>
      <c r="N28" s="88">
        <v>0</v>
      </c>
      <c r="Z28" s="11">
        <f t="shared" si="0"/>
        <v>0</v>
      </c>
      <c r="AC28" s="14"/>
    </row>
    <row r="29" spans="1:29" x14ac:dyDescent="0.25">
      <c r="A29" s="87">
        <v>26</v>
      </c>
      <c r="B29" s="86">
        <v>30</v>
      </c>
      <c r="C29" s="97">
        <v>43373</v>
      </c>
      <c r="D29" s="15">
        <v>2403839.6</v>
      </c>
      <c r="E29" s="15">
        <v>28304</v>
      </c>
      <c r="F29" s="15">
        <v>18572.13</v>
      </c>
      <c r="G29" s="15">
        <v>18572.13</v>
      </c>
      <c r="H29" s="15">
        <v>9731.869999999999</v>
      </c>
      <c r="I29" s="15">
        <v>2394107.73</v>
      </c>
      <c r="J29" s="15">
        <v>0</v>
      </c>
      <c r="K29" s="15">
        <v>0</v>
      </c>
      <c r="L29" s="15">
        <v>0</v>
      </c>
      <c r="M29" s="15">
        <v>0</v>
      </c>
      <c r="N29" s="88">
        <v>0</v>
      </c>
      <c r="Z29" s="11">
        <f t="shared" si="0"/>
        <v>0</v>
      </c>
      <c r="AC29" s="14"/>
    </row>
    <row r="30" spans="1:29" x14ac:dyDescent="0.25">
      <c r="A30" s="87">
        <v>27</v>
      </c>
      <c r="B30" s="86">
        <v>31</v>
      </c>
      <c r="C30" s="97">
        <v>43404</v>
      </c>
      <c r="D30" s="15">
        <v>2394107.73</v>
      </c>
      <c r="E30" s="15">
        <v>28304</v>
      </c>
      <c r="F30" s="15">
        <v>19113.510000000002</v>
      </c>
      <c r="G30" s="15">
        <v>19113.510000000002</v>
      </c>
      <c r="H30" s="15">
        <v>9190.489999999998</v>
      </c>
      <c r="I30" s="15">
        <v>2384917.2400000002</v>
      </c>
      <c r="J30" s="15">
        <v>0</v>
      </c>
      <c r="K30" s="15">
        <v>0</v>
      </c>
      <c r="L30" s="15">
        <v>0</v>
      </c>
      <c r="M30" s="15">
        <v>0</v>
      </c>
      <c r="N30" s="88">
        <v>0</v>
      </c>
      <c r="Z30" s="11">
        <f t="shared" si="0"/>
        <v>0</v>
      </c>
      <c r="AC30" s="14"/>
    </row>
    <row r="31" spans="1:29" x14ac:dyDescent="0.25">
      <c r="A31" s="87">
        <v>28</v>
      </c>
      <c r="B31" s="86">
        <v>30</v>
      </c>
      <c r="C31" s="97">
        <v>43434</v>
      </c>
      <c r="D31" s="15">
        <v>2384917.2400000002</v>
      </c>
      <c r="E31" s="15">
        <v>28304</v>
      </c>
      <c r="F31" s="15">
        <v>18425.939999999999</v>
      </c>
      <c r="G31" s="15">
        <v>18425.939999999999</v>
      </c>
      <c r="H31" s="15">
        <v>9878.0600000000013</v>
      </c>
      <c r="I31" s="15">
        <v>2375039.1800000002</v>
      </c>
      <c r="J31" s="15">
        <v>0</v>
      </c>
      <c r="K31" s="15">
        <v>0</v>
      </c>
      <c r="L31" s="15">
        <v>0</v>
      </c>
      <c r="M31" s="15">
        <v>0</v>
      </c>
      <c r="N31" s="88">
        <v>0</v>
      </c>
      <c r="Z31" s="11">
        <f t="shared" si="0"/>
        <v>0</v>
      </c>
      <c r="AC31" s="14"/>
    </row>
    <row r="32" spans="1:29" x14ac:dyDescent="0.25">
      <c r="A32" s="87">
        <v>29</v>
      </c>
      <c r="B32" s="86">
        <v>31</v>
      </c>
      <c r="C32" s="97">
        <v>43465</v>
      </c>
      <c r="D32" s="15">
        <v>2375039.1800000002</v>
      </c>
      <c r="E32" s="15">
        <v>28304</v>
      </c>
      <c r="F32" s="15">
        <v>18961.27</v>
      </c>
      <c r="G32" s="15">
        <v>18961.27</v>
      </c>
      <c r="H32" s="15">
        <v>9342.73</v>
      </c>
      <c r="I32" s="15">
        <v>2365696.4500000002</v>
      </c>
      <c r="J32" s="15">
        <v>0</v>
      </c>
      <c r="K32" s="15">
        <v>0</v>
      </c>
      <c r="L32" s="15">
        <v>0</v>
      </c>
      <c r="M32" s="15">
        <v>0</v>
      </c>
      <c r="N32" s="88">
        <v>0</v>
      </c>
      <c r="Z32" s="11">
        <f t="shared" si="0"/>
        <v>0</v>
      </c>
      <c r="AC32" s="14"/>
    </row>
    <row r="33" spans="1:29" x14ac:dyDescent="0.25">
      <c r="A33" s="87">
        <v>30</v>
      </c>
      <c r="B33" s="86">
        <v>31</v>
      </c>
      <c r="C33" s="97">
        <v>43496</v>
      </c>
      <c r="D33" s="15">
        <v>2365696.4500000002</v>
      </c>
      <c r="E33" s="15">
        <v>28304</v>
      </c>
      <c r="F33" s="15">
        <v>18886.68</v>
      </c>
      <c r="G33" s="15">
        <v>18886.68</v>
      </c>
      <c r="H33" s="15">
        <v>9417.32</v>
      </c>
      <c r="I33" s="15">
        <v>2356279.13</v>
      </c>
      <c r="J33" s="15">
        <v>0</v>
      </c>
      <c r="K33" s="15">
        <v>0</v>
      </c>
      <c r="L33" s="15">
        <v>0</v>
      </c>
      <c r="M33" s="15">
        <v>0</v>
      </c>
      <c r="N33" s="88">
        <v>0</v>
      </c>
      <c r="Z33" s="11">
        <f t="shared" si="0"/>
        <v>0</v>
      </c>
      <c r="AC33" s="14"/>
    </row>
    <row r="34" spans="1:29" x14ac:dyDescent="0.25">
      <c r="A34" s="87">
        <v>31</v>
      </c>
      <c r="B34" s="86">
        <v>28</v>
      </c>
      <c r="C34" s="97">
        <v>43524</v>
      </c>
      <c r="D34" s="15">
        <v>2356279.13</v>
      </c>
      <c r="E34" s="15">
        <v>28304</v>
      </c>
      <c r="F34" s="15">
        <v>16991.03</v>
      </c>
      <c r="G34" s="15">
        <v>16991.03</v>
      </c>
      <c r="H34" s="15">
        <v>11312.970000000001</v>
      </c>
      <c r="I34" s="15">
        <v>2344966.16</v>
      </c>
      <c r="J34" s="15">
        <v>0</v>
      </c>
      <c r="K34" s="15">
        <v>0</v>
      </c>
      <c r="L34" s="15">
        <v>0</v>
      </c>
      <c r="M34" s="15">
        <v>0</v>
      </c>
      <c r="N34" s="88">
        <v>0</v>
      </c>
      <c r="Z34" s="11">
        <f t="shared" si="0"/>
        <v>0</v>
      </c>
      <c r="AC34" s="14"/>
    </row>
    <row r="35" spans="1:29" x14ac:dyDescent="0.25">
      <c r="A35" s="87">
        <v>32</v>
      </c>
      <c r="B35" s="86">
        <v>31</v>
      </c>
      <c r="C35" s="97">
        <v>43555</v>
      </c>
      <c r="D35" s="15">
        <v>2344966.16</v>
      </c>
      <c r="E35" s="15">
        <v>28304</v>
      </c>
      <c r="F35" s="15">
        <v>18721.18</v>
      </c>
      <c r="G35" s="15">
        <v>18721.18</v>
      </c>
      <c r="H35" s="15">
        <v>9582.82</v>
      </c>
      <c r="I35" s="15">
        <v>2335383.34</v>
      </c>
      <c r="J35" s="15">
        <v>0</v>
      </c>
      <c r="K35" s="15">
        <v>0</v>
      </c>
      <c r="L35" s="15">
        <v>0</v>
      </c>
      <c r="M35" s="15">
        <v>0</v>
      </c>
      <c r="N35" s="88">
        <v>0</v>
      </c>
      <c r="Z35" s="11">
        <f t="shared" si="0"/>
        <v>0</v>
      </c>
      <c r="AC35" s="14"/>
    </row>
    <row r="36" spans="1:29" x14ac:dyDescent="0.25">
      <c r="A36" s="87">
        <v>33</v>
      </c>
      <c r="B36" s="86">
        <v>30</v>
      </c>
      <c r="C36" s="97">
        <v>43585</v>
      </c>
      <c r="D36" s="15">
        <v>2335383.34</v>
      </c>
      <c r="E36" s="15">
        <v>28304</v>
      </c>
      <c r="F36" s="15">
        <v>18043.240000000002</v>
      </c>
      <c r="G36" s="15">
        <v>18043.240000000002</v>
      </c>
      <c r="H36" s="15">
        <v>10260.759999999998</v>
      </c>
      <c r="I36" s="15">
        <v>2325122.58</v>
      </c>
      <c r="J36" s="15">
        <v>0</v>
      </c>
      <c r="K36" s="15">
        <v>0</v>
      </c>
      <c r="L36" s="15">
        <v>0</v>
      </c>
      <c r="M36" s="15">
        <v>0</v>
      </c>
      <c r="N36" s="88">
        <v>0</v>
      </c>
      <c r="Z36" s="11">
        <f t="shared" si="0"/>
        <v>0</v>
      </c>
      <c r="AC36" s="14"/>
    </row>
    <row r="37" spans="1:29" x14ac:dyDescent="0.25">
      <c r="A37" s="87">
        <v>34</v>
      </c>
      <c r="B37" s="86">
        <v>31</v>
      </c>
      <c r="C37" s="97">
        <v>43616</v>
      </c>
      <c r="D37" s="15">
        <v>2325122.58</v>
      </c>
      <c r="E37" s="15">
        <v>28304</v>
      </c>
      <c r="F37" s="15">
        <v>18562.760000000002</v>
      </c>
      <c r="G37" s="15">
        <v>18562.760000000002</v>
      </c>
      <c r="H37" s="15">
        <v>9741.239999999998</v>
      </c>
      <c r="I37" s="15">
        <v>2315381.34</v>
      </c>
      <c r="J37" s="15">
        <v>0</v>
      </c>
      <c r="K37" s="15">
        <v>0</v>
      </c>
      <c r="L37" s="15">
        <v>0</v>
      </c>
      <c r="M37" s="15">
        <v>0</v>
      </c>
      <c r="N37" s="88">
        <v>0</v>
      </c>
      <c r="Z37" s="11">
        <f t="shared" si="0"/>
        <v>0</v>
      </c>
      <c r="AC37" s="14"/>
    </row>
    <row r="38" spans="1:29" x14ac:dyDescent="0.25">
      <c r="A38" s="87">
        <v>35</v>
      </c>
      <c r="B38" s="86">
        <v>30</v>
      </c>
      <c r="C38" s="97">
        <v>43646</v>
      </c>
      <c r="D38" s="15">
        <v>2315381.34</v>
      </c>
      <c r="E38" s="15">
        <v>28304</v>
      </c>
      <c r="F38" s="15">
        <v>17888.7</v>
      </c>
      <c r="G38" s="15">
        <v>17888.7</v>
      </c>
      <c r="H38" s="15">
        <v>10415.299999999999</v>
      </c>
      <c r="I38" s="15">
        <v>2304966.04</v>
      </c>
      <c r="J38" s="15">
        <v>0</v>
      </c>
      <c r="K38" s="15">
        <v>0</v>
      </c>
      <c r="L38" s="15">
        <v>0</v>
      </c>
      <c r="M38" s="15">
        <v>0</v>
      </c>
      <c r="N38" s="88">
        <v>0</v>
      </c>
      <c r="Z38" s="11">
        <f t="shared" si="0"/>
        <v>0</v>
      </c>
      <c r="AC38" s="14"/>
    </row>
    <row r="39" spans="1:29" x14ac:dyDescent="0.25">
      <c r="A39" s="87">
        <v>36</v>
      </c>
      <c r="B39" s="86">
        <v>31</v>
      </c>
      <c r="C39" s="97">
        <v>43677</v>
      </c>
      <c r="D39" s="15">
        <v>2304966.04</v>
      </c>
      <c r="E39" s="15">
        <v>28304</v>
      </c>
      <c r="F39" s="15">
        <v>18401.84</v>
      </c>
      <c r="G39" s="15">
        <v>18401.84</v>
      </c>
      <c r="H39" s="15">
        <v>9902.16</v>
      </c>
      <c r="I39" s="15">
        <v>2295063.88</v>
      </c>
      <c r="J39" s="15">
        <v>0</v>
      </c>
      <c r="K39" s="15">
        <v>0</v>
      </c>
      <c r="L39" s="15">
        <v>0</v>
      </c>
      <c r="M39" s="15">
        <v>0</v>
      </c>
      <c r="N39" s="88">
        <v>0</v>
      </c>
      <c r="Z39" s="11">
        <f t="shared" si="0"/>
        <v>0</v>
      </c>
      <c r="AC39" s="14"/>
    </row>
    <row r="40" spans="1:29" x14ac:dyDescent="0.25">
      <c r="A40" s="87">
        <v>37</v>
      </c>
      <c r="B40" s="86">
        <v>31</v>
      </c>
      <c r="C40" s="97">
        <v>43708</v>
      </c>
      <c r="D40" s="15">
        <v>2295063.88</v>
      </c>
      <c r="E40" s="15">
        <v>28304</v>
      </c>
      <c r="F40" s="15">
        <v>18322.78</v>
      </c>
      <c r="G40" s="15">
        <v>18322.78</v>
      </c>
      <c r="H40" s="15">
        <v>9981.2200000000012</v>
      </c>
      <c r="I40" s="15">
        <v>2285082.66</v>
      </c>
      <c r="J40" s="15">
        <v>0</v>
      </c>
      <c r="K40" s="15">
        <v>0</v>
      </c>
      <c r="L40" s="15">
        <v>0</v>
      </c>
      <c r="M40" s="15">
        <v>0</v>
      </c>
      <c r="N40" s="88">
        <v>0</v>
      </c>
      <c r="Z40" s="11">
        <f t="shared" si="0"/>
        <v>0</v>
      </c>
      <c r="AC40" s="14"/>
    </row>
    <row r="41" spans="1:29" x14ac:dyDescent="0.25">
      <c r="A41" s="87">
        <v>38</v>
      </c>
      <c r="B41" s="86">
        <v>30</v>
      </c>
      <c r="C41" s="97">
        <v>43738</v>
      </c>
      <c r="D41" s="15">
        <v>2285082.66</v>
      </c>
      <c r="E41" s="15">
        <v>28304</v>
      </c>
      <c r="F41" s="15">
        <v>17654.61</v>
      </c>
      <c r="G41" s="15">
        <v>17654.61</v>
      </c>
      <c r="H41" s="15">
        <v>10649.39</v>
      </c>
      <c r="I41" s="15">
        <v>2274433.27</v>
      </c>
      <c r="J41" s="15">
        <v>0</v>
      </c>
      <c r="K41" s="15">
        <v>0</v>
      </c>
      <c r="L41" s="15">
        <v>0</v>
      </c>
      <c r="M41" s="15">
        <v>0</v>
      </c>
      <c r="N41" s="88">
        <v>0</v>
      </c>
      <c r="Z41" s="11">
        <f t="shared" si="0"/>
        <v>0</v>
      </c>
      <c r="AC41" s="14"/>
    </row>
    <row r="42" spans="1:29" x14ac:dyDescent="0.25">
      <c r="A42" s="87">
        <v>39</v>
      </c>
      <c r="B42" s="86">
        <v>31</v>
      </c>
      <c r="C42" s="97">
        <v>43769</v>
      </c>
      <c r="D42" s="15">
        <v>2274433.27</v>
      </c>
      <c r="E42" s="15">
        <v>28304</v>
      </c>
      <c r="F42" s="15">
        <v>18158.080000000002</v>
      </c>
      <c r="G42" s="15">
        <v>18158.080000000002</v>
      </c>
      <c r="H42" s="15">
        <v>10145.919999999998</v>
      </c>
      <c r="I42" s="15">
        <v>2264287.35</v>
      </c>
      <c r="J42" s="15">
        <v>0</v>
      </c>
      <c r="K42" s="15">
        <v>0</v>
      </c>
      <c r="L42" s="15">
        <v>0</v>
      </c>
      <c r="M42" s="15">
        <v>0</v>
      </c>
      <c r="N42" s="88">
        <v>0</v>
      </c>
      <c r="Z42" s="11">
        <f t="shared" si="0"/>
        <v>0</v>
      </c>
      <c r="AC42" s="14"/>
    </row>
    <row r="43" spans="1:29" x14ac:dyDescent="0.25">
      <c r="A43" s="87">
        <v>40</v>
      </c>
      <c r="B43" s="86">
        <v>30</v>
      </c>
      <c r="C43" s="97">
        <v>43799</v>
      </c>
      <c r="D43" s="15">
        <v>2264287.35</v>
      </c>
      <c r="E43" s="15">
        <v>28304</v>
      </c>
      <c r="F43" s="15">
        <v>17493.95</v>
      </c>
      <c r="G43" s="15">
        <v>17493.95</v>
      </c>
      <c r="H43" s="15">
        <v>10810.05</v>
      </c>
      <c r="I43" s="15">
        <v>2253477.3000000003</v>
      </c>
      <c r="J43" s="15">
        <v>0</v>
      </c>
      <c r="K43" s="15">
        <v>0</v>
      </c>
      <c r="L43" s="15">
        <v>0</v>
      </c>
      <c r="M43" s="15">
        <v>0</v>
      </c>
      <c r="N43" s="88">
        <v>0</v>
      </c>
      <c r="Z43" s="11">
        <f t="shared" si="0"/>
        <v>0</v>
      </c>
      <c r="AC43" s="14"/>
    </row>
    <row r="44" spans="1:29" x14ac:dyDescent="0.25">
      <c r="A44" s="87">
        <v>41</v>
      </c>
      <c r="B44" s="86">
        <v>31</v>
      </c>
      <c r="C44" s="97">
        <v>43830</v>
      </c>
      <c r="D44" s="15">
        <v>2253477.3000000003</v>
      </c>
      <c r="E44" s="15">
        <v>28304</v>
      </c>
      <c r="F44" s="15">
        <v>17990.77</v>
      </c>
      <c r="G44" s="15">
        <v>17990.77</v>
      </c>
      <c r="H44" s="15">
        <v>10313.23</v>
      </c>
      <c r="I44" s="15">
        <v>2243164.0699999998</v>
      </c>
      <c r="J44" s="15">
        <v>0</v>
      </c>
      <c r="K44" s="15">
        <v>0</v>
      </c>
      <c r="L44" s="15">
        <v>0</v>
      </c>
      <c r="M44" s="15">
        <v>0</v>
      </c>
      <c r="N44" s="88">
        <v>0</v>
      </c>
      <c r="Z44" s="11">
        <f t="shared" si="0"/>
        <v>0</v>
      </c>
      <c r="AC44" s="14"/>
    </row>
    <row r="45" spans="1:29" x14ac:dyDescent="0.25">
      <c r="A45" s="87">
        <v>42</v>
      </c>
      <c r="B45" s="86">
        <v>31</v>
      </c>
      <c r="C45" s="97">
        <v>43861</v>
      </c>
      <c r="D45" s="15">
        <v>2243164.0699999998</v>
      </c>
      <c r="E45" s="15">
        <v>28304</v>
      </c>
      <c r="F45" s="15">
        <v>17859.510000000002</v>
      </c>
      <c r="G45" s="15">
        <v>17859.510000000002</v>
      </c>
      <c r="H45" s="15">
        <v>10444.489999999998</v>
      </c>
      <c r="I45" s="15">
        <v>2232719.58</v>
      </c>
      <c r="J45" s="15">
        <v>0</v>
      </c>
      <c r="K45" s="15">
        <v>0</v>
      </c>
      <c r="L45" s="15">
        <v>0</v>
      </c>
      <c r="M45" s="15">
        <v>0</v>
      </c>
      <c r="N45" s="88">
        <v>0</v>
      </c>
      <c r="Z45" s="11">
        <f t="shared" si="0"/>
        <v>0</v>
      </c>
      <c r="AC45" s="14"/>
    </row>
    <row r="46" spans="1:29" x14ac:dyDescent="0.25">
      <c r="A46" s="87">
        <v>43</v>
      </c>
      <c r="B46" s="86">
        <v>29</v>
      </c>
      <c r="C46" s="97">
        <v>43890</v>
      </c>
      <c r="D46" s="15">
        <v>2232719.58</v>
      </c>
      <c r="E46" s="15">
        <v>28304</v>
      </c>
      <c r="F46" s="15">
        <v>16629.490000000002</v>
      </c>
      <c r="G46" s="15">
        <v>16629.490000000002</v>
      </c>
      <c r="H46" s="15">
        <v>11674.509999999998</v>
      </c>
      <c r="I46" s="15">
        <v>2221045.0699999998</v>
      </c>
      <c r="J46" s="15">
        <v>0</v>
      </c>
      <c r="K46" s="15">
        <v>0</v>
      </c>
      <c r="L46" s="15">
        <v>0</v>
      </c>
      <c r="M46" s="15">
        <v>0</v>
      </c>
      <c r="N46" s="88">
        <v>0</v>
      </c>
      <c r="Z46" s="11">
        <f t="shared" si="0"/>
        <v>0</v>
      </c>
      <c r="AC46" s="14"/>
    </row>
    <row r="47" spans="1:29" x14ac:dyDescent="0.25">
      <c r="A47" s="87">
        <v>44</v>
      </c>
      <c r="B47" s="86">
        <v>31</v>
      </c>
      <c r="C47" s="97">
        <v>43921</v>
      </c>
      <c r="D47" s="15">
        <v>2221045.0699999998</v>
      </c>
      <c r="E47" s="15">
        <v>28304</v>
      </c>
      <c r="F47" s="15">
        <v>17683.400000000001</v>
      </c>
      <c r="G47" s="15">
        <v>17683.400000000001</v>
      </c>
      <c r="H47" s="15">
        <v>10620.599999999999</v>
      </c>
      <c r="I47" s="15">
        <v>2210424.4700000002</v>
      </c>
      <c r="J47" s="15">
        <v>0</v>
      </c>
      <c r="K47" s="15">
        <v>0</v>
      </c>
      <c r="L47" s="15">
        <v>0</v>
      </c>
      <c r="M47" s="15">
        <v>0</v>
      </c>
      <c r="N47" s="88">
        <v>0</v>
      </c>
      <c r="Z47" s="11">
        <f t="shared" si="0"/>
        <v>0</v>
      </c>
      <c r="AC47" s="14"/>
    </row>
    <row r="48" spans="1:29" x14ac:dyDescent="0.25">
      <c r="A48" s="87">
        <v>45</v>
      </c>
      <c r="B48" s="86">
        <v>30</v>
      </c>
      <c r="C48" s="97">
        <v>43951</v>
      </c>
      <c r="D48" s="15">
        <v>2210424.4700000002</v>
      </c>
      <c r="E48" s="15">
        <v>28304</v>
      </c>
      <c r="F48" s="15">
        <v>17031.14</v>
      </c>
      <c r="G48" s="15">
        <v>17031.14</v>
      </c>
      <c r="H48" s="15">
        <v>11272.86</v>
      </c>
      <c r="I48" s="15">
        <v>2199151.61</v>
      </c>
      <c r="J48" s="15">
        <v>0</v>
      </c>
      <c r="K48" s="15">
        <v>0</v>
      </c>
      <c r="L48" s="15">
        <v>0</v>
      </c>
      <c r="M48" s="15">
        <v>0</v>
      </c>
      <c r="N48" s="88">
        <v>0</v>
      </c>
      <c r="Z48" s="11">
        <f t="shared" si="0"/>
        <v>0</v>
      </c>
      <c r="AC48" s="14"/>
    </row>
    <row r="49" spans="1:29" x14ac:dyDescent="0.25">
      <c r="A49" s="87">
        <v>46</v>
      </c>
      <c r="B49" s="86">
        <v>31</v>
      </c>
      <c r="C49" s="97">
        <v>43982</v>
      </c>
      <c r="D49" s="15">
        <v>2199151.61</v>
      </c>
      <c r="E49" s="15">
        <v>28304</v>
      </c>
      <c r="F49" s="15">
        <v>17509.09</v>
      </c>
      <c r="G49" s="15">
        <v>17509.09</v>
      </c>
      <c r="H49" s="15">
        <v>10794.91</v>
      </c>
      <c r="I49" s="15">
        <v>2188356.7000000002</v>
      </c>
      <c r="J49" s="15">
        <v>0</v>
      </c>
      <c r="K49" s="15">
        <v>0</v>
      </c>
      <c r="L49" s="15">
        <v>0</v>
      </c>
      <c r="M49" s="15">
        <v>0</v>
      </c>
      <c r="N49" s="88">
        <v>0</v>
      </c>
      <c r="Z49" s="11">
        <f t="shared" si="0"/>
        <v>0</v>
      </c>
      <c r="AC49" s="14"/>
    </row>
    <row r="50" spans="1:29" x14ac:dyDescent="0.25">
      <c r="A50" s="87">
        <v>47</v>
      </c>
      <c r="B50" s="86">
        <v>30</v>
      </c>
      <c r="C50" s="97">
        <v>44012</v>
      </c>
      <c r="D50" s="15">
        <v>2188356.7000000002</v>
      </c>
      <c r="E50" s="15">
        <v>28304</v>
      </c>
      <c r="F50" s="15">
        <v>16861.11</v>
      </c>
      <c r="G50" s="15">
        <v>16861.11</v>
      </c>
      <c r="H50" s="15">
        <v>11442.89</v>
      </c>
      <c r="I50" s="15">
        <v>2176913.81</v>
      </c>
      <c r="J50" s="15">
        <v>0</v>
      </c>
      <c r="K50" s="15">
        <v>0</v>
      </c>
      <c r="L50" s="15">
        <v>0</v>
      </c>
      <c r="M50" s="15">
        <v>0</v>
      </c>
      <c r="N50" s="88">
        <v>0</v>
      </c>
      <c r="Z50" s="11">
        <f t="shared" si="0"/>
        <v>0</v>
      </c>
      <c r="AC50" s="14"/>
    </row>
    <row r="51" spans="1:29" x14ac:dyDescent="0.25">
      <c r="A51" s="87">
        <v>48</v>
      </c>
      <c r="B51" s="86">
        <v>31</v>
      </c>
      <c r="C51" s="97">
        <v>44043</v>
      </c>
      <c r="D51" s="15">
        <v>2176913.81</v>
      </c>
      <c r="E51" s="15">
        <v>28304</v>
      </c>
      <c r="F51" s="15">
        <v>17332.04</v>
      </c>
      <c r="G51" s="15">
        <v>17332.04</v>
      </c>
      <c r="H51" s="15">
        <v>10971.96</v>
      </c>
      <c r="I51" s="15">
        <v>2165941.85</v>
      </c>
      <c r="J51" s="15">
        <v>0</v>
      </c>
      <c r="K51" s="15">
        <v>0</v>
      </c>
      <c r="L51" s="15">
        <v>0</v>
      </c>
      <c r="M51" s="15">
        <v>0</v>
      </c>
      <c r="N51" s="88">
        <v>0</v>
      </c>
      <c r="Z51" s="11">
        <f t="shared" si="0"/>
        <v>0</v>
      </c>
      <c r="AC51" s="14"/>
    </row>
    <row r="52" spans="1:29" x14ac:dyDescent="0.25">
      <c r="A52" s="87">
        <v>49</v>
      </c>
      <c r="B52" s="86">
        <v>31</v>
      </c>
      <c r="C52" s="97">
        <v>44074</v>
      </c>
      <c r="D52" s="15">
        <v>2165941.85</v>
      </c>
      <c r="E52" s="15">
        <v>28304</v>
      </c>
      <c r="F52" s="15">
        <v>17244.68</v>
      </c>
      <c r="G52" s="15">
        <v>17244.68</v>
      </c>
      <c r="H52" s="15">
        <v>11059.32</v>
      </c>
      <c r="I52" s="15">
        <v>2154882.5300000003</v>
      </c>
      <c r="J52" s="15">
        <v>0</v>
      </c>
      <c r="K52" s="15">
        <v>0</v>
      </c>
      <c r="L52" s="15">
        <v>0</v>
      </c>
      <c r="M52" s="15">
        <v>0</v>
      </c>
      <c r="N52" s="88">
        <v>0</v>
      </c>
      <c r="Z52" s="11">
        <f t="shared" si="0"/>
        <v>0</v>
      </c>
      <c r="AC52" s="14"/>
    </row>
    <row r="53" spans="1:29" x14ac:dyDescent="0.25">
      <c r="A53" s="87">
        <v>50</v>
      </c>
      <c r="B53" s="86">
        <v>30</v>
      </c>
      <c r="C53" s="97">
        <v>44104</v>
      </c>
      <c r="D53" s="15">
        <v>2154882.5300000003</v>
      </c>
      <c r="E53" s="15">
        <v>28304</v>
      </c>
      <c r="F53" s="15">
        <v>16603.189999999999</v>
      </c>
      <c r="G53" s="15">
        <v>16603.189999999999</v>
      </c>
      <c r="H53" s="15">
        <v>11700.810000000001</v>
      </c>
      <c r="I53" s="15">
        <v>2143181.7200000002</v>
      </c>
      <c r="J53" s="15">
        <v>0</v>
      </c>
      <c r="K53" s="15">
        <v>0</v>
      </c>
      <c r="L53" s="15">
        <v>0</v>
      </c>
      <c r="M53" s="15">
        <v>0</v>
      </c>
      <c r="N53" s="88">
        <v>0</v>
      </c>
      <c r="Z53" s="11">
        <f t="shared" si="0"/>
        <v>0</v>
      </c>
      <c r="AC53" s="14"/>
    </row>
    <row r="54" spans="1:29" x14ac:dyDescent="0.25">
      <c r="A54" s="87">
        <v>51</v>
      </c>
      <c r="B54" s="86">
        <v>31</v>
      </c>
      <c r="C54" s="97">
        <v>44135</v>
      </c>
      <c r="D54" s="15">
        <v>2143181.7200000002</v>
      </c>
      <c r="E54" s="15">
        <v>28304</v>
      </c>
      <c r="F54" s="15">
        <v>17063.47</v>
      </c>
      <c r="G54" s="15">
        <v>17063.47</v>
      </c>
      <c r="H54" s="15">
        <v>11240.529999999999</v>
      </c>
      <c r="I54" s="15">
        <v>2131941.19</v>
      </c>
      <c r="J54" s="15">
        <v>0</v>
      </c>
      <c r="K54" s="15">
        <v>0</v>
      </c>
      <c r="L54" s="15">
        <v>0</v>
      </c>
      <c r="M54" s="15">
        <v>0</v>
      </c>
      <c r="N54" s="88">
        <v>0</v>
      </c>
      <c r="Z54" s="11">
        <f t="shared" si="0"/>
        <v>0</v>
      </c>
      <c r="AC54" s="14"/>
    </row>
    <row r="55" spans="1:29" x14ac:dyDescent="0.25">
      <c r="A55" s="87">
        <v>52</v>
      </c>
      <c r="B55" s="86">
        <v>30</v>
      </c>
      <c r="C55" s="97">
        <v>44165</v>
      </c>
      <c r="D55" s="15">
        <v>2131941.19</v>
      </c>
      <c r="E55" s="15">
        <v>28304</v>
      </c>
      <c r="F55" s="15">
        <v>16426.43</v>
      </c>
      <c r="G55" s="15">
        <v>16426.43</v>
      </c>
      <c r="H55" s="15">
        <v>11877.57</v>
      </c>
      <c r="I55" s="15">
        <v>2120063.62</v>
      </c>
      <c r="J55" s="15">
        <v>0</v>
      </c>
      <c r="K55" s="15">
        <v>0</v>
      </c>
      <c r="L55" s="15">
        <v>0</v>
      </c>
      <c r="M55" s="15">
        <v>0</v>
      </c>
      <c r="N55" s="88">
        <v>0</v>
      </c>
      <c r="Z55" s="11">
        <f t="shared" si="0"/>
        <v>0</v>
      </c>
      <c r="AC55" s="14"/>
    </row>
    <row r="56" spans="1:29" x14ac:dyDescent="0.25">
      <c r="A56" s="87">
        <v>53</v>
      </c>
      <c r="B56" s="86">
        <v>31</v>
      </c>
      <c r="C56" s="97">
        <v>44196</v>
      </c>
      <c r="D56" s="15">
        <v>2120063.62</v>
      </c>
      <c r="E56" s="15">
        <v>28304</v>
      </c>
      <c r="F56" s="15">
        <v>16879.41</v>
      </c>
      <c r="G56" s="15">
        <v>16879.41</v>
      </c>
      <c r="H56" s="15">
        <v>11424.59</v>
      </c>
      <c r="I56" s="15">
        <v>2108639.0300000003</v>
      </c>
      <c r="J56" s="15">
        <v>0</v>
      </c>
      <c r="K56" s="15">
        <v>0</v>
      </c>
      <c r="L56" s="15">
        <v>0</v>
      </c>
      <c r="M56" s="15">
        <v>0</v>
      </c>
      <c r="N56" s="88">
        <v>0</v>
      </c>
      <c r="Z56" s="11">
        <f t="shared" si="0"/>
        <v>0</v>
      </c>
      <c r="AC56" s="14"/>
    </row>
    <row r="57" spans="1:29" x14ac:dyDescent="0.25">
      <c r="A57" s="87">
        <v>54</v>
      </c>
      <c r="B57" s="86">
        <v>31</v>
      </c>
      <c r="C57" s="97">
        <v>44227</v>
      </c>
      <c r="D57" s="15">
        <v>2108639.0300000003</v>
      </c>
      <c r="E57" s="15">
        <v>28304</v>
      </c>
      <c r="F57" s="15">
        <v>16834.45</v>
      </c>
      <c r="G57" s="15">
        <v>16834.45</v>
      </c>
      <c r="H57" s="15">
        <v>11469.55</v>
      </c>
      <c r="I57" s="15">
        <v>2097169.48</v>
      </c>
      <c r="J57" s="15">
        <v>0</v>
      </c>
      <c r="K57" s="15">
        <v>0</v>
      </c>
      <c r="L57" s="15">
        <v>0</v>
      </c>
      <c r="M57" s="15">
        <v>0</v>
      </c>
      <c r="N57" s="88">
        <v>0</v>
      </c>
      <c r="Z57" s="11">
        <f t="shared" si="0"/>
        <v>0</v>
      </c>
      <c r="AC57" s="14"/>
    </row>
    <row r="58" spans="1:29" x14ac:dyDescent="0.25">
      <c r="A58" s="87">
        <v>55</v>
      </c>
      <c r="B58" s="86">
        <v>28</v>
      </c>
      <c r="C58" s="97">
        <v>44255</v>
      </c>
      <c r="D58" s="15">
        <v>2097169.48</v>
      </c>
      <c r="E58" s="15">
        <v>28304</v>
      </c>
      <c r="F58" s="15">
        <v>15122.6</v>
      </c>
      <c r="G58" s="15">
        <v>15122.6</v>
      </c>
      <c r="H58" s="15">
        <v>13181.4</v>
      </c>
      <c r="I58" s="15">
        <v>2083988.08</v>
      </c>
      <c r="J58" s="15">
        <v>0</v>
      </c>
      <c r="K58" s="15">
        <v>0</v>
      </c>
      <c r="L58" s="15">
        <v>0</v>
      </c>
      <c r="M58" s="15">
        <v>0</v>
      </c>
      <c r="N58" s="88">
        <v>0</v>
      </c>
      <c r="Z58" s="11">
        <f t="shared" si="0"/>
        <v>0</v>
      </c>
      <c r="AC58" s="14"/>
    </row>
    <row r="59" spans="1:29" x14ac:dyDescent="0.25">
      <c r="A59" s="87">
        <v>56</v>
      </c>
      <c r="B59" s="86">
        <v>31</v>
      </c>
      <c r="C59" s="97">
        <v>44286</v>
      </c>
      <c r="D59" s="15">
        <v>2083988.08</v>
      </c>
      <c r="E59" s="15">
        <v>28304</v>
      </c>
      <c r="F59" s="15">
        <v>16637.650000000001</v>
      </c>
      <c r="G59" s="15">
        <v>16637.650000000001</v>
      </c>
      <c r="H59" s="15">
        <v>11666.349999999999</v>
      </c>
      <c r="I59" s="15">
        <v>2072321.73</v>
      </c>
      <c r="J59" s="15">
        <v>0</v>
      </c>
      <c r="K59" s="15">
        <v>0</v>
      </c>
      <c r="L59" s="15">
        <v>0</v>
      </c>
      <c r="M59" s="15">
        <v>0</v>
      </c>
      <c r="N59" s="88">
        <v>0</v>
      </c>
      <c r="Z59" s="11">
        <f t="shared" si="0"/>
        <v>0</v>
      </c>
      <c r="AC59" s="14"/>
    </row>
    <row r="60" spans="1:29" x14ac:dyDescent="0.25">
      <c r="A60" s="87">
        <v>57</v>
      </c>
      <c r="B60" s="86">
        <v>30</v>
      </c>
      <c r="C60" s="97">
        <v>44316</v>
      </c>
      <c r="D60" s="15">
        <v>2072321.73</v>
      </c>
      <c r="E60" s="15">
        <v>28304</v>
      </c>
      <c r="F60" s="15">
        <v>16010.81</v>
      </c>
      <c r="G60" s="15">
        <v>16010.81</v>
      </c>
      <c r="H60" s="15">
        <v>12293.19</v>
      </c>
      <c r="I60" s="15">
        <v>2060028.54</v>
      </c>
      <c r="J60" s="15">
        <v>0</v>
      </c>
      <c r="K60" s="15">
        <v>0</v>
      </c>
      <c r="L60" s="15">
        <v>0</v>
      </c>
      <c r="M60" s="15">
        <v>0</v>
      </c>
      <c r="N60" s="88">
        <v>0</v>
      </c>
      <c r="Z60" s="11">
        <f t="shared" si="0"/>
        <v>0</v>
      </c>
      <c r="AC60" s="14"/>
    </row>
    <row r="61" spans="1:29" x14ac:dyDescent="0.25">
      <c r="A61" s="87">
        <v>58</v>
      </c>
      <c r="B61" s="86">
        <v>31</v>
      </c>
      <c r="C61" s="97">
        <v>44347</v>
      </c>
      <c r="D61" s="15">
        <v>2060028.54</v>
      </c>
      <c r="E61" s="15">
        <v>28304</v>
      </c>
      <c r="F61" s="15">
        <v>16446.36</v>
      </c>
      <c r="G61" s="15">
        <v>16446.36</v>
      </c>
      <c r="H61" s="15">
        <v>11857.64</v>
      </c>
      <c r="I61" s="15">
        <v>2048170.9000000001</v>
      </c>
      <c r="J61" s="15">
        <v>0</v>
      </c>
      <c r="K61" s="15">
        <v>0</v>
      </c>
      <c r="L61" s="15">
        <v>0</v>
      </c>
      <c r="M61" s="15">
        <v>0</v>
      </c>
      <c r="N61" s="88">
        <v>0</v>
      </c>
      <c r="Z61" s="11">
        <f t="shared" si="0"/>
        <v>0</v>
      </c>
      <c r="AC61" s="14"/>
    </row>
    <row r="62" spans="1:29" x14ac:dyDescent="0.25">
      <c r="A62" s="87">
        <v>59</v>
      </c>
      <c r="B62" s="86">
        <v>30</v>
      </c>
      <c r="C62" s="97">
        <v>44377</v>
      </c>
      <c r="D62" s="15">
        <v>2048170.9000000001</v>
      </c>
      <c r="E62" s="15">
        <v>28304</v>
      </c>
      <c r="F62" s="15">
        <v>15824.220000000001</v>
      </c>
      <c r="G62" s="15">
        <v>15824.220000000001</v>
      </c>
      <c r="H62" s="15">
        <v>12479.779999999999</v>
      </c>
      <c r="I62" s="15">
        <v>2035691.12</v>
      </c>
      <c r="J62" s="15">
        <v>0</v>
      </c>
      <c r="K62" s="15">
        <v>0</v>
      </c>
      <c r="L62" s="15">
        <v>0</v>
      </c>
      <c r="M62" s="15">
        <v>0</v>
      </c>
      <c r="N62" s="88">
        <v>0</v>
      </c>
      <c r="Z62" s="11">
        <f t="shared" si="0"/>
        <v>0</v>
      </c>
      <c r="AC62" s="14"/>
    </row>
    <row r="63" spans="1:29" x14ac:dyDescent="0.25">
      <c r="A63" s="87">
        <v>60</v>
      </c>
      <c r="B63" s="86">
        <v>31</v>
      </c>
      <c r="C63" s="97">
        <v>44408</v>
      </c>
      <c r="D63" s="15">
        <v>2035691.12</v>
      </c>
      <c r="E63" s="15">
        <v>28304</v>
      </c>
      <c r="F63" s="15">
        <v>16252.07</v>
      </c>
      <c r="G63" s="15">
        <v>16252.07</v>
      </c>
      <c r="H63" s="15">
        <v>12051.93</v>
      </c>
      <c r="I63" s="15">
        <v>2023639.19</v>
      </c>
      <c r="J63" s="15">
        <v>0</v>
      </c>
      <c r="K63" s="15">
        <v>0</v>
      </c>
      <c r="L63" s="15">
        <v>0</v>
      </c>
      <c r="M63" s="15">
        <v>0</v>
      </c>
      <c r="N63" s="88">
        <v>0</v>
      </c>
      <c r="Z63" s="11">
        <f t="shared" si="0"/>
        <v>0</v>
      </c>
      <c r="AC63" s="14"/>
    </row>
    <row r="64" spans="1:29" x14ac:dyDescent="0.25">
      <c r="A64" s="87">
        <v>61</v>
      </c>
      <c r="B64" s="86">
        <v>31</v>
      </c>
      <c r="C64" s="97">
        <v>44439</v>
      </c>
      <c r="D64" s="15">
        <v>2023639.19</v>
      </c>
      <c r="E64" s="15">
        <v>28304</v>
      </c>
      <c r="F64" s="15">
        <v>16155.85</v>
      </c>
      <c r="G64" s="15">
        <v>16155.85</v>
      </c>
      <c r="H64" s="15">
        <v>12148.15</v>
      </c>
      <c r="I64" s="15">
        <v>2011491.04</v>
      </c>
      <c r="J64" s="15">
        <v>0</v>
      </c>
      <c r="K64" s="15">
        <v>0</v>
      </c>
      <c r="L64" s="15">
        <v>0</v>
      </c>
      <c r="M64" s="15">
        <v>0</v>
      </c>
      <c r="N64" s="88">
        <v>0</v>
      </c>
      <c r="Z64" s="11">
        <f t="shared" si="0"/>
        <v>0</v>
      </c>
      <c r="AC64" s="14"/>
    </row>
    <row r="65" spans="1:29" x14ac:dyDescent="0.25">
      <c r="A65" s="87">
        <v>62</v>
      </c>
      <c r="B65" s="86">
        <v>30</v>
      </c>
      <c r="C65" s="97">
        <v>44469</v>
      </c>
      <c r="D65" s="15">
        <v>2011491.04</v>
      </c>
      <c r="E65" s="15">
        <v>28304</v>
      </c>
      <c r="F65" s="15">
        <v>15540.83</v>
      </c>
      <c r="G65" s="15">
        <v>15540.83</v>
      </c>
      <c r="H65" s="15">
        <v>12763.17</v>
      </c>
      <c r="I65" s="15">
        <v>1998727.87</v>
      </c>
      <c r="J65" s="15">
        <v>0</v>
      </c>
      <c r="K65" s="15">
        <v>0</v>
      </c>
      <c r="L65" s="15">
        <v>0</v>
      </c>
      <c r="M65" s="15">
        <v>0</v>
      </c>
      <c r="N65" s="88">
        <v>0</v>
      </c>
      <c r="Z65" s="11">
        <f t="shared" si="0"/>
        <v>0</v>
      </c>
      <c r="AC65" s="14"/>
    </row>
    <row r="66" spans="1:29" x14ac:dyDescent="0.25">
      <c r="A66" s="87">
        <v>63</v>
      </c>
      <c r="B66" s="86">
        <v>31</v>
      </c>
      <c r="C66" s="97">
        <v>44500</v>
      </c>
      <c r="D66" s="15">
        <v>1998727.87</v>
      </c>
      <c r="E66" s="15">
        <v>28304</v>
      </c>
      <c r="F66" s="15">
        <v>15956.970000000001</v>
      </c>
      <c r="G66" s="15">
        <v>15956.970000000001</v>
      </c>
      <c r="H66" s="15">
        <v>12347.029999999999</v>
      </c>
      <c r="I66" s="15">
        <v>1986380.84</v>
      </c>
      <c r="J66" s="15">
        <v>0</v>
      </c>
      <c r="K66" s="15">
        <v>0</v>
      </c>
      <c r="L66" s="15">
        <v>0</v>
      </c>
      <c r="M66" s="15">
        <v>0</v>
      </c>
      <c r="N66" s="88">
        <v>0</v>
      </c>
      <c r="Z66" s="11">
        <f t="shared" si="0"/>
        <v>0</v>
      </c>
      <c r="AC66" s="14"/>
    </row>
    <row r="67" spans="1:29" x14ac:dyDescent="0.25">
      <c r="A67" s="87">
        <v>64</v>
      </c>
      <c r="B67" s="86">
        <v>30</v>
      </c>
      <c r="C67" s="97">
        <v>44530</v>
      </c>
      <c r="D67" s="15">
        <v>1986380.84</v>
      </c>
      <c r="E67" s="15">
        <v>28304</v>
      </c>
      <c r="F67" s="15">
        <v>15346.83</v>
      </c>
      <c r="G67" s="15">
        <v>15346.83</v>
      </c>
      <c r="H67" s="15">
        <v>12957.17</v>
      </c>
      <c r="I67" s="15">
        <v>1973423.67</v>
      </c>
      <c r="J67" s="15">
        <v>0</v>
      </c>
      <c r="K67" s="15">
        <v>0</v>
      </c>
      <c r="L67" s="15">
        <v>0</v>
      </c>
      <c r="M67" s="15">
        <v>0</v>
      </c>
      <c r="N67" s="88">
        <v>0</v>
      </c>
      <c r="Z67" s="11">
        <f t="shared" si="0"/>
        <v>0</v>
      </c>
      <c r="AC67" s="14"/>
    </row>
    <row r="68" spans="1:29" x14ac:dyDescent="0.25">
      <c r="A68" s="87">
        <v>65</v>
      </c>
      <c r="B68" s="86">
        <v>31</v>
      </c>
      <c r="C68" s="97">
        <v>44561</v>
      </c>
      <c r="D68" s="15">
        <v>1973423.67</v>
      </c>
      <c r="E68" s="15">
        <v>28304</v>
      </c>
      <c r="F68" s="15">
        <v>15754.95</v>
      </c>
      <c r="G68" s="15">
        <v>15754.95</v>
      </c>
      <c r="H68" s="15">
        <v>12549.05</v>
      </c>
      <c r="I68" s="15">
        <v>1960874.62</v>
      </c>
      <c r="J68" s="15">
        <v>0</v>
      </c>
      <c r="K68" s="15">
        <v>0</v>
      </c>
      <c r="L68" s="15">
        <v>0</v>
      </c>
      <c r="M68" s="15">
        <v>0</v>
      </c>
      <c r="N68" s="88">
        <v>0</v>
      </c>
      <c r="Z68" s="11">
        <f t="shared" ref="Z68:Z131" si="1">IF(M68&gt;0,0,-M68)</f>
        <v>0</v>
      </c>
      <c r="AC68" s="14"/>
    </row>
    <row r="69" spans="1:29" x14ac:dyDescent="0.25">
      <c r="A69" s="87">
        <v>66</v>
      </c>
      <c r="B69" s="86">
        <v>31</v>
      </c>
      <c r="C69" s="97">
        <v>44592</v>
      </c>
      <c r="D69" s="15">
        <v>1960874.62</v>
      </c>
      <c r="E69" s="15">
        <v>28304</v>
      </c>
      <c r="F69" s="15">
        <v>15654.76</v>
      </c>
      <c r="G69" s="15">
        <v>15654.76</v>
      </c>
      <c r="H69" s="15">
        <v>12649.24</v>
      </c>
      <c r="I69" s="15">
        <v>1948225.3800000001</v>
      </c>
      <c r="J69" s="15">
        <v>0</v>
      </c>
      <c r="K69" s="15">
        <v>0</v>
      </c>
      <c r="L69" s="15">
        <v>0</v>
      </c>
      <c r="M69" s="15">
        <v>0</v>
      </c>
      <c r="N69" s="88">
        <v>0</v>
      </c>
      <c r="Z69" s="11">
        <f t="shared" si="1"/>
        <v>0</v>
      </c>
      <c r="AC69" s="14"/>
    </row>
    <row r="70" spans="1:29" x14ac:dyDescent="0.25">
      <c r="A70" s="87">
        <v>67</v>
      </c>
      <c r="B70" s="86">
        <v>28</v>
      </c>
      <c r="C70" s="97">
        <v>44620</v>
      </c>
      <c r="D70" s="15">
        <v>1948225.3800000001</v>
      </c>
      <c r="E70" s="15">
        <v>28304</v>
      </c>
      <c r="F70" s="15">
        <v>14048.57</v>
      </c>
      <c r="G70" s="15">
        <v>14048.57</v>
      </c>
      <c r="H70" s="15">
        <v>14255.43</v>
      </c>
      <c r="I70" s="15">
        <v>1933969.95</v>
      </c>
      <c r="J70" s="15">
        <v>0</v>
      </c>
      <c r="K70" s="15">
        <v>0</v>
      </c>
      <c r="L70" s="15">
        <v>0</v>
      </c>
      <c r="M70" s="15">
        <v>0</v>
      </c>
      <c r="N70" s="88">
        <v>0</v>
      </c>
      <c r="Z70" s="11">
        <f t="shared" si="1"/>
        <v>0</v>
      </c>
      <c r="AC70" s="14"/>
    </row>
    <row r="71" spans="1:29" x14ac:dyDescent="0.25">
      <c r="A71" s="87">
        <v>68</v>
      </c>
      <c r="B71" s="86">
        <v>31</v>
      </c>
      <c r="C71" s="97">
        <v>44651</v>
      </c>
      <c r="D71" s="15">
        <v>1933969.95</v>
      </c>
      <c r="E71" s="15">
        <v>28304</v>
      </c>
      <c r="F71" s="15">
        <v>15439.970000000001</v>
      </c>
      <c r="G71" s="15">
        <v>15439.970000000001</v>
      </c>
      <c r="H71" s="15">
        <v>12864.029999999999</v>
      </c>
      <c r="I71" s="15">
        <v>1921105.9199999999</v>
      </c>
      <c r="J71" s="15">
        <v>0</v>
      </c>
      <c r="K71" s="15">
        <v>0</v>
      </c>
      <c r="L71" s="15">
        <v>0</v>
      </c>
      <c r="M71" s="15">
        <v>0</v>
      </c>
      <c r="N71" s="88">
        <v>0</v>
      </c>
      <c r="Z71" s="11">
        <f t="shared" si="1"/>
        <v>0</v>
      </c>
      <c r="AC71" s="14"/>
    </row>
    <row r="72" spans="1:29" x14ac:dyDescent="0.25">
      <c r="A72" s="87">
        <v>69</v>
      </c>
      <c r="B72" s="86">
        <v>30</v>
      </c>
      <c r="C72" s="97">
        <v>44681</v>
      </c>
      <c r="D72" s="15">
        <v>1921105.9199999999</v>
      </c>
      <c r="E72" s="15">
        <v>28304</v>
      </c>
      <c r="F72" s="15">
        <v>14842.52</v>
      </c>
      <c r="G72" s="15">
        <v>14842.52</v>
      </c>
      <c r="H72" s="15">
        <v>13461.48</v>
      </c>
      <c r="I72" s="15">
        <v>1907644.44</v>
      </c>
      <c r="J72" s="15">
        <v>0</v>
      </c>
      <c r="K72" s="15">
        <v>0</v>
      </c>
      <c r="L72" s="15">
        <v>0</v>
      </c>
      <c r="M72" s="15">
        <v>0</v>
      </c>
      <c r="N72" s="88">
        <v>0</v>
      </c>
      <c r="Z72" s="11">
        <f t="shared" si="1"/>
        <v>0</v>
      </c>
      <c r="AC72" s="14"/>
    </row>
    <row r="73" spans="1:29" x14ac:dyDescent="0.25">
      <c r="A73" s="87">
        <v>70</v>
      </c>
      <c r="B73" s="86">
        <v>31</v>
      </c>
      <c r="C73" s="97">
        <v>44712</v>
      </c>
      <c r="D73" s="15">
        <v>1907644.44</v>
      </c>
      <c r="E73" s="15">
        <v>28304</v>
      </c>
      <c r="F73" s="15">
        <v>15229.800000000001</v>
      </c>
      <c r="G73" s="15">
        <v>15229.800000000001</v>
      </c>
      <c r="H73" s="15">
        <v>13074.199999999999</v>
      </c>
      <c r="I73" s="15">
        <v>1894570.24</v>
      </c>
      <c r="J73" s="15">
        <v>0</v>
      </c>
      <c r="K73" s="15">
        <v>0</v>
      </c>
      <c r="L73" s="15">
        <v>0</v>
      </c>
      <c r="M73" s="15">
        <v>0</v>
      </c>
      <c r="N73" s="88">
        <v>0</v>
      </c>
      <c r="Z73" s="11">
        <f t="shared" si="1"/>
        <v>0</v>
      </c>
      <c r="AC73" s="14"/>
    </row>
    <row r="74" spans="1:29" x14ac:dyDescent="0.25">
      <c r="A74" s="87">
        <v>71</v>
      </c>
      <c r="B74" s="86">
        <v>30</v>
      </c>
      <c r="C74" s="97">
        <v>44742</v>
      </c>
      <c r="D74" s="15">
        <v>1894570.24</v>
      </c>
      <c r="E74" s="15">
        <v>28304</v>
      </c>
      <c r="F74" s="15">
        <v>14637.5</v>
      </c>
      <c r="G74" s="15">
        <v>14637.5</v>
      </c>
      <c r="H74" s="15">
        <v>13666.5</v>
      </c>
      <c r="I74" s="15">
        <v>1880903.74</v>
      </c>
      <c r="J74" s="15">
        <v>0</v>
      </c>
      <c r="K74" s="15">
        <v>0</v>
      </c>
      <c r="L74" s="15">
        <v>0</v>
      </c>
      <c r="M74" s="15">
        <v>0</v>
      </c>
      <c r="N74" s="88">
        <v>0</v>
      </c>
      <c r="Z74" s="11">
        <f t="shared" si="1"/>
        <v>0</v>
      </c>
      <c r="AC74" s="14"/>
    </row>
    <row r="75" spans="1:29" x14ac:dyDescent="0.25">
      <c r="A75" s="87">
        <v>72</v>
      </c>
      <c r="B75" s="86">
        <v>31</v>
      </c>
      <c r="C75" s="97">
        <v>44773</v>
      </c>
      <c r="D75" s="15">
        <v>1880903.74</v>
      </c>
      <c r="E75" s="15">
        <v>28304</v>
      </c>
      <c r="F75" s="15">
        <v>15016.31</v>
      </c>
      <c r="G75" s="15">
        <v>15016.31</v>
      </c>
      <c r="H75" s="15">
        <v>13287.69</v>
      </c>
      <c r="I75" s="15">
        <v>1867616.05</v>
      </c>
      <c r="J75" s="15">
        <v>0</v>
      </c>
      <c r="K75" s="15">
        <v>0</v>
      </c>
      <c r="L75" s="15">
        <v>0</v>
      </c>
      <c r="M75" s="15">
        <v>0</v>
      </c>
      <c r="N75" s="88">
        <v>0</v>
      </c>
      <c r="Z75" s="11">
        <f t="shared" si="1"/>
        <v>0</v>
      </c>
      <c r="AC75" s="14"/>
    </row>
    <row r="76" spans="1:29" x14ac:dyDescent="0.25">
      <c r="A76" s="87">
        <v>73</v>
      </c>
      <c r="B76" s="86">
        <v>31</v>
      </c>
      <c r="C76" s="97">
        <v>44804</v>
      </c>
      <c r="D76" s="15">
        <v>1867616.05</v>
      </c>
      <c r="E76" s="15">
        <v>28304</v>
      </c>
      <c r="F76" s="15">
        <v>14910.23</v>
      </c>
      <c r="G76" s="15">
        <v>14910.23</v>
      </c>
      <c r="H76" s="15">
        <v>13393.77</v>
      </c>
      <c r="I76" s="15">
        <v>1854222.28</v>
      </c>
      <c r="J76" s="15">
        <v>0</v>
      </c>
      <c r="K76" s="15">
        <v>0</v>
      </c>
      <c r="L76" s="15">
        <v>0</v>
      </c>
      <c r="M76" s="15">
        <v>0</v>
      </c>
      <c r="N76" s="88">
        <v>0</v>
      </c>
      <c r="Z76" s="11">
        <f t="shared" si="1"/>
        <v>0</v>
      </c>
      <c r="AC76" s="14"/>
    </row>
    <row r="77" spans="1:29" x14ac:dyDescent="0.25">
      <c r="A77" s="87">
        <v>74</v>
      </c>
      <c r="B77" s="86">
        <v>30</v>
      </c>
      <c r="C77" s="97">
        <v>44834</v>
      </c>
      <c r="D77" s="15">
        <v>1854222.28</v>
      </c>
      <c r="E77" s="15">
        <v>28304</v>
      </c>
      <c r="F77" s="15">
        <v>14325.77</v>
      </c>
      <c r="G77" s="15">
        <v>14325.77</v>
      </c>
      <c r="H77" s="15">
        <v>13978.23</v>
      </c>
      <c r="I77" s="15">
        <v>1840244.05</v>
      </c>
      <c r="J77" s="15">
        <v>0</v>
      </c>
      <c r="K77" s="15">
        <v>0</v>
      </c>
      <c r="L77" s="15">
        <v>0</v>
      </c>
      <c r="M77" s="15">
        <v>0</v>
      </c>
      <c r="N77" s="88">
        <v>0</v>
      </c>
      <c r="Z77" s="11">
        <f t="shared" si="1"/>
        <v>0</v>
      </c>
      <c r="AC77" s="14"/>
    </row>
    <row r="78" spans="1:29" x14ac:dyDescent="0.25">
      <c r="A78" s="87">
        <v>75</v>
      </c>
      <c r="B78" s="86">
        <v>31</v>
      </c>
      <c r="C78" s="97">
        <v>44865</v>
      </c>
      <c r="D78" s="15">
        <v>1840244.05</v>
      </c>
      <c r="E78" s="15">
        <v>28304</v>
      </c>
      <c r="F78" s="15">
        <v>14691.7</v>
      </c>
      <c r="G78" s="15">
        <v>14691.7</v>
      </c>
      <c r="H78" s="15">
        <v>13612.3</v>
      </c>
      <c r="I78" s="15">
        <v>1826631.75</v>
      </c>
      <c r="J78" s="15">
        <v>0</v>
      </c>
      <c r="K78" s="15">
        <v>0</v>
      </c>
      <c r="L78" s="15">
        <v>0</v>
      </c>
      <c r="M78" s="15">
        <v>0</v>
      </c>
      <c r="N78" s="88">
        <v>0</v>
      </c>
      <c r="Z78" s="11">
        <f t="shared" si="1"/>
        <v>0</v>
      </c>
      <c r="AC78" s="14"/>
    </row>
    <row r="79" spans="1:29" x14ac:dyDescent="0.25">
      <c r="A79" s="87">
        <v>76</v>
      </c>
      <c r="B79" s="86">
        <v>30</v>
      </c>
      <c r="C79" s="97">
        <v>44895</v>
      </c>
      <c r="D79" s="15">
        <v>1826631.75</v>
      </c>
      <c r="E79" s="15">
        <v>28304</v>
      </c>
      <c r="F79" s="15">
        <v>14112.61</v>
      </c>
      <c r="G79" s="15">
        <v>14112.61</v>
      </c>
      <c r="H79" s="15">
        <v>14191.39</v>
      </c>
      <c r="I79" s="15">
        <v>1812440.36</v>
      </c>
      <c r="J79" s="15">
        <v>0</v>
      </c>
      <c r="K79" s="15">
        <v>0</v>
      </c>
      <c r="L79" s="15">
        <v>0</v>
      </c>
      <c r="M79" s="15">
        <v>0</v>
      </c>
      <c r="N79" s="88">
        <v>0</v>
      </c>
      <c r="Z79" s="11">
        <f t="shared" si="1"/>
        <v>0</v>
      </c>
      <c r="AC79" s="14"/>
    </row>
    <row r="80" spans="1:29" x14ac:dyDescent="0.25">
      <c r="A80" s="87">
        <v>77</v>
      </c>
      <c r="B80" s="86">
        <v>31</v>
      </c>
      <c r="C80" s="97">
        <v>44926</v>
      </c>
      <c r="D80" s="15">
        <v>1812440.36</v>
      </c>
      <c r="E80" s="15">
        <v>28304</v>
      </c>
      <c r="F80" s="15">
        <v>14469.73</v>
      </c>
      <c r="G80" s="15">
        <v>14469.73</v>
      </c>
      <c r="H80" s="15">
        <v>13834.27</v>
      </c>
      <c r="I80" s="15">
        <v>1798606.09</v>
      </c>
      <c r="J80" s="15">
        <v>0</v>
      </c>
      <c r="K80" s="15">
        <v>0</v>
      </c>
      <c r="L80" s="15">
        <v>0</v>
      </c>
      <c r="M80" s="15">
        <v>0</v>
      </c>
      <c r="N80" s="88">
        <v>0</v>
      </c>
      <c r="Z80" s="11">
        <f t="shared" si="1"/>
        <v>0</v>
      </c>
      <c r="AC80" s="14"/>
    </row>
    <row r="81" spans="1:29" x14ac:dyDescent="0.25">
      <c r="A81" s="87">
        <v>78</v>
      </c>
      <c r="B81" s="86">
        <v>31</v>
      </c>
      <c r="C81" s="97">
        <v>44957</v>
      </c>
      <c r="D81" s="15">
        <v>1798606.09</v>
      </c>
      <c r="E81" s="15">
        <v>28304</v>
      </c>
      <c r="F81" s="15">
        <v>14359.28</v>
      </c>
      <c r="G81" s="15">
        <v>14359.28</v>
      </c>
      <c r="H81" s="15">
        <v>13944.72</v>
      </c>
      <c r="I81" s="15">
        <v>1784661.37</v>
      </c>
      <c r="J81" s="15">
        <v>0</v>
      </c>
      <c r="K81" s="15">
        <v>0</v>
      </c>
      <c r="L81" s="15">
        <v>0</v>
      </c>
      <c r="M81" s="15">
        <v>0</v>
      </c>
      <c r="N81" s="88">
        <v>0</v>
      </c>
      <c r="Z81" s="11">
        <f t="shared" si="1"/>
        <v>0</v>
      </c>
      <c r="AC81" s="14"/>
    </row>
    <row r="82" spans="1:29" x14ac:dyDescent="0.25">
      <c r="A82" s="87">
        <v>79</v>
      </c>
      <c r="B82" s="86">
        <v>28</v>
      </c>
      <c r="C82" s="97">
        <v>44985</v>
      </c>
      <c r="D82" s="15">
        <v>1784661.37</v>
      </c>
      <c r="E82" s="15">
        <v>28304</v>
      </c>
      <c r="F82" s="15">
        <v>12869.12</v>
      </c>
      <c r="G82" s="15">
        <v>12869.12</v>
      </c>
      <c r="H82" s="15">
        <v>15434.88</v>
      </c>
      <c r="I82" s="15">
        <v>1769226.49</v>
      </c>
      <c r="J82" s="15">
        <v>0</v>
      </c>
      <c r="K82" s="15">
        <v>0</v>
      </c>
      <c r="L82" s="15">
        <v>0</v>
      </c>
      <c r="M82" s="15">
        <v>0</v>
      </c>
      <c r="N82" s="88">
        <v>0</v>
      </c>
      <c r="Z82" s="11">
        <f t="shared" si="1"/>
        <v>0</v>
      </c>
      <c r="AC82" s="14"/>
    </row>
    <row r="83" spans="1:29" x14ac:dyDescent="0.25">
      <c r="A83" s="87">
        <v>80</v>
      </c>
      <c r="B83" s="86">
        <v>31</v>
      </c>
      <c r="C83" s="97">
        <v>45016</v>
      </c>
      <c r="D83" s="15">
        <v>1769226.49</v>
      </c>
      <c r="E83" s="15">
        <v>28304</v>
      </c>
      <c r="F83" s="15">
        <v>14124.73</v>
      </c>
      <c r="G83" s="15">
        <v>14124.73</v>
      </c>
      <c r="H83" s="15">
        <v>14179.27</v>
      </c>
      <c r="I83" s="15">
        <v>1755047.22</v>
      </c>
      <c r="J83" s="15">
        <v>0</v>
      </c>
      <c r="K83" s="15">
        <v>0</v>
      </c>
      <c r="L83" s="15">
        <v>0</v>
      </c>
      <c r="M83" s="15">
        <v>0</v>
      </c>
      <c r="N83" s="88">
        <v>0</v>
      </c>
      <c r="Z83" s="11">
        <f t="shared" si="1"/>
        <v>0</v>
      </c>
      <c r="AC83" s="14"/>
    </row>
    <row r="84" spans="1:29" x14ac:dyDescent="0.25">
      <c r="A84" s="87">
        <v>81</v>
      </c>
      <c r="B84" s="86">
        <v>30</v>
      </c>
      <c r="C84" s="97">
        <v>45046</v>
      </c>
      <c r="D84" s="15">
        <v>1755047.22</v>
      </c>
      <c r="E84" s="15">
        <v>28304</v>
      </c>
      <c r="F84" s="15">
        <v>13559.54</v>
      </c>
      <c r="G84" s="15">
        <v>13559.54</v>
      </c>
      <c r="H84" s="15">
        <v>14744.46</v>
      </c>
      <c r="I84" s="15">
        <v>1740302.76</v>
      </c>
      <c r="J84" s="15">
        <v>0</v>
      </c>
      <c r="K84" s="15">
        <v>0</v>
      </c>
      <c r="L84" s="15">
        <v>0</v>
      </c>
      <c r="M84" s="15">
        <v>0</v>
      </c>
      <c r="N84" s="88">
        <v>0</v>
      </c>
      <c r="Z84" s="11">
        <f t="shared" si="1"/>
        <v>0</v>
      </c>
      <c r="AC84" s="14"/>
    </row>
    <row r="85" spans="1:29" x14ac:dyDescent="0.25">
      <c r="A85" s="87">
        <v>82</v>
      </c>
      <c r="B85" s="86">
        <v>31</v>
      </c>
      <c r="C85" s="97">
        <v>45077</v>
      </c>
      <c r="D85" s="15">
        <v>1740302.76</v>
      </c>
      <c r="E85" s="15">
        <v>28304</v>
      </c>
      <c r="F85" s="15">
        <v>13893.81</v>
      </c>
      <c r="G85" s="15">
        <v>13893.81</v>
      </c>
      <c r="H85" s="15">
        <v>14410.19</v>
      </c>
      <c r="I85" s="15">
        <v>1725892.57</v>
      </c>
      <c r="J85" s="15">
        <v>0</v>
      </c>
      <c r="K85" s="15">
        <v>0</v>
      </c>
      <c r="L85" s="15">
        <v>0</v>
      </c>
      <c r="M85" s="15">
        <v>0</v>
      </c>
      <c r="N85" s="88">
        <v>0</v>
      </c>
      <c r="Z85" s="11">
        <f t="shared" si="1"/>
        <v>0</v>
      </c>
      <c r="AC85" s="14"/>
    </row>
    <row r="86" spans="1:29" x14ac:dyDescent="0.25">
      <c r="A86" s="87">
        <v>83</v>
      </c>
      <c r="B86" s="86">
        <v>30</v>
      </c>
      <c r="C86" s="97">
        <v>45107</v>
      </c>
      <c r="D86" s="15">
        <v>1725892.57</v>
      </c>
      <c r="E86" s="15">
        <v>28304</v>
      </c>
      <c r="F86" s="15">
        <v>13334.29</v>
      </c>
      <c r="G86" s="15">
        <v>13334.29</v>
      </c>
      <c r="H86" s="15">
        <v>14969.71</v>
      </c>
      <c r="I86" s="15">
        <v>1710922.86</v>
      </c>
      <c r="J86" s="15">
        <v>0</v>
      </c>
      <c r="K86" s="15">
        <v>0</v>
      </c>
      <c r="L86" s="15">
        <v>0</v>
      </c>
      <c r="M86" s="15">
        <v>0</v>
      </c>
      <c r="N86" s="88">
        <v>0</v>
      </c>
      <c r="Z86" s="11">
        <f t="shared" si="1"/>
        <v>0</v>
      </c>
      <c r="AC86" s="14"/>
    </row>
    <row r="87" spans="1:29" x14ac:dyDescent="0.25">
      <c r="A87" s="87">
        <v>84</v>
      </c>
      <c r="B87" s="86">
        <v>31</v>
      </c>
      <c r="C87" s="97">
        <v>45138</v>
      </c>
      <c r="D87" s="15">
        <v>1710922.86</v>
      </c>
      <c r="E87" s="15">
        <v>28304</v>
      </c>
      <c r="F87" s="15">
        <v>13659.26</v>
      </c>
      <c r="G87" s="15">
        <v>13659.26</v>
      </c>
      <c r="H87" s="15">
        <v>14644.74</v>
      </c>
      <c r="I87" s="15">
        <v>1696278.12</v>
      </c>
      <c r="J87" s="15">
        <v>0</v>
      </c>
      <c r="K87" s="15">
        <v>0</v>
      </c>
      <c r="L87" s="15">
        <v>0</v>
      </c>
      <c r="M87" s="15">
        <v>0</v>
      </c>
      <c r="N87" s="88">
        <v>0</v>
      </c>
      <c r="Z87" s="11">
        <f t="shared" si="1"/>
        <v>0</v>
      </c>
      <c r="AC87" s="14"/>
    </row>
    <row r="88" spans="1:29" x14ac:dyDescent="0.25">
      <c r="A88" s="87">
        <v>85</v>
      </c>
      <c r="B88" s="86">
        <v>31</v>
      </c>
      <c r="C88" s="97">
        <v>45169</v>
      </c>
      <c r="D88" s="15">
        <v>1696278.12</v>
      </c>
      <c r="E88" s="15">
        <v>28304</v>
      </c>
      <c r="F88" s="15">
        <v>13542.34</v>
      </c>
      <c r="G88" s="15">
        <v>13542.34</v>
      </c>
      <c r="H88" s="15">
        <v>14761.66</v>
      </c>
      <c r="I88" s="15">
        <v>1681516.46</v>
      </c>
      <c r="J88" s="15">
        <v>0</v>
      </c>
      <c r="K88" s="15">
        <v>0</v>
      </c>
      <c r="L88" s="15">
        <v>0</v>
      </c>
      <c r="M88" s="15">
        <v>0</v>
      </c>
      <c r="N88" s="88">
        <v>0</v>
      </c>
      <c r="Z88" s="11">
        <f t="shared" si="1"/>
        <v>0</v>
      </c>
      <c r="AC88" s="14"/>
    </row>
    <row r="89" spans="1:29" x14ac:dyDescent="0.25">
      <c r="A89" s="87">
        <v>86</v>
      </c>
      <c r="B89" s="86">
        <v>30</v>
      </c>
      <c r="C89" s="97">
        <v>45199</v>
      </c>
      <c r="D89" s="15">
        <v>1681516.46</v>
      </c>
      <c r="E89" s="15">
        <v>28304</v>
      </c>
      <c r="F89" s="15">
        <v>12991.44</v>
      </c>
      <c r="G89" s="15">
        <v>12991.44</v>
      </c>
      <c r="H89" s="15">
        <v>15312.56</v>
      </c>
      <c r="I89" s="15">
        <v>1666203.9000000001</v>
      </c>
      <c r="J89" s="15">
        <v>0</v>
      </c>
      <c r="K89" s="15">
        <v>0</v>
      </c>
      <c r="L89" s="15">
        <v>0</v>
      </c>
      <c r="M89" s="15">
        <v>0</v>
      </c>
      <c r="N89" s="88">
        <v>0</v>
      </c>
      <c r="Z89" s="11">
        <f t="shared" si="1"/>
        <v>0</v>
      </c>
      <c r="AC89" s="14"/>
    </row>
    <row r="90" spans="1:29" x14ac:dyDescent="0.25">
      <c r="A90" s="87">
        <v>87</v>
      </c>
      <c r="B90" s="86">
        <v>31</v>
      </c>
      <c r="C90" s="97">
        <v>45230</v>
      </c>
      <c r="D90" s="15">
        <v>1666203.9000000001</v>
      </c>
      <c r="E90" s="15">
        <v>28304</v>
      </c>
      <c r="F90" s="15">
        <v>13302.24</v>
      </c>
      <c r="G90" s="15">
        <v>13302.24</v>
      </c>
      <c r="H90" s="15">
        <v>15001.76</v>
      </c>
      <c r="I90" s="15">
        <v>1651202.1400000001</v>
      </c>
      <c r="J90" s="15">
        <v>0</v>
      </c>
      <c r="K90" s="15">
        <v>0</v>
      </c>
      <c r="L90" s="15">
        <v>0</v>
      </c>
      <c r="M90" s="15">
        <v>0</v>
      </c>
      <c r="N90" s="88">
        <v>0</v>
      </c>
      <c r="Z90" s="11">
        <f t="shared" si="1"/>
        <v>0</v>
      </c>
      <c r="AC90" s="14"/>
    </row>
    <row r="91" spans="1:29" x14ac:dyDescent="0.25">
      <c r="A91" s="87">
        <v>88</v>
      </c>
      <c r="B91" s="86">
        <v>30</v>
      </c>
      <c r="C91" s="97">
        <v>45260</v>
      </c>
      <c r="D91" s="15">
        <v>1651202.1400000001</v>
      </c>
      <c r="E91" s="15">
        <v>28304</v>
      </c>
      <c r="F91" s="15">
        <v>12757.23</v>
      </c>
      <c r="G91" s="15">
        <v>12757.23</v>
      </c>
      <c r="H91" s="15">
        <v>15546.77</v>
      </c>
      <c r="I91" s="15">
        <v>1635655.37</v>
      </c>
      <c r="J91" s="15">
        <v>0</v>
      </c>
      <c r="K91" s="15">
        <v>0</v>
      </c>
      <c r="L91" s="15">
        <v>0</v>
      </c>
      <c r="M91" s="15">
        <v>0</v>
      </c>
      <c r="N91" s="88">
        <v>0</v>
      </c>
      <c r="Z91" s="11">
        <f t="shared" si="1"/>
        <v>0</v>
      </c>
      <c r="AC91" s="14"/>
    </row>
    <row r="92" spans="1:29" x14ac:dyDescent="0.25">
      <c r="A92" s="87">
        <v>89</v>
      </c>
      <c r="B92" s="86">
        <v>31</v>
      </c>
      <c r="C92" s="97">
        <v>45291</v>
      </c>
      <c r="D92" s="15">
        <v>1635655.37</v>
      </c>
      <c r="E92" s="15">
        <v>28304</v>
      </c>
      <c r="F92" s="15">
        <v>13058.36</v>
      </c>
      <c r="G92" s="15">
        <v>13058.36</v>
      </c>
      <c r="H92" s="15">
        <v>15245.64</v>
      </c>
      <c r="I92" s="15">
        <v>1620409.73</v>
      </c>
      <c r="J92" s="15">
        <v>0</v>
      </c>
      <c r="K92" s="15">
        <v>0</v>
      </c>
      <c r="L92" s="15">
        <v>0</v>
      </c>
      <c r="M92" s="15">
        <v>0</v>
      </c>
      <c r="N92" s="88">
        <v>0</v>
      </c>
      <c r="Z92" s="11">
        <f t="shared" si="1"/>
        <v>0</v>
      </c>
      <c r="AC92" s="14"/>
    </row>
    <row r="93" spans="1:29" x14ac:dyDescent="0.25">
      <c r="A93" s="87">
        <v>90</v>
      </c>
      <c r="B93" s="86">
        <v>31</v>
      </c>
      <c r="C93" s="97">
        <v>45322</v>
      </c>
      <c r="D93" s="15">
        <v>1620409.73</v>
      </c>
      <c r="E93" s="15">
        <v>28304</v>
      </c>
      <c r="F93" s="15">
        <v>12901.29</v>
      </c>
      <c r="G93" s="15">
        <v>12901.29</v>
      </c>
      <c r="H93" s="15">
        <v>15402.71</v>
      </c>
      <c r="I93" s="15">
        <v>1605007.02</v>
      </c>
      <c r="J93" s="15">
        <v>0</v>
      </c>
      <c r="K93" s="15">
        <v>0</v>
      </c>
      <c r="L93" s="15">
        <v>0</v>
      </c>
      <c r="M93" s="15">
        <v>0</v>
      </c>
      <c r="N93" s="88">
        <v>0</v>
      </c>
      <c r="Z93" s="11">
        <f t="shared" si="1"/>
        <v>0</v>
      </c>
      <c r="AC93" s="14"/>
    </row>
    <row r="94" spans="1:29" x14ac:dyDescent="0.25">
      <c r="A94" s="87">
        <v>91</v>
      </c>
      <c r="B94" s="86">
        <v>29</v>
      </c>
      <c r="C94" s="97">
        <v>45351</v>
      </c>
      <c r="D94" s="15">
        <v>1605007.02</v>
      </c>
      <c r="E94" s="15">
        <v>28304</v>
      </c>
      <c r="F94" s="15">
        <v>11954.23</v>
      </c>
      <c r="G94" s="15">
        <v>11954.23</v>
      </c>
      <c r="H94" s="15">
        <v>16349.77</v>
      </c>
      <c r="I94" s="15">
        <v>1588657.25</v>
      </c>
      <c r="J94" s="15">
        <v>0</v>
      </c>
      <c r="K94" s="15">
        <v>0</v>
      </c>
      <c r="L94" s="15">
        <v>0</v>
      </c>
      <c r="M94" s="15">
        <v>0</v>
      </c>
      <c r="N94" s="88">
        <v>0</v>
      </c>
      <c r="Z94" s="11">
        <f t="shared" si="1"/>
        <v>0</v>
      </c>
      <c r="AC94" s="14"/>
    </row>
    <row r="95" spans="1:29" x14ac:dyDescent="0.25">
      <c r="A95" s="87">
        <v>92</v>
      </c>
      <c r="B95" s="86">
        <v>31</v>
      </c>
      <c r="C95" s="97">
        <v>45382</v>
      </c>
      <c r="D95" s="15">
        <v>1588657.25</v>
      </c>
      <c r="E95" s="15">
        <v>28304</v>
      </c>
      <c r="F95" s="15">
        <v>12648.49</v>
      </c>
      <c r="G95" s="15">
        <v>12648.49</v>
      </c>
      <c r="H95" s="15">
        <v>15655.51</v>
      </c>
      <c r="I95" s="15">
        <v>1573001.74</v>
      </c>
      <c r="J95" s="15">
        <v>0</v>
      </c>
      <c r="K95" s="15">
        <v>0</v>
      </c>
      <c r="L95" s="15">
        <v>0</v>
      </c>
      <c r="M95" s="15">
        <v>0</v>
      </c>
      <c r="N95" s="88">
        <v>0</v>
      </c>
      <c r="Z95" s="11">
        <f t="shared" si="1"/>
        <v>0</v>
      </c>
      <c r="AC95" s="14"/>
    </row>
    <row r="96" spans="1:29" x14ac:dyDescent="0.25">
      <c r="A96" s="87">
        <v>93</v>
      </c>
      <c r="B96" s="86">
        <v>30</v>
      </c>
      <c r="C96" s="97">
        <v>45412</v>
      </c>
      <c r="D96" s="15">
        <v>1573001.74</v>
      </c>
      <c r="E96" s="15">
        <v>28304</v>
      </c>
      <c r="F96" s="15">
        <v>12119.85</v>
      </c>
      <c r="G96" s="15">
        <v>12119.85</v>
      </c>
      <c r="H96" s="15">
        <v>16184.15</v>
      </c>
      <c r="I96" s="15">
        <v>1556817.59</v>
      </c>
      <c r="J96" s="15">
        <v>0</v>
      </c>
      <c r="K96" s="15">
        <v>0</v>
      </c>
      <c r="L96" s="15">
        <v>0</v>
      </c>
      <c r="M96" s="15">
        <v>0</v>
      </c>
      <c r="N96" s="88">
        <v>0</v>
      </c>
      <c r="Z96" s="11">
        <f t="shared" si="1"/>
        <v>0</v>
      </c>
      <c r="AC96" s="14"/>
    </row>
    <row r="97" spans="1:29" x14ac:dyDescent="0.25">
      <c r="A97" s="87">
        <v>94</v>
      </c>
      <c r="B97" s="86">
        <v>31</v>
      </c>
      <c r="C97" s="97">
        <v>45443</v>
      </c>
      <c r="D97" s="15">
        <v>1556817.59</v>
      </c>
      <c r="E97" s="15">
        <v>28304</v>
      </c>
      <c r="F97" s="15">
        <v>12394.99</v>
      </c>
      <c r="G97" s="15">
        <v>12394.99</v>
      </c>
      <c r="H97" s="15">
        <v>15909.01</v>
      </c>
      <c r="I97" s="15">
        <v>1540908.58</v>
      </c>
      <c r="J97" s="15">
        <v>0</v>
      </c>
      <c r="K97" s="15">
        <v>0</v>
      </c>
      <c r="L97" s="15">
        <v>0</v>
      </c>
      <c r="M97" s="15">
        <v>0</v>
      </c>
      <c r="N97" s="88">
        <v>0</v>
      </c>
      <c r="Z97" s="11">
        <f t="shared" si="1"/>
        <v>0</v>
      </c>
      <c r="AC97" s="14"/>
    </row>
    <row r="98" spans="1:29" x14ac:dyDescent="0.25">
      <c r="A98" s="87">
        <v>95</v>
      </c>
      <c r="B98" s="86">
        <v>30</v>
      </c>
      <c r="C98" s="97">
        <v>45473</v>
      </c>
      <c r="D98" s="15">
        <v>1540908.58</v>
      </c>
      <c r="E98" s="15">
        <v>28304</v>
      </c>
      <c r="F98" s="15">
        <v>11872.57</v>
      </c>
      <c r="G98" s="15">
        <v>11872.57</v>
      </c>
      <c r="H98" s="15">
        <v>16431.43</v>
      </c>
      <c r="I98" s="15">
        <v>1524477.1500000001</v>
      </c>
      <c r="J98" s="15">
        <v>0</v>
      </c>
      <c r="K98" s="15">
        <v>0</v>
      </c>
      <c r="L98" s="15">
        <v>0</v>
      </c>
      <c r="M98" s="15">
        <v>0</v>
      </c>
      <c r="N98" s="88">
        <v>0</v>
      </c>
      <c r="Z98" s="11">
        <f t="shared" si="1"/>
        <v>0</v>
      </c>
      <c r="AC98" s="14"/>
    </row>
    <row r="99" spans="1:29" x14ac:dyDescent="0.25">
      <c r="A99" s="87">
        <v>96</v>
      </c>
      <c r="B99" s="86">
        <v>31</v>
      </c>
      <c r="C99" s="97">
        <v>45504</v>
      </c>
      <c r="D99" s="15">
        <v>1524477.1500000001</v>
      </c>
      <c r="E99" s="15">
        <v>28304</v>
      </c>
      <c r="F99" s="15">
        <v>12137.5</v>
      </c>
      <c r="G99" s="15">
        <v>12137.5</v>
      </c>
      <c r="H99" s="15">
        <v>16166.5</v>
      </c>
      <c r="I99" s="15">
        <v>1508310.6500000001</v>
      </c>
      <c r="J99" s="15">
        <v>0</v>
      </c>
      <c r="K99" s="15">
        <v>0</v>
      </c>
      <c r="L99" s="15">
        <v>0</v>
      </c>
      <c r="M99" s="15">
        <v>0</v>
      </c>
      <c r="N99" s="88">
        <v>0</v>
      </c>
      <c r="Z99" s="11">
        <f t="shared" si="1"/>
        <v>0</v>
      </c>
      <c r="AC99" s="14"/>
    </row>
    <row r="100" spans="1:29" x14ac:dyDescent="0.25">
      <c r="A100" s="87">
        <v>97</v>
      </c>
      <c r="B100" s="86">
        <v>31</v>
      </c>
      <c r="C100" s="97">
        <v>45535</v>
      </c>
      <c r="D100" s="15">
        <v>1508310.6500000001</v>
      </c>
      <c r="E100" s="15">
        <v>28304</v>
      </c>
      <c r="F100" s="15">
        <v>12008.79</v>
      </c>
      <c r="G100" s="15">
        <v>12008.79</v>
      </c>
      <c r="H100" s="15">
        <v>16295.21</v>
      </c>
      <c r="I100" s="15">
        <v>1492015.44</v>
      </c>
      <c r="J100" s="15">
        <v>0</v>
      </c>
      <c r="K100" s="15">
        <v>0</v>
      </c>
      <c r="L100" s="15">
        <v>0</v>
      </c>
      <c r="M100" s="15">
        <v>0</v>
      </c>
      <c r="N100" s="88">
        <v>0</v>
      </c>
      <c r="Z100" s="11">
        <f t="shared" si="1"/>
        <v>0</v>
      </c>
      <c r="AC100" s="14"/>
    </row>
    <row r="101" spans="1:29" x14ac:dyDescent="0.25">
      <c r="A101" s="87">
        <v>98</v>
      </c>
      <c r="B101" s="86">
        <v>30</v>
      </c>
      <c r="C101" s="97">
        <v>45565</v>
      </c>
      <c r="D101" s="15">
        <v>1492015.44</v>
      </c>
      <c r="E101" s="15">
        <v>28304</v>
      </c>
      <c r="F101" s="15">
        <v>11495.86</v>
      </c>
      <c r="G101" s="15">
        <v>11495.86</v>
      </c>
      <c r="H101" s="15">
        <v>16808.14</v>
      </c>
      <c r="I101" s="15">
        <v>1475207.3</v>
      </c>
      <c r="J101" s="15">
        <v>0</v>
      </c>
      <c r="K101" s="15">
        <v>0</v>
      </c>
      <c r="L101" s="15">
        <v>0</v>
      </c>
      <c r="M101" s="15">
        <v>0</v>
      </c>
      <c r="N101" s="88">
        <v>0</v>
      </c>
      <c r="Z101" s="11">
        <f t="shared" si="1"/>
        <v>0</v>
      </c>
      <c r="AC101" s="14"/>
    </row>
    <row r="102" spans="1:29" x14ac:dyDescent="0.25">
      <c r="A102" s="87">
        <v>99</v>
      </c>
      <c r="B102" s="86">
        <v>31</v>
      </c>
      <c r="C102" s="97">
        <v>45596</v>
      </c>
      <c r="D102" s="15">
        <v>1475207.3</v>
      </c>
      <c r="E102" s="15">
        <v>28304</v>
      </c>
      <c r="F102" s="15">
        <v>11745.23</v>
      </c>
      <c r="G102" s="15">
        <v>11745.23</v>
      </c>
      <c r="H102" s="15">
        <v>16558.77</v>
      </c>
      <c r="I102" s="15">
        <v>1458648.53</v>
      </c>
      <c r="J102" s="15">
        <v>0</v>
      </c>
      <c r="K102" s="15">
        <v>0</v>
      </c>
      <c r="L102" s="15">
        <v>0</v>
      </c>
      <c r="M102" s="15">
        <v>0</v>
      </c>
      <c r="N102" s="88">
        <v>0</v>
      </c>
      <c r="Z102" s="11">
        <f t="shared" si="1"/>
        <v>0</v>
      </c>
      <c r="AC102" s="14"/>
    </row>
    <row r="103" spans="1:29" x14ac:dyDescent="0.25">
      <c r="A103" s="87">
        <v>100</v>
      </c>
      <c r="B103" s="86">
        <v>30</v>
      </c>
      <c r="C103" s="97">
        <v>45626</v>
      </c>
      <c r="D103" s="15">
        <v>1458648.53</v>
      </c>
      <c r="E103" s="15">
        <v>28304</v>
      </c>
      <c r="F103" s="15">
        <v>11238.77</v>
      </c>
      <c r="G103" s="15">
        <v>11238.77</v>
      </c>
      <c r="H103" s="15">
        <v>17065.23</v>
      </c>
      <c r="I103" s="15">
        <v>1441583.3</v>
      </c>
      <c r="J103" s="15">
        <v>0</v>
      </c>
      <c r="K103" s="15">
        <v>0</v>
      </c>
      <c r="L103" s="15">
        <v>0</v>
      </c>
      <c r="M103" s="15">
        <v>0</v>
      </c>
      <c r="N103" s="88">
        <v>0</v>
      </c>
      <c r="Z103" s="11">
        <f t="shared" si="1"/>
        <v>0</v>
      </c>
      <c r="AC103" s="14"/>
    </row>
    <row r="104" spans="1:29" x14ac:dyDescent="0.25">
      <c r="A104" s="87">
        <v>101</v>
      </c>
      <c r="B104" s="86">
        <v>31</v>
      </c>
      <c r="C104" s="97">
        <v>45657</v>
      </c>
      <c r="D104" s="15">
        <v>1441583.3</v>
      </c>
      <c r="E104" s="15">
        <v>28304</v>
      </c>
      <c r="F104" s="15">
        <v>11477.52</v>
      </c>
      <c r="G104" s="15">
        <v>11477.52</v>
      </c>
      <c r="H104" s="15">
        <v>16826.48</v>
      </c>
      <c r="I104" s="15">
        <v>1424756.82</v>
      </c>
      <c r="J104" s="15">
        <v>0</v>
      </c>
      <c r="K104" s="15">
        <v>0</v>
      </c>
      <c r="L104" s="15">
        <v>0</v>
      </c>
      <c r="M104" s="15">
        <v>0</v>
      </c>
      <c r="N104" s="88">
        <v>0</v>
      </c>
      <c r="Z104" s="11">
        <f t="shared" si="1"/>
        <v>0</v>
      </c>
      <c r="AC104" s="14"/>
    </row>
    <row r="105" spans="1:29" x14ac:dyDescent="0.25">
      <c r="A105" s="87">
        <v>102</v>
      </c>
      <c r="B105" s="86">
        <v>31</v>
      </c>
      <c r="C105" s="97">
        <v>45688</v>
      </c>
      <c r="D105" s="15">
        <v>1424756.82</v>
      </c>
      <c r="E105" s="15">
        <v>28304</v>
      </c>
      <c r="F105" s="15">
        <v>11374.630000000001</v>
      </c>
      <c r="G105" s="15">
        <v>11374.630000000001</v>
      </c>
      <c r="H105" s="15">
        <v>16929.37</v>
      </c>
      <c r="I105" s="15">
        <v>1407827.45</v>
      </c>
      <c r="J105" s="15">
        <v>0</v>
      </c>
      <c r="K105" s="15">
        <v>0</v>
      </c>
      <c r="L105" s="15">
        <v>0</v>
      </c>
      <c r="M105" s="15">
        <v>0</v>
      </c>
      <c r="N105" s="88">
        <v>0</v>
      </c>
      <c r="Z105" s="11">
        <f t="shared" si="1"/>
        <v>0</v>
      </c>
      <c r="AC105" s="14"/>
    </row>
    <row r="106" spans="1:29" x14ac:dyDescent="0.25">
      <c r="A106" s="87">
        <v>103</v>
      </c>
      <c r="B106" s="86">
        <v>28</v>
      </c>
      <c r="C106" s="97">
        <v>45716</v>
      </c>
      <c r="D106" s="15">
        <v>1407827.45</v>
      </c>
      <c r="E106" s="15">
        <v>28304</v>
      </c>
      <c r="F106" s="15">
        <v>10151.790000000001</v>
      </c>
      <c r="G106" s="15">
        <v>10151.790000000001</v>
      </c>
      <c r="H106" s="15">
        <v>18152.21</v>
      </c>
      <c r="I106" s="15">
        <v>1389675.24</v>
      </c>
      <c r="J106" s="15">
        <v>0</v>
      </c>
      <c r="K106" s="15">
        <v>0</v>
      </c>
      <c r="L106" s="15">
        <v>0</v>
      </c>
      <c r="M106" s="15">
        <v>0</v>
      </c>
      <c r="N106" s="88">
        <v>0</v>
      </c>
      <c r="Z106" s="11">
        <f t="shared" si="1"/>
        <v>0</v>
      </c>
      <c r="AC106" s="14"/>
    </row>
    <row r="107" spans="1:29" x14ac:dyDescent="0.25">
      <c r="A107" s="87">
        <v>104</v>
      </c>
      <c r="B107" s="86">
        <v>31</v>
      </c>
      <c r="C107" s="97">
        <v>45747</v>
      </c>
      <c r="D107" s="15">
        <v>1389675.24</v>
      </c>
      <c r="E107" s="15">
        <v>28304</v>
      </c>
      <c r="F107" s="15">
        <v>11094.56</v>
      </c>
      <c r="G107" s="15">
        <v>11094.56</v>
      </c>
      <c r="H107" s="15">
        <v>17209.440000000002</v>
      </c>
      <c r="I107" s="15">
        <v>1372465.8</v>
      </c>
      <c r="J107" s="15">
        <v>0</v>
      </c>
      <c r="K107" s="15">
        <v>0</v>
      </c>
      <c r="L107" s="15">
        <v>0</v>
      </c>
      <c r="M107" s="15">
        <v>0</v>
      </c>
      <c r="N107" s="88">
        <v>0</v>
      </c>
      <c r="Z107" s="11">
        <f t="shared" si="1"/>
        <v>0</v>
      </c>
      <c r="AC107" s="14"/>
    </row>
    <row r="108" spans="1:29" x14ac:dyDescent="0.25">
      <c r="A108" s="87">
        <v>105</v>
      </c>
      <c r="B108" s="86">
        <v>30</v>
      </c>
      <c r="C108" s="97">
        <v>45777</v>
      </c>
      <c r="D108" s="15">
        <v>1372465.8</v>
      </c>
      <c r="E108" s="15">
        <v>28304</v>
      </c>
      <c r="F108" s="15">
        <v>10603.710000000001</v>
      </c>
      <c r="G108" s="15">
        <v>10603.710000000001</v>
      </c>
      <c r="H108" s="15">
        <v>17700.29</v>
      </c>
      <c r="I108" s="15">
        <v>1354765.51</v>
      </c>
      <c r="J108" s="15">
        <v>0</v>
      </c>
      <c r="K108" s="15">
        <v>0</v>
      </c>
      <c r="L108" s="15">
        <v>0</v>
      </c>
      <c r="M108" s="15">
        <v>0</v>
      </c>
      <c r="N108" s="88">
        <v>0</v>
      </c>
      <c r="Z108" s="11">
        <f t="shared" si="1"/>
        <v>0</v>
      </c>
      <c r="AC108" s="14"/>
    </row>
    <row r="109" spans="1:29" x14ac:dyDescent="0.25">
      <c r="A109" s="87">
        <v>106</v>
      </c>
      <c r="B109" s="86">
        <v>31</v>
      </c>
      <c r="C109" s="97">
        <v>45808</v>
      </c>
      <c r="D109" s="15">
        <v>1354765.51</v>
      </c>
      <c r="E109" s="15">
        <v>28304</v>
      </c>
      <c r="F109" s="15">
        <v>10815.85</v>
      </c>
      <c r="G109" s="15">
        <v>10815.85</v>
      </c>
      <c r="H109" s="15">
        <v>17488.150000000001</v>
      </c>
      <c r="I109" s="15">
        <v>1337277.3600000001</v>
      </c>
      <c r="J109" s="15">
        <v>0</v>
      </c>
      <c r="K109" s="15">
        <v>0</v>
      </c>
      <c r="L109" s="15">
        <v>0</v>
      </c>
      <c r="M109" s="15">
        <v>0</v>
      </c>
      <c r="N109" s="88">
        <v>0</v>
      </c>
      <c r="Z109" s="11">
        <f t="shared" si="1"/>
        <v>0</v>
      </c>
      <c r="AC109" s="14"/>
    </row>
    <row r="110" spans="1:29" x14ac:dyDescent="0.25">
      <c r="A110" s="87">
        <v>107</v>
      </c>
      <c r="B110" s="86">
        <v>30</v>
      </c>
      <c r="C110" s="97">
        <v>45838</v>
      </c>
      <c r="D110" s="15">
        <v>1337277.3600000001</v>
      </c>
      <c r="E110" s="15">
        <v>28304</v>
      </c>
      <c r="F110" s="15">
        <v>10331.84</v>
      </c>
      <c r="G110" s="15">
        <v>10331.84</v>
      </c>
      <c r="H110" s="15">
        <v>17972.16</v>
      </c>
      <c r="I110" s="15">
        <v>1319305.2</v>
      </c>
      <c r="J110" s="15">
        <v>0</v>
      </c>
      <c r="K110" s="15">
        <v>0</v>
      </c>
      <c r="L110" s="15">
        <v>0</v>
      </c>
      <c r="M110" s="15">
        <v>0</v>
      </c>
      <c r="N110" s="88">
        <v>0</v>
      </c>
      <c r="Z110" s="11">
        <f t="shared" si="1"/>
        <v>0</v>
      </c>
      <c r="AC110" s="14"/>
    </row>
    <row r="111" spans="1:29" x14ac:dyDescent="0.25">
      <c r="A111" s="87">
        <v>108</v>
      </c>
      <c r="B111" s="86">
        <v>31</v>
      </c>
      <c r="C111" s="97">
        <v>45869</v>
      </c>
      <c r="D111" s="15">
        <v>1319305.2</v>
      </c>
      <c r="E111" s="15">
        <v>28304</v>
      </c>
      <c r="F111" s="15">
        <v>10532.75</v>
      </c>
      <c r="G111" s="15">
        <v>10532.75</v>
      </c>
      <c r="H111" s="15">
        <v>17771.25</v>
      </c>
      <c r="I111" s="15">
        <v>1301533.95</v>
      </c>
      <c r="J111" s="15">
        <v>0</v>
      </c>
      <c r="K111" s="15">
        <v>0</v>
      </c>
      <c r="L111" s="15">
        <v>0</v>
      </c>
      <c r="M111" s="15">
        <v>0</v>
      </c>
      <c r="N111" s="88">
        <v>0</v>
      </c>
      <c r="Z111" s="11">
        <f t="shared" si="1"/>
        <v>0</v>
      </c>
      <c r="AC111" s="14"/>
    </row>
    <row r="112" spans="1:29" x14ac:dyDescent="0.25">
      <c r="A112" s="87">
        <v>109</v>
      </c>
      <c r="B112" s="86">
        <v>31</v>
      </c>
      <c r="C112" s="97">
        <v>45900</v>
      </c>
      <c r="D112" s="15">
        <v>1301533.95</v>
      </c>
      <c r="E112" s="15">
        <v>28304</v>
      </c>
      <c r="F112" s="15">
        <v>10390.880000000001</v>
      </c>
      <c r="G112" s="15">
        <v>10390.880000000001</v>
      </c>
      <c r="H112" s="15">
        <v>17913.12</v>
      </c>
      <c r="I112" s="15">
        <v>1283620.83</v>
      </c>
      <c r="J112" s="15">
        <v>0</v>
      </c>
      <c r="K112" s="15">
        <v>0</v>
      </c>
      <c r="L112" s="15">
        <v>0</v>
      </c>
      <c r="M112" s="15">
        <v>0</v>
      </c>
      <c r="N112" s="88">
        <v>0</v>
      </c>
      <c r="Z112" s="11">
        <f t="shared" si="1"/>
        <v>0</v>
      </c>
      <c r="AC112" s="14"/>
    </row>
    <row r="113" spans="1:29" x14ac:dyDescent="0.25">
      <c r="A113" s="87">
        <v>110</v>
      </c>
      <c r="B113" s="86">
        <v>30</v>
      </c>
      <c r="C113" s="97">
        <v>45930</v>
      </c>
      <c r="D113" s="15">
        <v>1283620.83</v>
      </c>
      <c r="E113" s="15">
        <v>28304</v>
      </c>
      <c r="F113" s="15">
        <v>9917.2900000000009</v>
      </c>
      <c r="G113" s="15">
        <v>9917.2900000000009</v>
      </c>
      <c r="H113" s="15">
        <v>18386.71</v>
      </c>
      <c r="I113" s="15">
        <v>1265234.1200000001</v>
      </c>
      <c r="J113" s="15">
        <v>0</v>
      </c>
      <c r="K113" s="15">
        <v>0</v>
      </c>
      <c r="L113" s="15">
        <v>0</v>
      </c>
      <c r="M113" s="15">
        <v>0</v>
      </c>
      <c r="N113" s="88">
        <v>0</v>
      </c>
      <c r="Z113" s="11">
        <f t="shared" si="1"/>
        <v>0</v>
      </c>
      <c r="AC113" s="14"/>
    </row>
    <row r="114" spans="1:29" x14ac:dyDescent="0.25">
      <c r="A114" s="87">
        <v>111</v>
      </c>
      <c r="B114" s="86">
        <v>31</v>
      </c>
      <c r="C114" s="97">
        <v>45961</v>
      </c>
      <c r="D114" s="15">
        <v>1265234.1200000001</v>
      </c>
      <c r="E114" s="15">
        <v>28304</v>
      </c>
      <c r="F114" s="15">
        <v>10101.07</v>
      </c>
      <c r="G114" s="15">
        <v>10101.07</v>
      </c>
      <c r="H114" s="15">
        <v>18202.93</v>
      </c>
      <c r="I114" s="15">
        <v>1247031.19</v>
      </c>
      <c r="J114" s="15">
        <v>0</v>
      </c>
      <c r="K114" s="15">
        <v>0</v>
      </c>
      <c r="L114" s="15">
        <v>0</v>
      </c>
      <c r="M114" s="15">
        <v>0</v>
      </c>
      <c r="N114" s="88">
        <v>0</v>
      </c>
      <c r="Z114" s="11">
        <f t="shared" si="1"/>
        <v>0</v>
      </c>
      <c r="AC114" s="14"/>
    </row>
    <row r="115" spans="1:29" x14ac:dyDescent="0.25">
      <c r="A115" s="87">
        <v>112</v>
      </c>
      <c r="B115" s="86">
        <v>30</v>
      </c>
      <c r="C115" s="97">
        <v>45991</v>
      </c>
      <c r="D115" s="15">
        <v>1247031.19</v>
      </c>
      <c r="E115" s="15">
        <v>28304</v>
      </c>
      <c r="F115" s="15">
        <v>9634.6</v>
      </c>
      <c r="G115" s="15">
        <v>9634.6</v>
      </c>
      <c r="H115" s="15">
        <v>18669.400000000001</v>
      </c>
      <c r="I115" s="15">
        <v>1228361.79</v>
      </c>
      <c r="J115" s="15">
        <v>0</v>
      </c>
      <c r="K115" s="15">
        <v>0</v>
      </c>
      <c r="L115" s="15">
        <v>0</v>
      </c>
      <c r="M115" s="15">
        <v>0</v>
      </c>
      <c r="N115" s="88">
        <v>0</v>
      </c>
      <c r="Z115" s="11">
        <f t="shared" si="1"/>
        <v>0</v>
      </c>
      <c r="AC115" s="14"/>
    </row>
    <row r="116" spans="1:29" x14ac:dyDescent="0.25">
      <c r="A116" s="87">
        <v>113</v>
      </c>
      <c r="B116" s="86">
        <v>31</v>
      </c>
      <c r="C116" s="97">
        <v>46022</v>
      </c>
      <c r="D116" s="15">
        <v>1228361.79</v>
      </c>
      <c r="E116" s="15">
        <v>28304</v>
      </c>
      <c r="F116" s="15">
        <v>9806.7000000000007</v>
      </c>
      <c r="G116" s="15">
        <v>9806.7000000000007</v>
      </c>
      <c r="H116" s="15">
        <v>18497.3</v>
      </c>
      <c r="I116" s="15">
        <v>1209864.49</v>
      </c>
      <c r="J116" s="15">
        <v>0</v>
      </c>
      <c r="K116" s="15">
        <v>0</v>
      </c>
      <c r="L116" s="15">
        <v>0</v>
      </c>
      <c r="M116" s="15">
        <v>0</v>
      </c>
      <c r="N116" s="88">
        <v>0</v>
      </c>
      <c r="Z116" s="11">
        <f t="shared" si="1"/>
        <v>0</v>
      </c>
      <c r="AC116" s="14"/>
    </row>
    <row r="117" spans="1:29" x14ac:dyDescent="0.25">
      <c r="A117" s="87">
        <v>114</v>
      </c>
      <c r="B117" s="86">
        <v>31</v>
      </c>
      <c r="C117" s="97">
        <v>46053</v>
      </c>
      <c r="D117" s="15">
        <v>1209864.49</v>
      </c>
      <c r="E117" s="15">
        <v>28304</v>
      </c>
      <c r="F117" s="15">
        <v>9659.0300000000007</v>
      </c>
      <c r="G117" s="15">
        <v>9659.0300000000007</v>
      </c>
      <c r="H117" s="15">
        <v>18644.97</v>
      </c>
      <c r="I117" s="15">
        <v>1191219.52</v>
      </c>
      <c r="J117" s="15">
        <v>0</v>
      </c>
      <c r="K117" s="15">
        <v>0</v>
      </c>
      <c r="L117" s="15">
        <v>0</v>
      </c>
      <c r="M117" s="15">
        <v>0</v>
      </c>
      <c r="N117" s="88">
        <v>0</v>
      </c>
      <c r="Z117" s="11">
        <f t="shared" si="1"/>
        <v>0</v>
      </c>
      <c r="AC117" s="14"/>
    </row>
    <row r="118" spans="1:29" x14ac:dyDescent="0.25">
      <c r="A118" s="87">
        <v>115</v>
      </c>
      <c r="B118" s="86">
        <v>28</v>
      </c>
      <c r="C118" s="97">
        <v>46081</v>
      </c>
      <c r="D118" s="15">
        <v>1191219.52</v>
      </c>
      <c r="E118" s="15">
        <v>28304</v>
      </c>
      <c r="F118" s="15">
        <v>8589.84</v>
      </c>
      <c r="G118" s="15">
        <v>8589.84</v>
      </c>
      <c r="H118" s="15">
        <v>19714.16</v>
      </c>
      <c r="I118" s="15">
        <v>1171505.3600000001</v>
      </c>
      <c r="J118" s="15">
        <v>0</v>
      </c>
      <c r="K118" s="15">
        <v>0</v>
      </c>
      <c r="L118" s="15">
        <v>0</v>
      </c>
      <c r="M118" s="15">
        <v>0</v>
      </c>
      <c r="N118" s="88">
        <v>0</v>
      </c>
      <c r="Z118" s="11">
        <f t="shared" si="1"/>
        <v>0</v>
      </c>
      <c r="AC118" s="14"/>
    </row>
    <row r="119" spans="1:29" x14ac:dyDescent="0.25">
      <c r="A119" s="87">
        <v>116</v>
      </c>
      <c r="B119" s="86">
        <v>31</v>
      </c>
      <c r="C119" s="97">
        <v>46112</v>
      </c>
      <c r="D119" s="15">
        <v>1171505.3600000001</v>
      </c>
      <c r="E119" s="15">
        <v>28304</v>
      </c>
      <c r="F119" s="15">
        <v>9352.7900000000009</v>
      </c>
      <c r="G119" s="15">
        <v>9352.7900000000009</v>
      </c>
      <c r="H119" s="15">
        <v>18951.21</v>
      </c>
      <c r="I119" s="15">
        <v>1152554.1500000001</v>
      </c>
      <c r="J119" s="15">
        <v>0</v>
      </c>
      <c r="K119" s="15">
        <v>0</v>
      </c>
      <c r="L119" s="15">
        <v>0</v>
      </c>
      <c r="M119" s="15">
        <v>0</v>
      </c>
      <c r="N119" s="88">
        <v>0</v>
      </c>
      <c r="Z119" s="11">
        <f t="shared" si="1"/>
        <v>0</v>
      </c>
      <c r="AC119" s="14"/>
    </row>
    <row r="120" spans="1:29" x14ac:dyDescent="0.25">
      <c r="A120" s="87">
        <v>117</v>
      </c>
      <c r="B120" s="86">
        <v>30</v>
      </c>
      <c r="C120" s="97">
        <v>46142</v>
      </c>
      <c r="D120" s="15">
        <v>1152554.1500000001</v>
      </c>
      <c r="E120" s="15">
        <v>28304</v>
      </c>
      <c r="F120" s="15">
        <v>8904.66</v>
      </c>
      <c r="G120" s="15">
        <v>8904.66</v>
      </c>
      <c r="H120" s="15">
        <v>19399.34</v>
      </c>
      <c r="I120" s="15">
        <v>1133154.81</v>
      </c>
      <c r="J120" s="15">
        <v>0</v>
      </c>
      <c r="K120" s="15">
        <v>0</v>
      </c>
      <c r="L120" s="15">
        <v>0</v>
      </c>
      <c r="M120" s="15">
        <v>0</v>
      </c>
      <c r="N120" s="88">
        <v>0</v>
      </c>
      <c r="Z120" s="11">
        <f t="shared" si="1"/>
        <v>0</v>
      </c>
      <c r="AC120" s="14"/>
    </row>
    <row r="121" spans="1:29" x14ac:dyDescent="0.25">
      <c r="A121" s="87">
        <v>118</v>
      </c>
      <c r="B121" s="86">
        <v>31</v>
      </c>
      <c r="C121" s="97">
        <v>46173</v>
      </c>
      <c r="D121" s="15">
        <v>1133154.81</v>
      </c>
      <c r="E121" s="15">
        <v>28304</v>
      </c>
      <c r="F121" s="15">
        <v>9046.61</v>
      </c>
      <c r="G121" s="15">
        <v>9046.61</v>
      </c>
      <c r="H121" s="15">
        <v>19257.39</v>
      </c>
      <c r="I121" s="15">
        <v>1113897.42</v>
      </c>
      <c r="J121" s="15">
        <v>0</v>
      </c>
      <c r="K121" s="15">
        <v>0</v>
      </c>
      <c r="L121" s="15">
        <v>0</v>
      </c>
      <c r="M121" s="15">
        <v>0</v>
      </c>
      <c r="N121" s="88">
        <v>0</v>
      </c>
      <c r="Z121" s="11">
        <f t="shared" si="1"/>
        <v>0</v>
      </c>
      <c r="AC121" s="14"/>
    </row>
    <row r="122" spans="1:29" x14ac:dyDescent="0.25">
      <c r="A122" s="87">
        <v>119</v>
      </c>
      <c r="B122" s="86">
        <v>30</v>
      </c>
      <c r="C122" s="97">
        <v>46203</v>
      </c>
      <c r="D122" s="15">
        <v>1113897.42</v>
      </c>
      <c r="E122" s="15">
        <v>28304</v>
      </c>
      <c r="F122" s="15">
        <v>8606</v>
      </c>
      <c r="G122" s="15">
        <v>8606</v>
      </c>
      <c r="H122" s="15">
        <v>19698</v>
      </c>
      <c r="I122" s="15">
        <v>1094199.42</v>
      </c>
      <c r="J122" s="15">
        <v>0</v>
      </c>
      <c r="K122" s="15">
        <v>0</v>
      </c>
      <c r="L122" s="15">
        <v>0</v>
      </c>
      <c r="M122" s="15">
        <v>0</v>
      </c>
      <c r="N122" s="88">
        <v>0</v>
      </c>
      <c r="Z122" s="11">
        <f t="shared" si="1"/>
        <v>0</v>
      </c>
      <c r="AC122" s="14"/>
    </row>
    <row r="123" spans="1:29" x14ac:dyDescent="0.25">
      <c r="A123" s="87">
        <v>120</v>
      </c>
      <c r="B123" s="86">
        <v>31</v>
      </c>
      <c r="C123" s="97">
        <v>46234</v>
      </c>
      <c r="D123" s="15">
        <v>1094199.42</v>
      </c>
      <c r="E123" s="15">
        <v>28304</v>
      </c>
      <c r="F123" s="15">
        <v>8735.61</v>
      </c>
      <c r="G123" s="15">
        <v>8735.61</v>
      </c>
      <c r="H123" s="15">
        <v>19568.39</v>
      </c>
      <c r="I123" s="15">
        <v>1074631.03</v>
      </c>
      <c r="J123" s="15">
        <v>0</v>
      </c>
      <c r="K123" s="15">
        <v>0</v>
      </c>
      <c r="L123" s="15">
        <v>0</v>
      </c>
      <c r="M123" s="15">
        <v>0</v>
      </c>
      <c r="N123" s="88">
        <v>0</v>
      </c>
      <c r="Z123" s="11">
        <f t="shared" si="1"/>
        <v>0</v>
      </c>
      <c r="AC123" s="14"/>
    </row>
    <row r="124" spans="1:29" x14ac:dyDescent="0.25">
      <c r="A124" s="87">
        <v>121</v>
      </c>
      <c r="B124" s="86">
        <v>31</v>
      </c>
      <c r="C124" s="97">
        <v>46265</v>
      </c>
      <c r="D124" s="15">
        <v>1074631.03</v>
      </c>
      <c r="E124" s="15">
        <v>28304</v>
      </c>
      <c r="F124" s="15">
        <v>8579.380000000001</v>
      </c>
      <c r="G124" s="15">
        <v>8579.380000000001</v>
      </c>
      <c r="H124" s="15">
        <v>19724.62</v>
      </c>
      <c r="I124" s="15">
        <v>1054906.4099999999</v>
      </c>
      <c r="J124" s="15">
        <v>0</v>
      </c>
      <c r="K124" s="15">
        <v>0</v>
      </c>
      <c r="L124" s="15">
        <v>0</v>
      </c>
      <c r="M124" s="15">
        <v>0</v>
      </c>
      <c r="N124" s="88">
        <v>0</v>
      </c>
      <c r="Z124" s="11">
        <f t="shared" si="1"/>
        <v>0</v>
      </c>
      <c r="AC124" s="14"/>
    </row>
    <row r="125" spans="1:29" x14ac:dyDescent="0.25">
      <c r="A125" s="87">
        <v>122</v>
      </c>
      <c r="B125" s="86">
        <v>30</v>
      </c>
      <c r="C125" s="97">
        <v>46295</v>
      </c>
      <c r="D125" s="15">
        <v>1054906.4099999999</v>
      </c>
      <c r="E125" s="15">
        <v>28304</v>
      </c>
      <c r="F125" s="15">
        <v>8150.24</v>
      </c>
      <c r="G125" s="15">
        <v>8150.24</v>
      </c>
      <c r="H125" s="15">
        <v>20153.760000000002</v>
      </c>
      <c r="I125" s="15">
        <v>1034752.65</v>
      </c>
      <c r="J125" s="15">
        <v>0</v>
      </c>
      <c r="K125" s="15">
        <v>0</v>
      </c>
      <c r="L125" s="15">
        <v>0</v>
      </c>
      <c r="M125" s="15">
        <v>0</v>
      </c>
      <c r="N125" s="88">
        <v>0</v>
      </c>
      <c r="Z125" s="11">
        <f t="shared" si="1"/>
        <v>0</v>
      </c>
      <c r="AC125" s="14"/>
    </row>
    <row r="126" spans="1:29" x14ac:dyDescent="0.25">
      <c r="A126" s="87">
        <v>123</v>
      </c>
      <c r="B126" s="86">
        <v>31</v>
      </c>
      <c r="C126" s="97">
        <v>46326</v>
      </c>
      <c r="D126" s="15">
        <v>1034752.65</v>
      </c>
      <c r="E126" s="15">
        <v>28304</v>
      </c>
      <c r="F126" s="15">
        <v>8261.01</v>
      </c>
      <c r="G126" s="15">
        <v>8261.01</v>
      </c>
      <c r="H126" s="15">
        <v>20042.989999999998</v>
      </c>
      <c r="I126" s="15">
        <v>1014709.66</v>
      </c>
      <c r="J126" s="15">
        <v>0</v>
      </c>
      <c r="K126" s="15">
        <v>0</v>
      </c>
      <c r="L126" s="15">
        <v>0</v>
      </c>
      <c r="M126" s="15">
        <v>0</v>
      </c>
      <c r="N126" s="88">
        <v>0</v>
      </c>
      <c r="Z126" s="11">
        <f t="shared" si="1"/>
        <v>0</v>
      </c>
      <c r="AC126" s="14"/>
    </row>
    <row r="127" spans="1:29" x14ac:dyDescent="0.25">
      <c r="A127" s="87">
        <v>124</v>
      </c>
      <c r="B127" s="86">
        <v>30</v>
      </c>
      <c r="C127" s="97">
        <v>46356</v>
      </c>
      <c r="D127" s="15">
        <v>1014709.66</v>
      </c>
      <c r="E127" s="15">
        <v>28304</v>
      </c>
      <c r="F127" s="15">
        <v>7839.67</v>
      </c>
      <c r="G127" s="15">
        <v>7839.67</v>
      </c>
      <c r="H127" s="15">
        <v>20464.330000000002</v>
      </c>
      <c r="I127" s="15">
        <v>994245.33000000007</v>
      </c>
      <c r="J127" s="15">
        <v>0</v>
      </c>
      <c r="K127" s="15">
        <v>0</v>
      </c>
      <c r="L127" s="15">
        <v>0</v>
      </c>
      <c r="M127" s="15">
        <v>0</v>
      </c>
      <c r="N127" s="88">
        <v>0</v>
      </c>
      <c r="Z127" s="11">
        <f t="shared" si="1"/>
        <v>0</v>
      </c>
      <c r="AC127" s="14"/>
    </row>
    <row r="128" spans="1:29" x14ac:dyDescent="0.25">
      <c r="A128" s="87">
        <v>125</v>
      </c>
      <c r="B128" s="86">
        <v>31</v>
      </c>
      <c r="C128" s="97">
        <v>46387</v>
      </c>
      <c r="D128" s="15">
        <v>994245.33000000007</v>
      </c>
      <c r="E128" s="15">
        <v>28304</v>
      </c>
      <c r="F128" s="15">
        <v>7937.62</v>
      </c>
      <c r="G128" s="15">
        <v>7937.62</v>
      </c>
      <c r="H128" s="15">
        <v>20366.38</v>
      </c>
      <c r="I128" s="15">
        <v>973878.95000000007</v>
      </c>
      <c r="J128" s="15">
        <v>0</v>
      </c>
      <c r="K128" s="15">
        <v>0</v>
      </c>
      <c r="L128" s="15">
        <v>0</v>
      </c>
      <c r="M128" s="15">
        <v>0</v>
      </c>
      <c r="N128" s="88">
        <v>0</v>
      </c>
      <c r="Z128" s="11">
        <f t="shared" si="1"/>
        <v>0</v>
      </c>
      <c r="AC128" s="14"/>
    </row>
    <row r="129" spans="1:29" x14ac:dyDescent="0.25">
      <c r="A129" s="87">
        <v>126</v>
      </c>
      <c r="B129" s="86">
        <v>31</v>
      </c>
      <c r="C129" s="97">
        <v>46418</v>
      </c>
      <c r="D129" s="15">
        <v>973878.95000000007</v>
      </c>
      <c r="E129" s="15">
        <v>28304</v>
      </c>
      <c r="F129" s="15">
        <v>7775.02</v>
      </c>
      <c r="G129" s="15">
        <v>7775.02</v>
      </c>
      <c r="H129" s="15">
        <v>20528.98</v>
      </c>
      <c r="I129" s="15">
        <v>953349.97</v>
      </c>
      <c r="J129" s="15">
        <v>0</v>
      </c>
      <c r="K129" s="15">
        <v>0</v>
      </c>
      <c r="L129" s="15">
        <v>0</v>
      </c>
      <c r="M129" s="15">
        <v>0</v>
      </c>
      <c r="N129" s="88">
        <v>0</v>
      </c>
      <c r="Z129" s="11">
        <f t="shared" si="1"/>
        <v>0</v>
      </c>
      <c r="AC129" s="14"/>
    </row>
    <row r="130" spans="1:29" x14ac:dyDescent="0.25">
      <c r="A130" s="87">
        <v>127</v>
      </c>
      <c r="B130" s="86">
        <v>28</v>
      </c>
      <c r="C130" s="97">
        <v>46446</v>
      </c>
      <c r="D130" s="15">
        <v>953349.97</v>
      </c>
      <c r="E130" s="15">
        <v>28304</v>
      </c>
      <c r="F130" s="15">
        <v>6874.57</v>
      </c>
      <c r="G130" s="15">
        <v>6874.57</v>
      </c>
      <c r="H130" s="15">
        <v>21429.43</v>
      </c>
      <c r="I130" s="15">
        <v>931920.54</v>
      </c>
      <c r="J130" s="15">
        <v>0</v>
      </c>
      <c r="K130" s="15">
        <v>0</v>
      </c>
      <c r="L130" s="15">
        <v>0</v>
      </c>
      <c r="M130" s="15">
        <v>0</v>
      </c>
      <c r="N130" s="88">
        <v>0</v>
      </c>
      <c r="Z130" s="11">
        <f t="shared" si="1"/>
        <v>0</v>
      </c>
      <c r="AC130" s="14"/>
    </row>
    <row r="131" spans="1:29" x14ac:dyDescent="0.25">
      <c r="A131" s="87">
        <v>128</v>
      </c>
      <c r="B131" s="86">
        <v>31</v>
      </c>
      <c r="C131" s="97">
        <v>46477</v>
      </c>
      <c r="D131" s="15">
        <v>931920.54</v>
      </c>
      <c r="E131" s="15">
        <v>28304</v>
      </c>
      <c r="F131" s="15">
        <v>7440.05</v>
      </c>
      <c r="G131" s="15">
        <v>7440.05</v>
      </c>
      <c r="H131" s="15">
        <v>20863.95</v>
      </c>
      <c r="I131" s="15">
        <v>911056.59</v>
      </c>
      <c r="J131" s="15">
        <v>0</v>
      </c>
      <c r="K131" s="15">
        <v>0</v>
      </c>
      <c r="L131" s="15">
        <v>0</v>
      </c>
      <c r="M131" s="15">
        <v>0</v>
      </c>
      <c r="N131" s="88">
        <v>0</v>
      </c>
      <c r="Z131" s="11">
        <f t="shared" si="1"/>
        <v>0</v>
      </c>
      <c r="AC131" s="14"/>
    </row>
    <row r="132" spans="1:29" x14ac:dyDescent="0.25">
      <c r="A132" s="87">
        <v>129</v>
      </c>
      <c r="B132" s="86">
        <v>30</v>
      </c>
      <c r="C132" s="97">
        <v>46507</v>
      </c>
      <c r="D132" s="15">
        <v>911056.59</v>
      </c>
      <c r="E132" s="15">
        <v>28304</v>
      </c>
      <c r="F132" s="15">
        <v>7038.85</v>
      </c>
      <c r="G132" s="15">
        <v>7038.85</v>
      </c>
      <c r="H132" s="15">
        <v>21265.15</v>
      </c>
      <c r="I132" s="15">
        <v>889791.44000000006</v>
      </c>
      <c r="J132" s="15">
        <v>0</v>
      </c>
      <c r="K132" s="15">
        <v>0</v>
      </c>
      <c r="L132" s="15">
        <v>0</v>
      </c>
      <c r="M132" s="15">
        <v>0</v>
      </c>
      <c r="N132" s="88">
        <v>0</v>
      </c>
      <c r="Z132" s="11">
        <f t="shared" ref="Z132:Z195" si="2">IF(M132&gt;0,0,-M132)</f>
        <v>0</v>
      </c>
      <c r="AC132" s="14"/>
    </row>
    <row r="133" spans="1:29" x14ac:dyDescent="0.25">
      <c r="A133" s="87">
        <v>130</v>
      </c>
      <c r="B133" s="86">
        <v>31</v>
      </c>
      <c r="C133" s="97">
        <v>46538</v>
      </c>
      <c r="D133" s="15">
        <v>889791.44000000006</v>
      </c>
      <c r="E133" s="15">
        <v>28304</v>
      </c>
      <c r="F133" s="15">
        <v>7103.7</v>
      </c>
      <c r="G133" s="15">
        <v>7103.7</v>
      </c>
      <c r="H133" s="15">
        <v>21200.3</v>
      </c>
      <c r="I133" s="15">
        <v>868591.14</v>
      </c>
      <c r="J133" s="15">
        <v>0</v>
      </c>
      <c r="K133" s="15">
        <v>0</v>
      </c>
      <c r="L133" s="15">
        <v>0</v>
      </c>
      <c r="M133" s="15">
        <v>0</v>
      </c>
      <c r="N133" s="88">
        <v>0</v>
      </c>
      <c r="Z133" s="11">
        <f t="shared" si="2"/>
        <v>0</v>
      </c>
      <c r="AC133" s="14"/>
    </row>
    <row r="134" spans="1:29" x14ac:dyDescent="0.25">
      <c r="A134" s="87">
        <v>131</v>
      </c>
      <c r="B134" s="86">
        <v>30</v>
      </c>
      <c r="C134" s="97">
        <v>46568</v>
      </c>
      <c r="D134" s="15">
        <v>868591.14</v>
      </c>
      <c r="E134" s="15">
        <v>28304</v>
      </c>
      <c r="F134" s="15">
        <v>6710.76</v>
      </c>
      <c r="G134" s="15">
        <v>6710.76</v>
      </c>
      <c r="H134" s="15">
        <v>21593.239999999998</v>
      </c>
      <c r="I134" s="15">
        <v>846997.9</v>
      </c>
      <c r="J134" s="15">
        <v>0</v>
      </c>
      <c r="K134" s="15">
        <v>0</v>
      </c>
      <c r="L134" s="15">
        <v>0</v>
      </c>
      <c r="M134" s="15">
        <v>0</v>
      </c>
      <c r="N134" s="88">
        <v>0</v>
      </c>
      <c r="Z134" s="11">
        <f t="shared" si="2"/>
        <v>0</v>
      </c>
      <c r="AC134" s="14"/>
    </row>
    <row r="135" spans="1:29" x14ac:dyDescent="0.25">
      <c r="A135" s="87">
        <v>132</v>
      </c>
      <c r="B135" s="86">
        <v>31</v>
      </c>
      <c r="C135" s="97">
        <v>46599</v>
      </c>
      <c r="D135" s="15">
        <v>846997.9</v>
      </c>
      <c r="E135" s="15">
        <v>28304</v>
      </c>
      <c r="F135" s="15">
        <v>6762.06</v>
      </c>
      <c r="G135" s="15">
        <v>6762.06</v>
      </c>
      <c r="H135" s="15">
        <v>21541.94</v>
      </c>
      <c r="I135" s="15">
        <v>825455.96</v>
      </c>
      <c r="J135" s="15">
        <v>0</v>
      </c>
      <c r="K135" s="15">
        <v>0</v>
      </c>
      <c r="L135" s="15">
        <v>0</v>
      </c>
      <c r="M135" s="15">
        <v>0</v>
      </c>
      <c r="N135" s="88">
        <v>0</v>
      </c>
      <c r="Z135" s="11">
        <f t="shared" si="2"/>
        <v>0</v>
      </c>
      <c r="AC135" s="14"/>
    </row>
    <row r="136" spans="1:29" x14ac:dyDescent="0.25">
      <c r="A136" s="87">
        <v>133</v>
      </c>
      <c r="B136" s="86">
        <v>31</v>
      </c>
      <c r="C136" s="97">
        <v>46630</v>
      </c>
      <c r="D136" s="15">
        <v>825455.96</v>
      </c>
      <c r="E136" s="15">
        <v>28304</v>
      </c>
      <c r="F136" s="15">
        <v>6590.08</v>
      </c>
      <c r="G136" s="15">
        <v>6590.08</v>
      </c>
      <c r="H136" s="15">
        <v>21713.919999999998</v>
      </c>
      <c r="I136" s="15">
        <v>803742.04</v>
      </c>
      <c r="J136" s="15">
        <v>0</v>
      </c>
      <c r="K136" s="15">
        <v>0</v>
      </c>
      <c r="L136" s="15">
        <v>0</v>
      </c>
      <c r="M136" s="15">
        <v>0</v>
      </c>
      <c r="N136" s="88">
        <v>0</v>
      </c>
      <c r="Z136" s="11">
        <f t="shared" si="2"/>
        <v>0</v>
      </c>
      <c r="AC136" s="14"/>
    </row>
    <row r="137" spans="1:29" x14ac:dyDescent="0.25">
      <c r="A137" s="87">
        <v>134</v>
      </c>
      <c r="B137" s="86">
        <v>30</v>
      </c>
      <c r="C137" s="97">
        <v>46660</v>
      </c>
      <c r="D137" s="15">
        <v>803742.04</v>
      </c>
      <c r="E137" s="15">
        <v>28304</v>
      </c>
      <c r="F137" s="15">
        <v>6209.7300000000005</v>
      </c>
      <c r="G137" s="15">
        <v>6209.7300000000005</v>
      </c>
      <c r="H137" s="15">
        <v>22094.27</v>
      </c>
      <c r="I137" s="15">
        <v>781647.77</v>
      </c>
      <c r="J137" s="15">
        <v>0</v>
      </c>
      <c r="K137" s="15">
        <v>0</v>
      </c>
      <c r="L137" s="15">
        <v>0</v>
      </c>
      <c r="M137" s="15">
        <v>0</v>
      </c>
      <c r="N137" s="88">
        <v>0</v>
      </c>
      <c r="Z137" s="11">
        <f t="shared" si="2"/>
        <v>0</v>
      </c>
      <c r="AC137" s="14"/>
    </row>
    <row r="138" spans="1:29" x14ac:dyDescent="0.25">
      <c r="A138" s="87">
        <v>135</v>
      </c>
      <c r="B138" s="86">
        <v>31</v>
      </c>
      <c r="C138" s="97">
        <v>46691</v>
      </c>
      <c r="D138" s="15">
        <v>781647.77</v>
      </c>
      <c r="E138" s="15">
        <v>28304</v>
      </c>
      <c r="F138" s="15">
        <v>6240.33</v>
      </c>
      <c r="G138" s="15">
        <v>6240.33</v>
      </c>
      <c r="H138" s="15">
        <v>22063.67</v>
      </c>
      <c r="I138" s="15">
        <v>759584.1</v>
      </c>
      <c r="J138" s="15">
        <v>0</v>
      </c>
      <c r="K138" s="15">
        <v>0</v>
      </c>
      <c r="L138" s="15">
        <v>0</v>
      </c>
      <c r="M138" s="15">
        <v>0</v>
      </c>
      <c r="N138" s="88">
        <v>0</v>
      </c>
      <c r="Z138" s="11">
        <f t="shared" si="2"/>
        <v>0</v>
      </c>
      <c r="AC138" s="14"/>
    </row>
    <row r="139" spans="1:29" x14ac:dyDescent="0.25">
      <c r="A139" s="87">
        <v>136</v>
      </c>
      <c r="B139" s="86">
        <v>30</v>
      </c>
      <c r="C139" s="97">
        <v>46721</v>
      </c>
      <c r="D139" s="15">
        <v>759584.1</v>
      </c>
      <c r="E139" s="15">
        <v>28304</v>
      </c>
      <c r="F139" s="15">
        <v>5868.57</v>
      </c>
      <c r="G139" s="15">
        <v>5868.57</v>
      </c>
      <c r="H139" s="15">
        <v>22435.43</v>
      </c>
      <c r="I139" s="15">
        <v>737148.67</v>
      </c>
      <c r="J139" s="15">
        <v>0</v>
      </c>
      <c r="K139" s="15">
        <v>0</v>
      </c>
      <c r="L139" s="15">
        <v>0</v>
      </c>
      <c r="M139" s="15">
        <v>0</v>
      </c>
      <c r="N139" s="88">
        <v>0</v>
      </c>
      <c r="Z139" s="11">
        <f t="shared" si="2"/>
        <v>0</v>
      </c>
      <c r="AC139" s="14"/>
    </row>
    <row r="140" spans="1:29" x14ac:dyDescent="0.25">
      <c r="A140" s="87">
        <v>137</v>
      </c>
      <c r="B140" s="86">
        <v>31</v>
      </c>
      <c r="C140" s="97">
        <v>46752</v>
      </c>
      <c r="D140" s="15">
        <v>737148.67</v>
      </c>
      <c r="E140" s="15">
        <v>28304</v>
      </c>
      <c r="F140" s="15">
        <v>5885.07</v>
      </c>
      <c r="G140" s="15">
        <v>5885.07</v>
      </c>
      <c r="H140" s="15">
        <v>22418.93</v>
      </c>
      <c r="I140" s="15">
        <v>714729.74</v>
      </c>
      <c r="J140" s="15">
        <v>0</v>
      </c>
      <c r="K140" s="15">
        <v>0</v>
      </c>
      <c r="L140" s="15">
        <v>0</v>
      </c>
      <c r="M140" s="15">
        <v>0</v>
      </c>
      <c r="N140" s="88">
        <v>0</v>
      </c>
      <c r="Z140" s="11">
        <f t="shared" si="2"/>
        <v>0</v>
      </c>
      <c r="AC140" s="14"/>
    </row>
    <row r="141" spans="1:29" x14ac:dyDescent="0.25">
      <c r="A141" s="87">
        <v>138</v>
      </c>
      <c r="B141" s="86">
        <v>31</v>
      </c>
      <c r="C141" s="97">
        <v>46783</v>
      </c>
      <c r="D141" s="15">
        <v>714729.74</v>
      </c>
      <c r="E141" s="15">
        <v>28304</v>
      </c>
      <c r="F141" s="15">
        <v>5690.5</v>
      </c>
      <c r="G141" s="15">
        <v>5690.5</v>
      </c>
      <c r="H141" s="15">
        <v>22613.5</v>
      </c>
      <c r="I141" s="15">
        <v>692116.24</v>
      </c>
      <c r="J141" s="15">
        <v>0</v>
      </c>
      <c r="K141" s="15">
        <v>0</v>
      </c>
      <c r="L141" s="15">
        <v>0</v>
      </c>
      <c r="M141" s="15">
        <v>0</v>
      </c>
      <c r="N141" s="88">
        <v>0</v>
      </c>
      <c r="Z141" s="11">
        <f t="shared" si="2"/>
        <v>0</v>
      </c>
      <c r="AC141" s="14"/>
    </row>
    <row r="142" spans="1:29" x14ac:dyDescent="0.25">
      <c r="A142" s="87">
        <v>139</v>
      </c>
      <c r="B142" s="86">
        <v>29</v>
      </c>
      <c r="C142" s="97">
        <v>46812</v>
      </c>
      <c r="D142" s="15">
        <v>692116.24</v>
      </c>
      <c r="E142" s="15">
        <v>28304</v>
      </c>
      <c r="F142" s="15">
        <v>5154.9400000000005</v>
      </c>
      <c r="G142" s="15">
        <v>5154.9400000000005</v>
      </c>
      <c r="H142" s="15">
        <v>23149.059999999998</v>
      </c>
      <c r="I142" s="15">
        <v>668967.18000000005</v>
      </c>
      <c r="J142" s="15">
        <v>0</v>
      </c>
      <c r="K142" s="15">
        <v>0</v>
      </c>
      <c r="L142" s="15">
        <v>0</v>
      </c>
      <c r="M142" s="15">
        <v>0</v>
      </c>
      <c r="N142" s="88">
        <v>0</v>
      </c>
      <c r="Z142" s="11">
        <f t="shared" si="2"/>
        <v>0</v>
      </c>
      <c r="AC142" s="14"/>
    </row>
    <row r="143" spans="1:29" x14ac:dyDescent="0.25">
      <c r="A143" s="87">
        <v>140</v>
      </c>
      <c r="B143" s="86">
        <v>31</v>
      </c>
      <c r="C143" s="97">
        <v>46843</v>
      </c>
      <c r="D143" s="15">
        <v>668967.18000000005</v>
      </c>
      <c r="E143" s="15">
        <v>28304</v>
      </c>
      <c r="F143" s="15">
        <v>5326.1500000000005</v>
      </c>
      <c r="G143" s="15">
        <v>5326.1500000000005</v>
      </c>
      <c r="H143" s="15">
        <v>22977.85</v>
      </c>
      <c r="I143" s="15">
        <v>645989.32999999996</v>
      </c>
      <c r="J143" s="15">
        <v>0</v>
      </c>
      <c r="K143" s="15">
        <v>0</v>
      </c>
      <c r="L143" s="15">
        <v>0</v>
      </c>
      <c r="M143" s="15">
        <v>0</v>
      </c>
      <c r="N143" s="88">
        <v>0</v>
      </c>
      <c r="Z143" s="11">
        <f t="shared" si="2"/>
        <v>0</v>
      </c>
      <c r="AC143" s="14"/>
    </row>
    <row r="144" spans="1:29" x14ac:dyDescent="0.25">
      <c r="A144" s="87">
        <v>141</v>
      </c>
      <c r="B144" s="86">
        <v>30</v>
      </c>
      <c r="C144" s="97">
        <v>46873</v>
      </c>
      <c r="D144" s="15">
        <v>645989.32999999996</v>
      </c>
      <c r="E144" s="15">
        <v>28304</v>
      </c>
      <c r="F144" s="15">
        <v>4977.29</v>
      </c>
      <c r="G144" s="15">
        <v>4977.29</v>
      </c>
      <c r="H144" s="15">
        <v>23326.71</v>
      </c>
      <c r="I144" s="15">
        <v>622662.62</v>
      </c>
      <c r="J144" s="15">
        <v>0</v>
      </c>
      <c r="K144" s="15">
        <v>0</v>
      </c>
      <c r="L144" s="15">
        <v>0</v>
      </c>
      <c r="M144" s="15">
        <v>0</v>
      </c>
      <c r="N144" s="88">
        <v>0</v>
      </c>
      <c r="Z144" s="11">
        <f t="shared" si="2"/>
        <v>0</v>
      </c>
      <c r="AC144" s="14"/>
    </row>
    <row r="145" spans="1:29" x14ac:dyDescent="0.25">
      <c r="A145" s="87">
        <v>142</v>
      </c>
      <c r="B145" s="86">
        <v>31</v>
      </c>
      <c r="C145" s="97">
        <v>46904</v>
      </c>
      <c r="D145" s="15">
        <v>622662.62</v>
      </c>
      <c r="E145" s="15">
        <v>28304</v>
      </c>
      <c r="F145" s="15">
        <v>4957.4800000000005</v>
      </c>
      <c r="G145" s="15">
        <v>4957.4800000000005</v>
      </c>
      <c r="H145" s="15">
        <v>23346.52</v>
      </c>
      <c r="I145" s="15">
        <v>599316.1</v>
      </c>
      <c r="J145" s="15">
        <v>0</v>
      </c>
      <c r="K145" s="15">
        <v>0</v>
      </c>
      <c r="L145" s="15">
        <v>0</v>
      </c>
      <c r="M145" s="15">
        <v>0</v>
      </c>
      <c r="N145" s="88">
        <v>0</v>
      </c>
      <c r="Z145" s="11">
        <f t="shared" si="2"/>
        <v>0</v>
      </c>
      <c r="AC145" s="14"/>
    </row>
    <row r="146" spans="1:29" x14ac:dyDescent="0.25">
      <c r="A146" s="87">
        <v>143</v>
      </c>
      <c r="B146" s="86">
        <v>30</v>
      </c>
      <c r="C146" s="97">
        <v>46934</v>
      </c>
      <c r="D146" s="15">
        <v>599316.1</v>
      </c>
      <c r="E146" s="15">
        <v>28304</v>
      </c>
      <c r="F146" s="15">
        <v>4617.68</v>
      </c>
      <c r="G146" s="15">
        <v>4617.68</v>
      </c>
      <c r="H146" s="15">
        <v>23686.32</v>
      </c>
      <c r="I146" s="15">
        <v>575629.78</v>
      </c>
      <c r="J146" s="15">
        <v>0</v>
      </c>
      <c r="K146" s="15">
        <v>0</v>
      </c>
      <c r="L146" s="15">
        <v>0</v>
      </c>
      <c r="M146" s="15">
        <v>0</v>
      </c>
      <c r="N146" s="88">
        <v>0</v>
      </c>
      <c r="Z146" s="11">
        <f t="shared" si="2"/>
        <v>0</v>
      </c>
      <c r="AC146" s="14"/>
    </row>
    <row r="147" spans="1:29" x14ac:dyDescent="0.25">
      <c r="A147" s="87">
        <v>144</v>
      </c>
      <c r="B147" s="86">
        <v>31</v>
      </c>
      <c r="C147" s="97">
        <v>46965</v>
      </c>
      <c r="D147" s="15">
        <v>575629.78</v>
      </c>
      <c r="E147" s="15">
        <v>28304</v>
      </c>
      <c r="F147" s="15">
        <v>4583.0200000000004</v>
      </c>
      <c r="G147" s="15">
        <v>4583.0200000000004</v>
      </c>
      <c r="H147" s="15">
        <v>23720.98</v>
      </c>
      <c r="I147" s="15">
        <v>551908.80000000005</v>
      </c>
      <c r="J147" s="15">
        <v>0</v>
      </c>
      <c r="K147" s="15">
        <v>0</v>
      </c>
      <c r="L147" s="15">
        <v>0</v>
      </c>
      <c r="M147" s="15">
        <v>0</v>
      </c>
      <c r="N147" s="88">
        <v>0</v>
      </c>
      <c r="Z147" s="11">
        <f t="shared" si="2"/>
        <v>0</v>
      </c>
      <c r="AC147" s="14"/>
    </row>
    <row r="148" spans="1:29" x14ac:dyDescent="0.25">
      <c r="A148" s="87">
        <v>145</v>
      </c>
      <c r="B148" s="86">
        <v>31</v>
      </c>
      <c r="C148" s="97">
        <v>46996</v>
      </c>
      <c r="D148" s="15">
        <v>551908.80000000005</v>
      </c>
      <c r="E148" s="15">
        <v>28304</v>
      </c>
      <c r="F148" s="15">
        <v>4394.16</v>
      </c>
      <c r="G148" s="15">
        <v>4394.16</v>
      </c>
      <c r="H148" s="15">
        <v>23909.84</v>
      </c>
      <c r="I148" s="15">
        <v>527998.96</v>
      </c>
      <c r="J148" s="15">
        <v>0</v>
      </c>
      <c r="K148" s="15">
        <v>0</v>
      </c>
      <c r="L148" s="15">
        <v>0</v>
      </c>
      <c r="M148" s="15">
        <v>0</v>
      </c>
      <c r="N148" s="88">
        <v>0</v>
      </c>
      <c r="Z148" s="11">
        <f t="shared" si="2"/>
        <v>0</v>
      </c>
      <c r="AC148" s="14"/>
    </row>
    <row r="149" spans="1:29" x14ac:dyDescent="0.25">
      <c r="A149" s="87">
        <v>146</v>
      </c>
      <c r="B149" s="86">
        <v>30</v>
      </c>
      <c r="C149" s="97">
        <v>47026</v>
      </c>
      <c r="D149" s="15">
        <v>527998.96</v>
      </c>
      <c r="E149" s="15">
        <v>28304</v>
      </c>
      <c r="F149" s="15">
        <v>4068.19</v>
      </c>
      <c r="G149" s="15">
        <v>4068.19</v>
      </c>
      <c r="H149" s="15">
        <v>24235.81</v>
      </c>
      <c r="I149" s="15">
        <v>503763.15</v>
      </c>
      <c r="J149" s="15">
        <v>0</v>
      </c>
      <c r="K149" s="15">
        <v>0</v>
      </c>
      <c r="L149" s="15">
        <v>0</v>
      </c>
      <c r="M149" s="15">
        <v>0</v>
      </c>
      <c r="N149" s="88">
        <v>0</v>
      </c>
      <c r="Z149" s="11">
        <f t="shared" si="2"/>
        <v>0</v>
      </c>
      <c r="AC149" s="14"/>
    </row>
    <row r="150" spans="1:29" x14ac:dyDescent="0.25">
      <c r="A150" s="87">
        <v>147</v>
      </c>
      <c r="B150" s="86">
        <v>31</v>
      </c>
      <c r="C150" s="97">
        <v>47057</v>
      </c>
      <c r="D150" s="15">
        <v>503763.15</v>
      </c>
      <c r="E150" s="15">
        <v>28304</v>
      </c>
      <c r="F150" s="15">
        <v>4010.84</v>
      </c>
      <c r="G150" s="15">
        <v>4010.84</v>
      </c>
      <c r="H150" s="15">
        <v>24293.16</v>
      </c>
      <c r="I150" s="15">
        <v>479469.99</v>
      </c>
      <c r="J150" s="15">
        <v>0</v>
      </c>
      <c r="K150" s="15">
        <v>0</v>
      </c>
      <c r="L150" s="15">
        <v>0</v>
      </c>
      <c r="M150" s="15">
        <v>0</v>
      </c>
      <c r="N150" s="88">
        <v>0</v>
      </c>
      <c r="Z150" s="11">
        <f t="shared" si="2"/>
        <v>0</v>
      </c>
      <c r="AC150" s="14"/>
    </row>
    <row r="151" spans="1:29" x14ac:dyDescent="0.25">
      <c r="A151" s="87">
        <v>148</v>
      </c>
      <c r="B151" s="86">
        <v>30</v>
      </c>
      <c r="C151" s="97">
        <v>47087</v>
      </c>
      <c r="D151" s="15">
        <v>479469.99</v>
      </c>
      <c r="E151" s="15">
        <v>28304</v>
      </c>
      <c r="F151" s="15">
        <v>3694.28</v>
      </c>
      <c r="G151" s="15">
        <v>3694.28</v>
      </c>
      <c r="H151" s="15">
        <v>24609.72</v>
      </c>
      <c r="I151" s="15">
        <v>454860.27</v>
      </c>
      <c r="J151" s="15">
        <v>0</v>
      </c>
      <c r="K151" s="15">
        <v>0</v>
      </c>
      <c r="L151" s="15">
        <v>0</v>
      </c>
      <c r="M151" s="15">
        <v>0</v>
      </c>
      <c r="N151" s="88">
        <v>0</v>
      </c>
      <c r="Z151" s="11">
        <f t="shared" si="2"/>
        <v>0</v>
      </c>
      <c r="AC151" s="14"/>
    </row>
    <row r="152" spans="1:29" x14ac:dyDescent="0.25">
      <c r="A152" s="87">
        <v>149</v>
      </c>
      <c r="B152" s="86">
        <v>31</v>
      </c>
      <c r="C152" s="97">
        <v>47118</v>
      </c>
      <c r="D152" s="15">
        <v>454860.27</v>
      </c>
      <c r="E152" s="15">
        <v>28304</v>
      </c>
      <c r="F152" s="15">
        <v>3621.48</v>
      </c>
      <c r="G152" s="15">
        <v>3621.48</v>
      </c>
      <c r="H152" s="15">
        <v>24682.52</v>
      </c>
      <c r="I152" s="15">
        <v>430177.75</v>
      </c>
      <c r="J152" s="15">
        <v>0</v>
      </c>
      <c r="K152" s="15">
        <v>0</v>
      </c>
      <c r="L152" s="15">
        <v>0</v>
      </c>
      <c r="M152" s="15">
        <v>0</v>
      </c>
      <c r="N152" s="88">
        <v>0</v>
      </c>
      <c r="Z152" s="11">
        <f t="shared" si="2"/>
        <v>0</v>
      </c>
      <c r="AC152" s="14"/>
    </row>
    <row r="153" spans="1:29" x14ac:dyDescent="0.25">
      <c r="A153" s="87">
        <v>150</v>
      </c>
      <c r="B153" s="86">
        <v>31</v>
      </c>
      <c r="C153" s="97">
        <v>47149</v>
      </c>
      <c r="D153" s="15">
        <v>430177.75</v>
      </c>
      <c r="E153" s="15">
        <v>28304</v>
      </c>
      <c r="F153" s="15">
        <v>3434.35</v>
      </c>
      <c r="G153" s="15">
        <v>3434.35</v>
      </c>
      <c r="H153" s="15">
        <v>24869.65</v>
      </c>
      <c r="I153" s="15">
        <v>405308.10000000003</v>
      </c>
      <c r="J153" s="15">
        <v>0</v>
      </c>
      <c r="K153" s="15">
        <v>0</v>
      </c>
      <c r="L153" s="15">
        <v>0</v>
      </c>
      <c r="M153" s="15">
        <v>0</v>
      </c>
      <c r="N153" s="88">
        <v>0</v>
      </c>
      <c r="Z153" s="11">
        <f t="shared" si="2"/>
        <v>0</v>
      </c>
      <c r="AC153" s="14"/>
    </row>
    <row r="154" spans="1:29" x14ac:dyDescent="0.25">
      <c r="A154" s="87">
        <v>151</v>
      </c>
      <c r="B154" s="86">
        <v>28</v>
      </c>
      <c r="C154" s="97">
        <v>47177</v>
      </c>
      <c r="D154" s="15">
        <v>405308.10000000003</v>
      </c>
      <c r="E154" s="15">
        <v>28304</v>
      </c>
      <c r="F154" s="15">
        <v>2922.66</v>
      </c>
      <c r="G154" s="15">
        <v>2922.66</v>
      </c>
      <c r="H154" s="15">
        <v>25381.34</v>
      </c>
      <c r="I154" s="15">
        <v>379926.76</v>
      </c>
      <c r="J154" s="15">
        <v>0</v>
      </c>
      <c r="K154" s="15">
        <v>0</v>
      </c>
      <c r="L154" s="15">
        <v>0</v>
      </c>
      <c r="M154" s="15">
        <v>0</v>
      </c>
      <c r="N154" s="88">
        <v>0</v>
      </c>
      <c r="Z154" s="11">
        <f t="shared" si="2"/>
        <v>0</v>
      </c>
      <c r="AC154" s="14"/>
    </row>
    <row r="155" spans="1:29" x14ac:dyDescent="0.25">
      <c r="A155" s="87">
        <v>152</v>
      </c>
      <c r="B155" s="86">
        <v>31</v>
      </c>
      <c r="C155" s="97">
        <v>47208</v>
      </c>
      <c r="D155" s="15">
        <v>379926.76</v>
      </c>
      <c r="E155" s="15">
        <v>28304</v>
      </c>
      <c r="F155" s="15">
        <v>3033.17</v>
      </c>
      <c r="G155" s="15">
        <v>3033.17</v>
      </c>
      <c r="H155" s="15">
        <v>25270.83</v>
      </c>
      <c r="I155" s="15">
        <v>354655.93</v>
      </c>
      <c r="J155" s="15">
        <v>0</v>
      </c>
      <c r="K155" s="15">
        <v>0</v>
      </c>
      <c r="L155" s="15">
        <v>0</v>
      </c>
      <c r="M155" s="15">
        <v>0</v>
      </c>
      <c r="N155" s="88">
        <v>0</v>
      </c>
      <c r="Z155" s="11">
        <f t="shared" si="2"/>
        <v>0</v>
      </c>
      <c r="AC155" s="14"/>
    </row>
    <row r="156" spans="1:29" x14ac:dyDescent="0.25">
      <c r="A156" s="87">
        <v>153</v>
      </c>
      <c r="B156" s="86">
        <v>30</v>
      </c>
      <c r="C156" s="97">
        <v>47238</v>
      </c>
      <c r="D156" s="15">
        <v>354655.93</v>
      </c>
      <c r="E156" s="15">
        <v>28304</v>
      </c>
      <c r="F156" s="15">
        <v>2740.08</v>
      </c>
      <c r="G156" s="15">
        <v>2740.08</v>
      </c>
      <c r="H156" s="15">
        <v>25563.919999999998</v>
      </c>
      <c r="I156" s="15">
        <v>329092.01</v>
      </c>
      <c r="J156" s="15">
        <v>0</v>
      </c>
      <c r="K156" s="15">
        <v>0</v>
      </c>
      <c r="L156" s="15">
        <v>0</v>
      </c>
      <c r="M156" s="15">
        <v>0</v>
      </c>
      <c r="N156" s="88">
        <v>0</v>
      </c>
      <c r="Z156" s="11">
        <f t="shared" si="2"/>
        <v>0</v>
      </c>
      <c r="AC156" s="14"/>
    </row>
    <row r="157" spans="1:29" x14ac:dyDescent="0.25">
      <c r="A157" s="87">
        <v>154</v>
      </c>
      <c r="B157" s="86">
        <v>31</v>
      </c>
      <c r="C157" s="97">
        <v>47269</v>
      </c>
      <c r="D157" s="15">
        <v>329092.01</v>
      </c>
      <c r="E157" s="15">
        <v>28304</v>
      </c>
      <c r="F157" s="15">
        <v>2627.33</v>
      </c>
      <c r="G157" s="15">
        <v>2627.33</v>
      </c>
      <c r="H157" s="15">
        <v>25676.67</v>
      </c>
      <c r="I157" s="15">
        <v>303415.34000000003</v>
      </c>
      <c r="J157" s="15">
        <v>0</v>
      </c>
      <c r="K157" s="15">
        <v>0</v>
      </c>
      <c r="L157" s="15">
        <v>0</v>
      </c>
      <c r="M157" s="15">
        <v>0</v>
      </c>
      <c r="N157" s="88">
        <v>0</v>
      </c>
      <c r="Z157" s="11">
        <f t="shared" si="2"/>
        <v>0</v>
      </c>
      <c r="AC157" s="14"/>
    </row>
    <row r="158" spans="1:29" x14ac:dyDescent="0.25">
      <c r="A158" s="87">
        <v>155</v>
      </c>
      <c r="B158" s="86">
        <v>30</v>
      </c>
      <c r="C158" s="97">
        <v>47299</v>
      </c>
      <c r="D158" s="15">
        <v>303415.34000000003</v>
      </c>
      <c r="E158" s="15">
        <v>28304</v>
      </c>
      <c r="F158" s="15">
        <v>2344.2000000000003</v>
      </c>
      <c r="G158" s="15">
        <v>2344.2000000000003</v>
      </c>
      <c r="H158" s="15">
        <v>25959.8</v>
      </c>
      <c r="I158" s="15">
        <v>277455.53999999998</v>
      </c>
      <c r="J158" s="15">
        <v>0</v>
      </c>
      <c r="K158" s="15">
        <v>0</v>
      </c>
      <c r="L158" s="15">
        <v>0</v>
      </c>
      <c r="M158" s="15">
        <v>0</v>
      </c>
      <c r="N158" s="88">
        <v>0</v>
      </c>
      <c r="Z158" s="11">
        <f t="shared" si="2"/>
        <v>0</v>
      </c>
      <c r="AC158" s="14"/>
    </row>
    <row r="159" spans="1:29" x14ac:dyDescent="0.25">
      <c r="A159" s="87">
        <v>156</v>
      </c>
      <c r="B159" s="86">
        <v>31</v>
      </c>
      <c r="C159" s="97">
        <v>47330</v>
      </c>
      <c r="D159" s="15">
        <v>277455.53999999998</v>
      </c>
      <c r="E159" s="15">
        <v>28304</v>
      </c>
      <c r="F159" s="15">
        <v>2215.08</v>
      </c>
      <c r="G159" s="15">
        <v>2215.08</v>
      </c>
      <c r="H159" s="15">
        <v>26088.92</v>
      </c>
      <c r="I159" s="15">
        <v>251366.62</v>
      </c>
      <c r="J159" s="15">
        <v>0</v>
      </c>
      <c r="K159" s="15">
        <v>0</v>
      </c>
      <c r="L159" s="15">
        <v>0</v>
      </c>
      <c r="M159" s="15">
        <v>0</v>
      </c>
      <c r="N159" s="88">
        <v>0</v>
      </c>
      <c r="Z159" s="11">
        <f t="shared" si="2"/>
        <v>0</v>
      </c>
      <c r="AC159" s="14"/>
    </row>
    <row r="160" spans="1:29" x14ac:dyDescent="0.25">
      <c r="A160" s="87">
        <v>157</v>
      </c>
      <c r="B160" s="86">
        <v>31</v>
      </c>
      <c r="C160" s="97">
        <v>47361</v>
      </c>
      <c r="D160" s="15">
        <v>251366.62</v>
      </c>
      <c r="E160" s="15">
        <v>28304</v>
      </c>
      <c r="F160" s="15">
        <v>2006.8</v>
      </c>
      <c r="G160" s="15">
        <v>2006.8</v>
      </c>
      <c r="H160" s="15">
        <v>26297.200000000001</v>
      </c>
      <c r="I160" s="15">
        <v>225069.42</v>
      </c>
      <c r="J160" s="15">
        <v>0</v>
      </c>
      <c r="K160" s="15">
        <v>0</v>
      </c>
      <c r="L160" s="15">
        <v>0</v>
      </c>
      <c r="M160" s="15">
        <v>0</v>
      </c>
      <c r="N160" s="88">
        <v>0</v>
      </c>
      <c r="Z160" s="11">
        <f t="shared" si="2"/>
        <v>0</v>
      </c>
      <c r="AC160" s="14"/>
    </row>
    <row r="161" spans="1:29" x14ac:dyDescent="0.25">
      <c r="A161" s="87">
        <v>158</v>
      </c>
      <c r="B161" s="86">
        <v>30</v>
      </c>
      <c r="C161" s="97">
        <v>47391</v>
      </c>
      <c r="D161" s="15">
        <v>225069.42</v>
      </c>
      <c r="E161" s="15">
        <v>28304</v>
      </c>
      <c r="F161" s="15">
        <v>1738.89</v>
      </c>
      <c r="G161" s="15">
        <v>1738.89</v>
      </c>
      <c r="H161" s="15">
        <v>26565.11</v>
      </c>
      <c r="I161" s="15">
        <v>198504.31</v>
      </c>
      <c r="J161" s="15">
        <v>0</v>
      </c>
      <c r="K161" s="15">
        <v>0</v>
      </c>
      <c r="L161" s="15">
        <v>0</v>
      </c>
      <c r="M161" s="15">
        <v>0</v>
      </c>
      <c r="N161" s="88">
        <v>0</v>
      </c>
      <c r="Z161" s="11">
        <f t="shared" si="2"/>
        <v>0</v>
      </c>
      <c r="AC161" s="14"/>
    </row>
    <row r="162" spans="1:29" x14ac:dyDescent="0.25">
      <c r="A162" s="87">
        <v>159</v>
      </c>
      <c r="B162" s="86">
        <v>31</v>
      </c>
      <c r="C162" s="97">
        <v>47422</v>
      </c>
      <c r="D162" s="15">
        <v>198504.31</v>
      </c>
      <c r="E162" s="15">
        <v>28304</v>
      </c>
      <c r="F162" s="15">
        <v>1584.77</v>
      </c>
      <c r="G162" s="15">
        <v>1584.77</v>
      </c>
      <c r="H162" s="15">
        <v>26719.23</v>
      </c>
      <c r="I162" s="15">
        <v>171785.08000000002</v>
      </c>
      <c r="J162" s="15">
        <v>0</v>
      </c>
      <c r="K162" s="15">
        <v>0</v>
      </c>
      <c r="L162" s="15">
        <v>0</v>
      </c>
      <c r="M162" s="15">
        <v>0</v>
      </c>
      <c r="N162" s="88">
        <v>0</v>
      </c>
      <c r="Z162" s="11">
        <f t="shared" si="2"/>
        <v>0</v>
      </c>
      <c r="AC162" s="14"/>
    </row>
    <row r="163" spans="1:29" x14ac:dyDescent="0.25">
      <c r="A163" s="87">
        <v>160</v>
      </c>
      <c r="B163" s="86">
        <v>30</v>
      </c>
      <c r="C163" s="97">
        <v>47452</v>
      </c>
      <c r="D163" s="15">
        <v>171785.08000000002</v>
      </c>
      <c r="E163" s="15">
        <v>28304</v>
      </c>
      <c r="F163" s="15">
        <v>1327.22</v>
      </c>
      <c r="G163" s="15">
        <v>1327.22</v>
      </c>
      <c r="H163" s="15">
        <v>26976.78</v>
      </c>
      <c r="I163" s="15">
        <v>144808.30000000002</v>
      </c>
      <c r="J163" s="15">
        <v>0</v>
      </c>
      <c r="K163" s="15">
        <v>0</v>
      </c>
      <c r="L163" s="15">
        <v>0</v>
      </c>
      <c r="M163" s="15">
        <v>0</v>
      </c>
      <c r="N163" s="88">
        <v>0</v>
      </c>
      <c r="Z163" s="11">
        <f t="shared" si="2"/>
        <v>0</v>
      </c>
      <c r="AC163" s="14"/>
    </row>
    <row r="164" spans="1:29" x14ac:dyDescent="0.25">
      <c r="A164" s="87">
        <v>161</v>
      </c>
      <c r="B164" s="86">
        <v>31</v>
      </c>
      <c r="C164" s="97">
        <v>47483</v>
      </c>
      <c r="D164" s="15">
        <v>144808.30000000002</v>
      </c>
      <c r="E164" s="15">
        <v>28304</v>
      </c>
      <c r="F164" s="15">
        <v>1156.0899999999999</v>
      </c>
      <c r="G164" s="15">
        <v>1156.0899999999999</v>
      </c>
      <c r="H164" s="15">
        <v>27147.91</v>
      </c>
      <c r="I164" s="15">
        <v>117660.39</v>
      </c>
      <c r="J164" s="15">
        <v>0</v>
      </c>
      <c r="K164" s="15">
        <v>0</v>
      </c>
      <c r="L164" s="15">
        <v>0</v>
      </c>
      <c r="M164" s="15">
        <v>0</v>
      </c>
      <c r="N164" s="88">
        <v>0</v>
      </c>
      <c r="Z164" s="11">
        <f t="shared" si="2"/>
        <v>0</v>
      </c>
      <c r="AC164" s="14"/>
    </row>
    <row r="165" spans="1:29" x14ac:dyDescent="0.25">
      <c r="A165" s="87">
        <v>162</v>
      </c>
      <c r="B165" s="86">
        <v>31</v>
      </c>
      <c r="C165" s="97">
        <v>47514</v>
      </c>
      <c r="D165" s="15">
        <v>117660.39</v>
      </c>
      <c r="E165" s="15">
        <v>28304</v>
      </c>
      <c r="F165" s="15">
        <v>939.35</v>
      </c>
      <c r="G165" s="15">
        <v>939.35</v>
      </c>
      <c r="H165" s="15">
        <v>27364.65</v>
      </c>
      <c r="I165" s="15">
        <v>90295.74</v>
      </c>
      <c r="J165" s="15">
        <v>0</v>
      </c>
      <c r="K165" s="15">
        <v>0</v>
      </c>
      <c r="L165" s="15">
        <v>0</v>
      </c>
      <c r="M165" s="15">
        <v>0</v>
      </c>
      <c r="N165" s="88">
        <v>0</v>
      </c>
      <c r="Z165" s="11">
        <f t="shared" si="2"/>
        <v>0</v>
      </c>
      <c r="AC165" s="14"/>
    </row>
    <row r="166" spans="1:29" x14ac:dyDescent="0.25">
      <c r="A166" s="87">
        <v>163</v>
      </c>
      <c r="B166" s="86">
        <v>28</v>
      </c>
      <c r="C166" s="97">
        <v>47542</v>
      </c>
      <c r="D166" s="15">
        <v>90295.74</v>
      </c>
      <c r="E166" s="15">
        <v>28304</v>
      </c>
      <c r="F166" s="15">
        <v>651.12</v>
      </c>
      <c r="G166" s="15">
        <v>651.12</v>
      </c>
      <c r="H166" s="15">
        <v>27652.880000000001</v>
      </c>
      <c r="I166" s="15">
        <v>62642.86</v>
      </c>
      <c r="J166" s="15">
        <v>0</v>
      </c>
      <c r="K166" s="15">
        <v>0</v>
      </c>
      <c r="L166" s="15">
        <v>0</v>
      </c>
      <c r="M166" s="15">
        <v>0</v>
      </c>
      <c r="N166" s="88">
        <v>0</v>
      </c>
      <c r="Z166" s="11">
        <f t="shared" si="2"/>
        <v>0</v>
      </c>
      <c r="AC166" s="14"/>
    </row>
    <row r="167" spans="1:29" x14ac:dyDescent="0.25">
      <c r="A167" s="87">
        <v>164</v>
      </c>
      <c r="B167" s="86">
        <v>31</v>
      </c>
      <c r="C167" s="97">
        <v>47573</v>
      </c>
      <c r="D167" s="15">
        <v>62642.86</v>
      </c>
      <c r="E167" s="15">
        <v>28304</v>
      </c>
      <c r="F167" s="15">
        <v>500.11</v>
      </c>
      <c r="G167" s="15">
        <v>500.11</v>
      </c>
      <c r="H167" s="15">
        <v>27803.89</v>
      </c>
      <c r="I167" s="15">
        <v>34838.97</v>
      </c>
      <c r="J167" s="15">
        <v>0</v>
      </c>
      <c r="K167" s="15">
        <v>0</v>
      </c>
      <c r="L167" s="15">
        <v>0</v>
      </c>
      <c r="M167" s="15">
        <v>0</v>
      </c>
      <c r="N167" s="88">
        <v>0</v>
      </c>
      <c r="Z167" s="11">
        <f t="shared" si="2"/>
        <v>0</v>
      </c>
      <c r="AC167" s="14"/>
    </row>
    <row r="168" spans="1:29" x14ac:dyDescent="0.25">
      <c r="A168" s="87">
        <v>165</v>
      </c>
      <c r="B168" s="86">
        <v>30</v>
      </c>
      <c r="C168" s="97">
        <v>47603</v>
      </c>
      <c r="D168" s="15">
        <v>34838.97</v>
      </c>
      <c r="E168" s="15">
        <v>28304</v>
      </c>
      <c r="F168" s="15">
        <v>269.17</v>
      </c>
      <c r="G168" s="15">
        <v>269.17</v>
      </c>
      <c r="H168" s="15">
        <v>28034.83</v>
      </c>
      <c r="I168" s="15">
        <v>6804.14</v>
      </c>
      <c r="J168" s="15">
        <v>0</v>
      </c>
      <c r="K168" s="15">
        <v>0</v>
      </c>
      <c r="L168" s="15">
        <v>0</v>
      </c>
      <c r="M168" s="15">
        <v>0</v>
      </c>
      <c r="N168" s="88">
        <v>0</v>
      </c>
      <c r="Z168" s="11">
        <f t="shared" si="2"/>
        <v>0</v>
      </c>
      <c r="AC168" s="14"/>
    </row>
    <row r="169" spans="1:29" x14ac:dyDescent="0.25">
      <c r="A169" s="87">
        <v>166</v>
      </c>
      <c r="B169" s="86">
        <v>31</v>
      </c>
      <c r="C169" s="97">
        <v>47634</v>
      </c>
      <c r="D169" s="15">
        <v>6804.14</v>
      </c>
      <c r="E169" s="15">
        <v>6858.46</v>
      </c>
      <c r="F169" s="15">
        <v>54.32</v>
      </c>
      <c r="G169" s="15">
        <v>54.32</v>
      </c>
      <c r="H169" s="15">
        <v>6804.14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88">
        <v>0</v>
      </c>
      <c r="Z169" s="11">
        <f t="shared" si="2"/>
        <v>0</v>
      </c>
      <c r="AC169" s="14"/>
    </row>
    <row r="170" spans="1:29" x14ac:dyDescent="0.25">
      <c r="A170" s="87"/>
      <c r="B170" s="86"/>
      <c r="C170" s="97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88"/>
      <c r="Z170" s="11">
        <f t="shared" si="2"/>
        <v>0</v>
      </c>
      <c r="AC170" s="14"/>
    </row>
    <row r="171" spans="1:29" x14ac:dyDescent="0.25">
      <c r="A171" s="87"/>
      <c r="B171" s="86"/>
      <c r="C171" s="97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88"/>
      <c r="Z171" s="11">
        <f t="shared" si="2"/>
        <v>0</v>
      </c>
      <c r="AC171" s="14"/>
    </row>
    <row r="172" spans="1:29" x14ac:dyDescent="0.25">
      <c r="A172" s="87"/>
      <c r="B172" s="86"/>
      <c r="C172" s="97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88"/>
      <c r="Z172" s="11">
        <f t="shared" si="2"/>
        <v>0</v>
      </c>
      <c r="AC172" s="14"/>
    </row>
    <row r="173" spans="1:29" x14ac:dyDescent="0.25">
      <c r="A173" s="87"/>
      <c r="B173" s="86"/>
      <c r="C173" s="97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88"/>
      <c r="Z173" s="11">
        <f t="shared" si="2"/>
        <v>0</v>
      </c>
      <c r="AC173" s="14"/>
    </row>
    <row r="174" spans="1:29" x14ac:dyDescent="0.25">
      <c r="A174" s="87"/>
      <c r="B174" s="86"/>
      <c r="C174" s="97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88"/>
      <c r="Z174" s="11">
        <f t="shared" si="2"/>
        <v>0</v>
      </c>
      <c r="AC174" s="14"/>
    </row>
    <row r="175" spans="1:29" x14ac:dyDescent="0.25">
      <c r="A175" s="87"/>
      <c r="B175" s="86"/>
      <c r="C175" s="97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88"/>
      <c r="Z175" s="11">
        <f t="shared" si="2"/>
        <v>0</v>
      </c>
      <c r="AC175" s="14"/>
    </row>
    <row r="176" spans="1:29" x14ac:dyDescent="0.25">
      <c r="A176" s="87"/>
      <c r="B176" s="86"/>
      <c r="C176" s="97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88"/>
      <c r="Z176" s="11">
        <f t="shared" si="2"/>
        <v>0</v>
      </c>
      <c r="AC176" s="14"/>
    </row>
    <row r="177" spans="1:29" x14ac:dyDescent="0.25">
      <c r="A177" s="87"/>
      <c r="B177" s="86"/>
      <c r="C177" s="97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88"/>
      <c r="Z177" s="11">
        <f t="shared" si="2"/>
        <v>0</v>
      </c>
      <c r="AC177" s="14"/>
    </row>
    <row r="178" spans="1:29" x14ac:dyDescent="0.25">
      <c r="A178" s="87"/>
      <c r="B178" s="86"/>
      <c r="C178" s="97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88"/>
      <c r="Z178" s="11">
        <f t="shared" si="2"/>
        <v>0</v>
      </c>
      <c r="AC178" s="14"/>
    </row>
    <row r="179" spans="1:29" x14ac:dyDescent="0.25">
      <c r="A179" s="87"/>
      <c r="B179" s="86"/>
      <c r="C179" s="97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88"/>
      <c r="Z179" s="11">
        <f t="shared" si="2"/>
        <v>0</v>
      </c>
      <c r="AC179" s="14"/>
    </row>
    <row r="180" spans="1:29" x14ac:dyDescent="0.25">
      <c r="A180" s="87"/>
      <c r="B180" s="86"/>
      <c r="C180" s="97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88"/>
      <c r="Z180" s="11">
        <f t="shared" si="2"/>
        <v>0</v>
      </c>
      <c r="AC180" s="14"/>
    </row>
    <row r="181" spans="1:29" x14ac:dyDescent="0.25">
      <c r="A181" s="87"/>
      <c r="B181" s="86"/>
      <c r="C181" s="97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88"/>
      <c r="Z181" s="11">
        <f t="shared" si="2"/>
        <v>0</v>
      </c>
      <c r="AC181" s="14"/>
    </row>
    <row r="182" spans="1:29" x14ac:dyDescent="0.25">
      <c r="A182" s="87"/>
      <c r="B182" s="86"/>
      <c r="C182" s="97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88"/>
      <c r="Z182" s="11">
        <f t="shared" si="2"/>
        <v>0</v>
      </c>
      <c r="AC182" s="14"/>
    </row>
    <row r="183" spans="1:29" x14ac:dyDescent="0.25">
      <c r="A183" s="87"/>
      <c r="B183" s="86"/>
      <c r="C183" s="97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88"/>
      <c r="Z183" s="11">
        <f t="shared" si="2"/>
        <v>0</v>
      </c>
      <c r="AC183" s="14"/>
    </row>
    <row r="184" spans="1:29" x14ac:dyDescent="0.25">
      <c r="A184" s="87"/>
      <c r="B184" s="86"/>
      <c r="C184" s="97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88"/>
      <c r="Z184" s="11">
        <f t="shared" si="2"/>
        <v>0</v>
      </c>
      <c r="AC184" s="14"/>
    </row>
    <row r="185" spans="1:29" x14ac:dyDescent="0.25">
      <c r="A185" s="87"/>
      <c r="B185" s="86"/>
      <c r="C185" s="97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88"/>
      <c r="Z185" s="11">
        <f t="shared" si="2"/>
        <v>0</v>
      </c>
      <c r="AC185" s="14"/>
    </row>
    <row r="186" spans="1:29" x14ac:dyDescent="0.25">
      <c r="A186" s="87"/>
      <c r="B186" s="86"/>
      <c r="C186" s="97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88"/>
      <c r="Z186" s="11">
        <f t="shared" si="2"/>
        <v>0</v>
      </c>
      <c r="AC186" s="14"/>
    </row>
    <row r="187" spans="1:29" x14ac:dyDescent="0.25">
      <c r="A187" s="87"/>
      <c r="B187" s="86"/>
      <c r="C187" s="97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88"/>
      <c r="Z187" s="11">
        <f t="shared" si="2"/>
        <v>0</v>
      </c>
      <c r="AC187" s="14"/>
    </row>
    <row r="188" spans="1:29" x14ac:dyDescent="0.25">
      <c r="A188" s="87"/>
      <c r="B188" s="86"/>
      <c r="C188" s="97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88"/>
      <c r="Z188" s="11">
        <f t="shared" si="2"/>
        <v>0</v>
      </c>
      <c r="AC188" s="14"/>
    </row>
    <row r="189" spans="1:29" x14ac:dyDescent="0.25">
      <c r="A189" s="87"/>
      <c r="B189" s="86"/>
      <c r="C189" s="97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88"/>
      <c r="Z189" s="11">
        <f t="shared" si="2"/>
        <v>0</v>
      </c>
      <c r="AC189" s="14"/>
    </row>
    <row r="190" spans="1:29" x14ac:dyDescent="0.25">
      <c r="A190" s="87"/>
      <c r="B190" s="86"/>
      <c r="C190" s="97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88"/>
      <c r="Z190" s="11">
        <f t="shared" si="2"/>
        <v>0</v>
      </c>
      <c r="AC190" s="14"/>
    </row>
    <row r="191" spans="1:29" x14ac:dyDescent="0.25">
      <c r="A191" s="87"/>
      <c r="B191" s="86"/>
      <c r="C191" s="97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88"/>
      <c r="Z191" s="11">
        <f t="shared" si="2"/>
        <v>0</v>
      </c>
      <c r="AC191" s="14"/>
    </row>
    <row r="192" spans="1:29" x14ac:dyDescent="0.25">
      <c r="A192" s="87"/>
      <c r="B192" s="86"/>
      <c r="C192" s="97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88"/>
      <c r="Z192" s="11">
        <f t="shared" si="2"/>
        <v>0</v>
      </c>
      <c r="AC192" s="14"/>
    </row>
    <row r="193" spans="1:29" x14ac:dyDescent="0.25">
      <c r="A193" s="87"/>
      <c r="B193" s="86"/>
      <c r="C193" s="97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88"/>
      <c r="Z193" s="11">
        <f t="shared" si="2"/>
        <v>0</v>
      </c>
      <c r="AC193" s="14"/>
    </row>
    <row r="194" spans="1:29" x14ac:dyDescent="0.25">
      <c r="A194" s="87"/>
      <c r="B194" s="86"/>
      <c r="C194" s="97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88"/>
      <c r="Z194" s="11">
        <f t="shared" si="2"/>
        <v>0</v>
      </c>
      <c r="AC194" s="14"/>
    </row>
    <row r="195" spans="1:29" x14ac:dyDescent="0.25">
      <c r="A195" s="87"/>
      <c r="B195" s="86"/>
      <c r="C195" s="97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88"/>
      <c r="Z195" s="11">
        <f t="shared" si="2"/>
        <v>0</v>
      </c>
      <c r="AC195" s="14"/>
    </row>
    <row r="196" spans="1:29" x14ac:dyDescent="0.25">
      <c r="A196" s="87"/>
      <c r="B196" s="86"/>
      <c r="C196" s="97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88"/>
      <c r="Z196" s="11">
        <f t="shared" ref="Z196:Z259" si="3">IF(M196&gt;0,0,-M196)</f>
        <v>0</v>
      </c>
      <c r="AC196" s="14"/>
    </row>
    <row r="197" spans="1:29" x14ac:dyDescent="0.25">
      <c r="A197" s="87"/>
      <c r="B197" s="86"/>
      <c r="C197" s="97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88"/>
      <c r="Z197" s="11">
        <f t="shared" si="3"/>
        <v>0</v>
      </c>
      <c r="AC197" s="14"/>
    </row>
    <row r="198" spans="1:29" x14ac:dyDescent="0.25">
      <c r="A198" s="87"/>
      <c r="B198" s="86"/>
      <c r="C198" s="97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88"/>
      <c r="Z198" s="11">
        <f t="shared" si="3"/>
        <v>0</v>
      </c>
      <c r="AC198" s="14"/>
    </row>
    <row r="199" spans="1:29" x14ac:dyDescent="0.25">
      <c r="A199" s="87"/>
      <c r="B199" s="86"/>
      <c r="C199" s="97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88"/>
      <c r="Z199" s="11">
        <f t="shared" si="3"/>
        <v>0</v>
      </c>
      <c r="AC199" s="14"/>
    </row>
    <row r="200" spans="1:29" x14ac:dyDescent="0.25">
      <c r="A200" s="87"/>
      <c r="B200" s="86"/>
      <c r="C200" s="97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88"/>
      <c r="Z200" s="11">
        <f t="shared" si="3"/>
        <v>0</v>
      </c>
      <c r="AC200" s="14"/>
    </row>
    <row r="201" spans="1:29" x14ac:dyDescent="0.25">
      <c r="A201" s="87"/>
      <c r="B201" s="86"/>
      <c r="C201" s="97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88"/>
      <c r="Z201" s="11">
        <f t="shared" si="3"/>
        <v>0</v>
      </c>
      <c r="AC201" s="14"/>
    </row>
    <row r="202" spans="1:29" x14ac:dyDescent="0.25">
      <c r="A202" s="87"/>
      <c r="B202" s="86"/>
      <c r="C202" s="97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88"/>
      <c r="Z202" s="11">
        <f t="shared" si="3"/>
        <v>0</v>
      </c>
      <c r="AC202" s="14"/>
    </row>
    <row r="203" spans="1:29" x14ac:dyDescent="0.25">
      <c r="A203" s="87"/>
      <c r="B203" s="86"/>
      <c r="C203" s="97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88"/>
      <c r="Z203" s="11">
        <f t="shared" si="3"/>
        <v>0</v>
      </c>
      <c r="AC203" s="14"/>
    </row>
    <row r="204" spans="1:29" x14ac:dyDescent="0.25">
      <c r="A204" s="87"/>
      <c r="B204" s="86"/>
      <c r="C204" s="97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88"/>
      <c r="Z204" s="11">
        <f t="shared" si="3"/>
        <v>0</v>
      </c>
      <c r="AC204" s="14"/>
    </row>
    <row r="205" spans="1:29" x14ac:dyDescent="0.25">
      <c r="A205" s="87"/>
      <c r="B205" s="86"/>
      <c r="C205" s="97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88"/>
      <c r="Z205" s="11">
        <f t="shared" si="3"/>
        <v>0</v>
      </c>
      <c r="AC205" s="14"/>
    </row>
    <row r="206" spans="1:29" x14ac:dyDescent="0.25">
      <c r="A206" s="87"/>
      <c r="B206" s="86"/>
      <c r="C206" s="97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88"/>
      <c r="Z206" s="11">
        <f t="shared" si="3"/>
        <v>0</v>
      </c>
      <c r="AC206" s="14"/>
    </row>
    <row r="207" spans="1:29" x14ac:dyDescent="0.25">
      <c r="A207" s="87"/>
      <c r="B207" s="86"/>
      <c r="C207" s="97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88"/>
      <c r="Z207" s="11">
        <f t="shared" si="3"/>
        <v>0</v>
      </c>
      <c r="AC207" s="14"/>
    </row>
    <row r="208" spans="1:29" x14ac:dyDescent="0.25">
      <c r="A208" s="87"/>
      <c r="B208" s="86"/>
      <c r="C208" s="97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88"/>
      <c r="Z208" s="11">
        <f t="shared" si="3"/>
        <v>0</v>
      </c>
      <c r="AC208" s="14"/>
    </row>
    <row r="209" spans="1:29" x14ac:dyDescent="0.25">
      <c r="A209" s="87"/>
      <c r="B209" s="86"/>
      <c r="C209" s="97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88"/>
      <c r="Z209" s="11">
        <f t="shared" si="3"/>
        <v>0</v>
      </c>
      <c r="AC209" s="14"/>
    </row>
    <row r="210" spans="1:29" x14ac:dyDescent="0.25">
      <c r="A210" s="87"/>
      <c r="B210" s="86"/>
      <c r="C210" s="97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88"/>
      <c r="Z210" s="11">
        <f t="shared" si="3"/>
        <v>0</v>
      </c>
      <c r="AC210" s="14"/>
    </row>
    <row r="211" spans="1:29" x14ac:dyDescent="0.25">
      <c r="A211" s="87"/>
      <c r="B211" s="86"/>
      <c r="C211" s="97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88"/>
      <c r="Z211" s="11">
        <f t="shared" si="3"/>
        <v>0</v>
      </c>
      <c r="AC211" s="14"/>
    </row>
    <row r="212" spans="1:29" x14ac:dyDescent="0.25">
      <c r="A212" s="87"/>
      <c r="B212" s="86"/>
      <c r="C212" s="97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88"/>
      <c r="Z212" s="11">
        <f t="shared" si="3"/>
        <v>0</v>
      </c>
      <c r="AC212" s="14"/>
    </row>
    <row r="213" spans="1:29" x14ac:dyDescent="0.25">
      <c r="A213" s="87"/>
      <c r="B213" s="86"/>
      <c r="C213" s="97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88"/>
      <c r="Z213" s="11">
        <f t="shared" si="3"/>
        <v>0</v>
      </c>
      <c r="AC213" s="14"/>
    </row>
    <row r="214" spans="1:29" x14ac:dyDescent="0.25">
      <c r="A214" s="87"/>
      <c r="B214" s="86"/>
      <c r="C214" s="97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88"/>
      <c r="Z214" s="11">
        <f t="shared" si="3"/>
        <v>0</v>
      </c>
      <c r="AC214" s="14"/>
    </row>
    <row r="215" spans="1:29" x14ac:dyDescent="0.25">
      <c r="A215" s="87"/>
      <c r="B215" s="86"/>
      <c r="C215" s="97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88"/>
      <c r="Z215" s="11">
        <f t="shared" si="3"/>
        <v>0</v>
      </c>
      <c r="AC215" s="14"/>
    </row>
    <row r="216" spans="1:29" x14ac:dyDescent="0.25">
      <c r="A216" s="87"/>
      <c r="B216" s="86"/>
      <c r="C216" s="97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88"/>
      <c r="Z216" s="11">
        <f t="shared" si="3"/>
        <v>0</v>
      </c>
      <c r="AC216" s="14"/>
    </row>
    <row r="217" spans="1:29" x14ac:dyDescent="0.25">
      <c r="A217" s="87"/>
      <c r="B217" s="86"/>
      <c r="C217" s="97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88"/>
      <c r="Z217" s="11">
        <f t="shared" si="3"/>
        <v>0</v>
      </c>
      <c r="AC217" s="14"/>
    </row>
    <row r="218" spans="1:29" x14ac:dyDescent="0.25">
      <c r="A218" s="87"/>
      <c r="B218" s="86"/>
      <c r="C218" s="97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88"/>
      <c r="Z218" s="11">
        <f t="shared" si="3"/>
        <v>0</v>
      </c>
      <c r="AC218" s="14"/>
    </row>
    <row r="219" spans="1:29" x14ac:dyDescent="0.25">
      <c r="A219" s="87"/>
      <c r="B219" s="86"/>
      <c r="C219" s="97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88"/>
      <c r="Z219" s="11">
        <f t="shared" si="3"/>
        <v>0</v>
      </c>
      <c r="AC219" s="14"/>
    </row>
    <row r="220" spans="1:29" x14ac:dyDescent="0.25">
      <c r="A220" s="87"/>
      <c r="B220" s="86"/>
      <c r="C220" s="97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88"/>
      <c r="Z220" s="11">
        <f t="shared" si="3"/>
        <v>0</v>
      </c>
      <c r="AC220" s="14"/>
    </row>
    <row r="221" spans="1:29" x14ac:dyDescent="0.25">
      <c r="A221" s="87"/>
      <c r="B221" s="86"/>
      <c r="C221" s="97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88"/>
      <c r="Z221" s="11">
        <f t="shared" si="3"/>
        <v>0</v>
      </c>
      <c r="AC221" s="14"/>
    </row>
    <row r="222" spans="1:29" x14ac:dyDescent="0.25">
      <c r="A222" s="87"/>
      <c r="B222" s="86"/>
      <c r="C222" s="97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88"/>
      <c r="Z222" s="11">
        <f t="shared" si="3"/>
        <v>0</v>
      </c>
      <c r="AC222" s="14"/>
    </row>
    <row r="223" spans="1:29" x14ac:dyDescent="0.25">
      <c r="A223" s="87"/>
      <c r="B223" s="86"/>
      <c r="C223" s="97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88"/>
      <c r="Z223" s="11">
        <f t="shared" si="3"/>
        <v>0</v>
      </c>
      <c r="AC223" s="14"/>
    </row>
    <row r="224" spans="1:29" x14ac:dyDescent="0.25">
      <c r="A224" s="87"/>
      <c r="B224" s="86"/>
      <c r="C224" s="97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88"/>
      <c r="Z224" s="11">
        <f t="shared" si="3"/>
        <v>0</v>
      </c>
      <c r="AC224" s="14"/>
    </row>
    <row r="225" spans="1:29" x14ac:dyDescent="0.25">
      <c r="A225" s="87"/>
      <c r="B225" s="86"/>
      <c r="C225" s="97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88"/>
      <c r="Z225" s="11">
        <f t="shared" si="3"/>
        <v>0</v>
      </c>
      <c r="AC225" s="14"/>
    </row>
    <row r="226" spans="1:29" x14ac:dyDescent="0.25">
      <c r="A226" s="87"/>
      <c r="B226" s="86"/>
      <c r="C226" s="97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88"/>
      <c r="Z226" s="11">
        <f t="shared" si="3"/>
        <v>0</v>
      </c>
      <c r="AC226" s="14"/>
    </row>
    <row r="227" spans="1:29" x14ac:dyDescent="0.25">
      <c r="A227" s="87"/>
      <c r="B227" s="86"/>
      <c r="C227" s="97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88"/>
      <c r="Z227" s="11">
        <f t="shared" si="3"/>
        <v>0</v>
      </c>
      <c r="AC227" s="14"/>
    </row>
    <row r="228" spans="1:29" x14ac:dyDescent="0.25">
      <c r="A228" s="87"/>
      <c r="B228" s="86"/>
      <c r="C228" s="97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88"/>
      <c r="Z228" s="11">
        <f t="shared" si="3"/>
        <v>0</v>
      </c>
      <c r="AC228" s="14"/>
    </row>
    <row r="229" spans="1:29" x14ac:dyDescent="0.25">
      <c r="A229" s="87"/>
      <c r="B229" s="86"/>
      <c r="C229" s="97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88"/>
      <c r="Z229" s="11">
        <f t="shared" si="3"/>
        <v>0</v>
      </c>
      <c r="AC229" s="14"/>
    </row>
    <row r="230" spans="1:29" x14ac:dyDescent="0.25">
      <c r="A230" s="87"/>
      <c r="B230" s="86"/>
      <c r="C230" s="97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88"/>
      <c r="Z230" s="11">
        <f t="shared" si="3"/>
        <v>0</v>
      </c>
      <c r="AC230" s="14"/>
    </row>
    <row r="231" spans="1:29" x14ac:dyDescent="0.25">
      <c r="A231" s="87"/>
      <c r="B231" s="86"/>
      <c r="C231" s="97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88"/>
      <c r="Z231" s="11">
        <f t="shared" si="3"/>
        <v>0</v>
      </c>
      <c r="AC231" s="14"/>
    </row>
    <row r="232" spans="1:29" x14ac:dyDescent="0.25">
      <c r="A232" s="87"/>
      <c r="B232" s="86"/>
      <c r="C232" s="97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88"/>
      <c r="Z232" s="11">
        <f t="shared" si="3"/>
        <v>0</v>
      </c>
      <c r="AC232" s="14"/>
    </row>
    <row r="233" spans="1:29" x14ac:dyDescent="0.25">
      <c r="A233" s="87"/>
      <c r="B233" s="86"/>
      <c r="C233" s="97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88"/>
      <c r="Z233" s="11">
        <f t="shared" si="3"/>
        <v>0</v>
      </c>
      <c r="AC233" s="14"/>
    </row>
    <row r="234" spans="1:29" x14ac:dyDescent="0.25">
      <c r="A234" s="87"/>
      <c r="B234" s="86"/>
      <c r="C234" s="97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88"/>
      <c r="Z234" s="11">
        <f t="shared" si="3"/>
        <v>0</v>
      </c>
      <c r="AC234" s="14"/>
    </row>
    <row r="235" spans="1:29" x14ac:dyDescent="0.25">
      <c r="A235" s="87"/>
      <c r="B235" s="86"/>
      <c r="C235" s="97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88"/>
      <c r="Z235" s="11">
        <f t="shared" si="3"/>
        <v>0</v>
      </c>
      <c r="AC235" s="14"/>
    </row>
    <row r="236" spans="1:29" x14ac:dyDescent="0.25">
      <c r="A236" s="87"/>
      <c r="B236" s="86"/>
      <c r="C236" s="97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88"/>
      <c r="Z236" s="11">
        <f t="shared" si="3"/>
        <v>0</v>
      </c>
      <c r="AC236" s="14"/>
    </row>
    <row r="237" spans="1:29" x14ac:dyDescent="0.25">
      <c r="A237" s="87"/>
      <c r="B237" s="86"/>
      <c r="C237" s="97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88"/>
      <c r="Z237" s="11">
        <f t="shared" si="3"/>
        <v>0</v>
      </c>
      <c r="AC237" s="14"/>
    </row>
    <row r="238" spans="1:29" x14ac:dyDescent="0.25">
      <c r="A238" s="87"/>
      <c r="B238" s="86"/>
      <c r="C238" s="97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88"/>
      <c r="Z238" s="11">
        <f t="shared" si="3"/>
        <v>0</v>
      </c>
      <c r="AC238" s="14"/>
    </row>
    <row r="239" spans="1:29" x14ac:dyDescent="0.25">
      <c r="A239" s="87"/>
      <c r="B239" s="86"/>
      <c r="C239" s="97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88"/>
      <c r="Z239" s="11">
        <f t="shared" si="3"/>
        <v>0</v>
      </c>
      <c r="AC239" s="14"/>
    </row>
    <row r="240" spans="1:29" x14ac:dyDescent="0.25">
      <c r="A240" s="87"/>
      <c r="B240" s="86"/>
      <c r="C240" s="97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88"/>
      <c r="Z240" s="11">
        <f t="shared" si="3"/>
        <v>0</v>
      </c>
      <c r="AC240" s="14"/>
    </row>
    <row r="241" spans="1:29" x14ac:dyDescent="0.25">
      <c r="A241" s="87"/>
      <c r="B241" s="86"/>
      <c r="C241" s="97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88"/>
      <c r="Z241" s="11">
        <f t="shared" si="3"/>
        <v>0</v>
      </c>
      <c r="AC241" s="14"/>
    </row>
    <row r="242" spans="1:29" x14ac:dyDescent="0.25">
      <c r="A242" s="87"/>
      <c r="B242" s="86"/>
      <c r="C242" s="97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88"/>
      <c r="Z242" s="11">
        <f t="shared" si="3"/>
        <v>0</v>
      </c>
      <c r="AC242" s="14"/>
    </row>
    <row r="243" spans="1:29" x14ac:dyDescent="0.25">
      <c r="A243" s="87"/>
      <c r="B243" s="86"/>
      <c r="C243" s="97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88"/>
      <c r="Z243" s="11">
        <f t="shared" si="3"/>
        <v>0</v>
      </c>
      <c r="AC243" s="14"/>
    </row>
    <row r="244" spans="1:29" x14ac:dyDescent="0.25">
      <c r="A244" s="87"/>
      <c r="B244" s="86"/>
      <c r="C244" s="97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88"/>
      <c r="Z244" s="11">
        <f t="shared" si="3"/>
        <v>0</v>
      </c>
      <c r="AC244" s="14"/>
    </row>
    <row r="245" spans="1:29" x14ac:dyDescent="0.25">
      <c r="A245" s="87"/>
      <c r="B245" s="86"/>
      <c r="C245" s="97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88"/>
      <c r="Z245" s="11">
        <f t="shared" si="3"/>
        <v>0</v>
      </c>
      <c r="AC245" s="14"/>
    </row>
    <row r="246" spans="1:29" x14ac:dyDescent="0.25">
      <c r="A246" s="87"/>
      <c r="B246" s="86"/>
      <c r="C246" s="97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88"/>
      <c r="Z246" s="11">
        <f t="shared" si="3"/>
        <v>0</v>
      </c>
      <c r="AC246" s="14"/>
    </row>
    <row r="247" spans="1:29" x14ac:dyDescent="0.25">
      <c r="A247" s="87"/>
      <c r="B247" s="86"/>
      <c r="C247" s="97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88"/>
      <c r="Z247" s="11">
        <f t="shared" si="3"/>
        <v>0</v>
      </c>
      <c r="AC247" s="14"/>
    </row>
    <row r="248" spans="1:29" x14ac:dyDescent="0.25">
      <c r="A248" s="87"/>
      <c r="B248" s="86"/>
      <c r="C248" s="97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88"/>
      <c r="Z248" s="11">
        <f t="shared" si="3"/>
        <v>0</v>
      </c>
      <c r="AC248" s="14"/>
    </row>
    <row r="249" spans="1:29" x14ac:dyDescent="0.25">
      <c r="A249" s="87"/>
      <c r="B249" s="86"/>
      <c r="C249" s="97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88"/>
      <c r="Z249" s="11">
        <f t="shared" si="3"/>
        <v>0</v>
      </c>
      <c r="AC249" s="14"/>
    </row>
    <row r="250" spans="1:29" x14ac:dyDescent="0.25">
      <c r="A250" s="87"/>
      <c r="B250" s="86"/>
      <c r="C250" s="97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88"/>
      <c r="Z250" s="11">
        <f t="shared" si="3"/>
        <v>0</v>
      </c>
      <c r="AC250" s="14"/>
    </row>
    <row r="251" spans="1:29" x14ac:dyDescent="0.25">
      <c r="A251" s="87"/>
      <c r="B251" s="86"/>
      <c r="C251" s="97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88"/>
      <c r="Z251" s="11">
        <f t="shared" si="3"/>
        <v>0</v>
      </c>
      <c r="AC251" s="14"/>
    </row>
    <row r="252" spans="1:29" x14ac:dyDescent="0.25">
      <c r="A252" s="87"/>
      <c r="B252" s="86"/>
      <c r="C252" s="97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88"/>
      <c r="Z252" s="11">
        <f t="shared" si="3"/>
        <v>0</v>
      </c>
      <c r="AC252" s="14"/>
    </row>
    <row r="253" spans="1:29" x14ac:dyDescent="0.25">
      <c r="A253" s="87"/>
      <c r="B253" s="86"/>
      <c r="C253" s="97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88"/>
      <c r="Z253" s="11">
        <f t="shared" si="3"/>
        <v>0</v>
      </c>
      <c r="AC253" s="14"/>
    </row>
    <row r="254" spans="1:29" x14ac:dyDescent="0.25">
      <c r="A254" s="87"/>
      <c r="B254" s="86"/>
      <c r="C254" s="97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88"/>
      <c r="Z254" s="11">
        <f t="shared" si="3"/>
        <v>0</v>
      </c>
      <c r="AC254" s="14"/>
    </row>
    <row r="255" spans="1:29" x14ac:dyDescent="0.25">
      <c r="A255" s="87"/>
      <c r="B255" s="86"/>
      <c r="C255" s="97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88"/>
      <c r="Z255" s="11">
        <f t="shared" si="3"/>
        <v>0</v>
      </c>
      <c r="AC255" s="14"/>
    </row>
    <row r="256" spans="1:29" x14ac:dyDescent="0.25">
      <c r="A256" s="87"/>
      <c r="B256" s="86"/>
      <c r="C256" s="97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88"/>
      <c r="Z256" s="11">
        <f t="shared" si="3"/>
        <v>0</v>
      </c>
      <c r="AC256" s="14"/>
    </row>
    <row r="257" spans="1:29" x14ac:dyDescent="0.25">
      <c r="A257" s="87"/>
      <c r="B257" s="86"/>
      <c r="C257" s="97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88"/>
      <c r="Z257" s="11">
        <f t="shared" si="3"/>
        <v>0</v>
      </c>
      <c r="AC257" s="14"/>
    </row>
    <row r="258" spans="1:29" x14ac:dyDescent="0.25">
      <c r="A258" s="87"/>
      <c r="B258" s="86"/>
      <c r="C258" s="97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88"/>
      <c r="Z258" s="11">
        <f t="shared" si="3"/>
        <v>0</v>
      </c>
      <c r="AC258" s="14"/>
    </row>
    <row r="259" spans="1:29" x14ac:dyDescent="0.25">
      <c r="A259" s="87"/>
      <c r="B259" s="86"/>
      <c r="C259" s="97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88"/>
      <c r="Z259" s="11">
        <f t="shared" si="3"/>
        <v>0</v>
      </c>
      <c r="AC259" s="14"/>
    </row>
    <row r="260" spans="1:29" x14ac:dyDescent="0.25">
      <c r="A260" s="87"/>
      <c r="B260" s="86"/>
      <c r="C260" s="97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88"/>
      <c r="Z260" s="11">
        <f t="shared" ref="Z260:Z323" si="4">IF(M260&gt;0,0,-M260)</f>
        <v>0</v>
      </c>
      <c r="AC260" s="14"/>
    </row>
    <row r="261" spans="1:29" x14ac:dyDescent="0.25">
      <c r="A261" s="87"/>
      <c r="B261" s="86"/>
      <c r="C261" s="97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88"/>
      <c r="Z261" s="11">
        <f t="shared" si="4"/>
        <v>0</v>
      </c>
      <c r="AC261" s="14"/>
    </row>
    <row r="262" spans="1:29" x14ac:dyDescent="0.25">
      <c r="A262" s="87"/>
      <c r="B262" s="86"/>
      <c r="C262" s="97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88"/>
      <c r="Z262" s="11">
        <f t="shared" si="4"/>
        <v>0</v>
      </c>
      <c r="AC262" s="14"/>
    </row>
    <row r="263" spans="1:29" x14ac:dyDescent="0.25">
      <c r="A263" s="87"/>
      <c r="B263" s="86"/>
      <c r="C263" s="97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88"/>
      <c r="Z263" s="11">
        <f t="shared" si="4"/>
        <v>0</v>
      </c>
      <c r="AC263" s="14"/>
    </row>
    <row r="264" spans="1:29" x14ac:dyDescent="0.25">
      <c r="A264" s="87"/>
      <c r="B264" s="86"/>
      <c r="C264" s="97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88"/>
      <c r="Z264" s="11">
        <f t="shared" si="4"/>
        <v>0</v>
      </c>
      <c r="AC264" s="14"/>
    </row>
    <row r="265" spans="1:29" x14ac:dyDescent="0.25">
      <c r="A265" s="87"/>
      <c r="B265" s="86"/>
      <c r="C265" s="97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88"/>
      <c r="Z265" s="11">
        <f t="shared" si="4"/>
        <v>0</v>
      </c>
      <c r="AC265" s="14"/>
    </row>
    <row r="266" spans="1:29" x14ac:dyDescent="0.25">
      <c r="A266" s="87"/>
      <c r="B266" s="86"/>
      <c r="C266" s="97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88"/>
      <c r="Z266" s="11">
        <f t="shared" si="4"/>
        <v>0</v>
      </c>
      <c r="AC266" s="14"/>
    </row>
    <row r="267" spans="1:29" x14ac:dyDescent="0.25">
      <c r="A267" s="87"/>
      <c r="B267" s="86"/>
      <c r="C267" s="97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88"/>
      <c r="Z267" s="11">
        <f t="shared" si="4"/>
        <v>0</v>
      </c>
      <c r="AC267" s="14"/>
    </row>
    <row r="268" spans="1:29" x14ac:dyDescent="0.25">
      <c r="A268" s="87"/>
      <c r="B268" s="86"/>
      <c r="C268" s="97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88"/>
      <c r="Z268" s="11">
        <f t="shared" si="4"/>
        <v>0</v>
      </c>
      <c r="AC268" s="14"/>
    </row>
    <row r="269" spans="1:29" x14ac:dyDescent="0.25">
      <c r="A269" s="87"/>
      <c r="B269" s="86"/>
      <c r="C269" s="97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88"/>
      <c r="Z269" s="11">
        <f t="shared" si="4"/>
        <v>0</v>
      </c>
      <c r="AC269" s="14"/>
    </row>
    <row r="270" spans="1:29" x14ac:dyDescent="0.25">
      <c r="A270" s="87"/>
      <c r="B270" s="86"/>
      <c r="C270" s="97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88"/>
      <c r="Z270" s="11">
        <f t="shared" si="4"/>
        <v>0</v>
      </c>
      <c r="AC270" s="14"/>
    </row>
    <row r="271" spans="1:29" x14ac:dyDescent="0.25">
      <c r="A271" s="87"/>
      <c r="B271" s="86"/>
      <c r="C271" s="97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88"/>
      <c r="Z271" s="11">
        <f t="shared" si="4"/>
        <v>0</v>
      </c>
      <c r="AC271" s="14"/>
    </row>
    <row r="272" spans="1:29" x14ac:dyDescent="0.25">
      <c r="A272" s="87"/>
      <c r="B272" s="86"/>
      <c r="C272" s="97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88"/>
      <c r="Z272" s="11">
        <f t="shared" si="4"/>
        <v>0</v>
      </c>
      <c r="AC272" s="14"/>
    </row>
    <row r="273" spans="1:29" x14ac:dyDescent="0.25">
      <c r="A273" s="87"/>
      <c r="B273" s="86"/>
      <c r="C273" s="97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88"/>
      <c r="Z273" s="11">
        <f t="shared" si="4"/>
        <v>0</v>
      </c>
      <c r="AC273" s="14"/>
    </row>
    <row r="274" spans="1:29" x14ac:dyDescent="0.25">
      <c r="A274" s="87"/>
      <c r="B274" s="86"/>
      <c r="C274" s="97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88"/>
      <c r="Z274" s="11">
        <f t="shared" si="4"/>
        <v>0</v>
      </c>
      <c r="AC274" s="14"/>
    </row>
    <row r="275" spans="1:29" x14ac:dyDescent="0.25">
      <c r="A275" s="87"/>
      <c r="B275" s="86"/>
      <c r="C275" s="97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88"/>
      <c r="Z275" s="11">
        <f t="shared" si="4"/>
        <v>0</v>
      </c>
      <c r="AC275" s="14"/>
    </row>
    <row r="276" spans="1:29" x14ac:dyDescent="0.25">
      <c r="A276" s="87"/>
      <c r="B276" s="86"/>
      <c r="C276" s="97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88"/>
      <c r="Z276" s="11">
        <f t="shared" si="4"/>
        <v>0</v>
      </c>
      <c r="AC276" s="14"/>
    </row>
    <row r="277" spans="1:29" x14ac:dyDescent="0.25">
      <c r="A277" s="87"/>
      <c r="B277" s="86"/>
      <c r="C277" s="97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88"/>
      <c r="Z277" s="11">
        <f t="shared" si="4"/>
        <v>0</v>
      </c>
      <c r="AC277" s="14"/>
    </row>
    <row r="278" spans="1:29" x14ac:dyDescent="0.25">
      <c r="A278" s="87"/>
      <c r="B278" s="86"/>
      <c r="C278" s="97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88"/>
      <c r="Z278" s="11">
        <f t="shared" si="4"/>
        <v>0</v>
      </c>
      <c r="AC278" s="14"/>
    </row>
    <row r="279" spans="1:29" x14ac:dyDescent="0.25">
      <c r="A279" s="87"/>
      <c r="B279" s="86"/>
      <c r="C279" s="97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88"/>
      <c r="Z279" s="11">
        <f t="shared" si="4"/>
        <v>0</v>
      </c>
      <c r="AC279" s="14"/>
    </row>
    <row r="280" spans="1:29" x14ac:dyDescent="0.25">
      <c r="A280" s="87"/>
      <c r="B280" s="86"/>
      <c r="C280" s="97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88"/>
      <c r="Z280" s="11">
        <f t="shared" si="4"/>
        <v>0</v>
      </c>
      <c r="AC280" s="14"/>
    </row>
    <row r="281" spans="1:29" x14ac:dyDescent="0.25">
      <c r="A281" s="87"/>
      <c r="B281" s="86"/>
      <c r="C281" s="97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88"/>
      <c r="Z281" s="11">
        <f t="shared" si="4"/>
        <v>0</v>
      </c>
      <c r="AC281" s="14"/>
    </row>
    <row r="282" spans="1:29" x14ac:dyDescent="0.25">
      <c r="A282" s="87"/>
      <c r="B282" s="86"/>
      <c r="C282" s="97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88"/>
      <c r="Z282" s="11">
        <f t="shared" si="4"/>
        <v>0</v>
      </c>
      <c r="AC282" s="14"/>
    </row>
    <row r="283" spans="1:29" x14ac:dyDescent="0.25">
      <c r="A283" s="87"/>
      <c r="B283" s="86"/>
      <c r="C283" s="97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88"/>
      <c r="Z283" s="11">
        <f t="shared" si="4"/>
        <v>0</v>
      </c>
      <c r="AC283" s="14"/>
    </row>
    <row r="284" spans="1:29" x14ac:dyDescent="0.25">
      <c r="A284" s="87"/>
      <c r="B284" s="86"/>
      <c r="C284" s="97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88"/>
      <c r="Z284" s="11">
        <f t="shared" si="4"/>
        <v>0</v>
      </c>
      <c r="AC284" s="14"/>
    </row>
    <row r="285" spans="1:29" x14ac:dyDescent="0.25">
      <c r="A285" s="87"/>
      <c r="B285" s="86"/>
      <c r="C285" s="97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88"/>
      <c r="Z285" s="11">
        <f t="shared" si="4"/>
        <v>0</v>
      </c>
      <c r="AC285" s="14"/>
    </row>
    <row r="286" spans="1:29" x14ac:dyDescent="0.25">
      <c r="A286" s="87"/>
      <c r="B286" s="86"/>
      <c r="C286" s="97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88"/>
      <c r="Z286" s="11">
        <f t="shared" si="4"/>
        <v>0</v>
      </c>
      <c r="AC286" s="14"/>
    </row>
    <row r="287" spans="1:29" x14ac:dyDescent="0.25">
      <c r="A287" s="87"/>
      <c r="B287" s="86"/>
      <c r="C287" s="97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88"/>
      <c r="Z287" s="11">
        <f t="shared" si="4"/>
        <v>0</v>
      </c>
      <c r="AC287" s="14"/>
    </row>
    <row r="288" spans="1:29" x14ac:dyDescent="0.25">
      <c r="A288" s="87"/>
      <c r="B288" s="86"/>
      <c r="C288" s="97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88"/>
      <c r="Z288" s="11">
        <f t="shared" si="4"/>
        <v>0</v>
      </c>
      <c r="AC288" s="14"/>
    </row>
    <row r="289" spans="1:29" x14ac:dyDescent="0.25">
      <c r="A289" s="87"/>
      <c r="B289" s="86"/>
      <c r="C289" s="97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88"/>
      <c r="Z289" s="11">
        <f t="shared" si="4"/>
        <v>0</v>
      </c>
      <c r="AC289" s="14"/>
    </row>
    <row r="290" spans="1:29" x14ac:dyDescent="0.25">
      <c r="A290" s="87"/>
      <c r="B290" s="86"/>
      <c r="C290" s="97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88"/>
      <c r="Z290" s="11">
        <f t="shared" si="4"/>
        <v>0</v>
      </c>
      <c r="AC290" s="14"/>
    </row>
    <row r="291" spans="1:29" x14ac:dyDescent="0.25">
      <c r="A291" s="87"/>
      <c r="B291" s="86"/>
      <c r="C291" s="97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88"/>
      <c r="Z291" s="11">
        <f t="shared" si="4"/>
        <v>0</v>
      </c>
      <c r="AC291" s="14"/>
    </row>
    <row r="292" spans="1:29" x14ac:dyDescent="0.25">
      <c r="A292" s="87"/>
      <c r="B292" s="86"/>
      <c r="C292" s="97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88"/>
      <c r="Z292" s="11">
        <f t="shared" si="4"/>
        <v>0</v>
      </c>
      <c r="AC292" s="14"/>
    </row>
    <row r="293" spans="1:29" x14ac:dyDescent="0.25">
      <c r="A293" s="87"/>
      <c r="B293" s="86"/>
      <c r="C293" s="97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88"/>
      <c r="Z293" s="11">
        <f t="shared" si="4"/>
        <v>0</v>
      </c>
      <c r="AC293" s="14"/>
    </row>
    <row r="294" spans="1:29" x14ac:dyDescent="0.25">
      <c r="A294" s="87"/>
      <c r="B294" s="86"/>
      <c r="C294" s="97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88"/>
      <c r="Z294" s="11">
        <f t="shared" si="4"/>
        <v>0</v>
      </c>
      <c r="AC294" s="14"/>
    </row>
    <row r="295" spans="1:29" x14ac:dyDescent="0.25">
      <c r="A295" s="87"/>
      <c r="B295" s="86"/>
      <c r="C295" s="97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88"/>
      <c r="Z295" s="11">
        <f t="shared" si="4"/>
        <v>0</v>
      </c>
      <c r="AC295" s="14"/>
    </row>
    <row r="296" spans="1:29" x14ac:dyDescent="0.25">
      <c r="A296" s="87"/>
      <c r="B296" s="86"/>
      <c r="C296" s="97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88"/>
      <c r="Z296" s="11">
        <f t="shared" si="4"/>
        <v>0</v>
      </c>
      <c r="AC296" s="14"/>
    </row>
    <row r="297" spans="1:29" x14ac:dyDescent="0.25">
      <c r="A297" s="87"/>
      <c r="B297" s="86"/>
      <c r="C297" s="97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88"/>
      <c r="Z297" s="11">
        <f t="shared" si="4"/>
        <v>0</v>
      </c>
      <c r="AC297" s="14"/>
    </row>
    <row r="298" spans="1:29" x14ac:dyDescent="0.25">
      <c r="A298" s="87"/>
      <c r="B298" s="86"/>
      <c r="C298" s="97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88"/>
      <c r="Z298" s="11">
        <f t="shared" si="4"/>
        <v>0</v>
      </c>
      <c r="AC298" s="14"/>
    </row>
    <row r="299" spans="1:29" x14ac:dyDescent="0.25">
      <c r="A299" s="87"/>
      <c r="B299" s="86"/>
      <c r="C299" s="97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88"/>
      <c r="Z299" s="11">
        <f t="shared" si="4"/>
        <v>0</v>
      </c>
      <c r="AC299" s="14"/>
    </row>
    <row r="300" spans="1:29" x14ac:dyDescent="0.25">
      <c r="A300" s="87"/>
      <c r="B300" s="86"/>
      <c r="C300" s="97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88"/>
      <c r="Z300" s="11">
        <f t="shared" si="4"/>
        <v>0</v>
      </c>
      <c r="AC300" s="14"/>
    </row>
    <row r="301" spans="1:29" x14ac:dyDescent="0.25">
      <c r="A301" s="87"/>
      <c r="B301" s="86"/>
      <c r="C301" s="97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88"/>
      <c r="Z301" s="11">
        <f t="shared" si="4"/>
        <v>0</v>
      </c>
      <c r="AC301" s="14"/>
    </row>
    <row r="302" spans="1:29" x14ac:dyDescent="0.25">
      <c r="A302" s="87"/>
      <c r="B302" s="86"/>
      <c r="C302" s="97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88"/>
      <c r="Z302" s="11">
        <f t="shared" si="4"/>
        <v>0</v>
      </c>
      <c r="AC302" s="14"/>
    </row>
    <row r="303" spans="1:29" x14ac:dyDescent="0.25">
      <c r="A303" s="87"/>
      <c r="B303" s="86"/>
      <c r="C303" s="97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88"/>
      <c r="Z303" s="11">
        <f t="shared" si="4"/>
        <v>0</v>
      </c>
      <c r="AC303" s="14"/>
    </row>
    <row r="304" spans="1:29" x14ac:dyDescent="0.25">
      <c r="A304" s="87"/>
      <c r="B304" s="86"/>
      <c r="C304" s="97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88"/>
      <c r="Z304" s="11">
        <f t="shared" si="4"/>
        <v>0</v>
      </c>
      <c r="AC304" s="14"/>
    </row>
    <row r="305" spans="1:29" x14ac:dyDescent="0.25">
      <c r="A305" s="87"/>
      <c r="B305" s="86"/>
      <c r="C305" s="97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88"/>
      <c r="Z305" s="11">
        <f t="shared" si="4"/>
        <v>0</v>
      </c>
      <c r="AC305" s="14"/>
    </row>
    <row r="306" spans="1:29" x14ac:dyDescent="0.25">
      <c r="A306" s="87"/>
      <c r="B306" s="86"/>
      <c r="C306" s="97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88"/>
      <c r="Z306" s="11">
        <f t="shared" si="4"/>
        <v>0</v>
      </c>
      <c r="AC306" s="14"/>
    </row>
    <row r="307" spans="1:29" x14ac:dyDescent="0.25">
      <c r="A307" s="87"/>
      <c r="B307" s="86"/>
      <c r="C307" s="97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88"/>
      <c r="Z307" s="11">
        <f t="shared" si="4"/>
        <v>0</v>
      </c>
      <c r="AC307" s="14"/>
    </row>
    <row r="308" spans="1:29" x14ac:dyDescent="0.25">
      <c r="A308" s="87"/>
      <c r="B308" s="86"/>
      <c r="C308" s="97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88"/>
      <c r="Z308" s="11">
        <f t="shared" si="4"/>
        <v>0</v>
      </c>
      <c r="AC308" s="14"/>
    </row>
    <row r="309" spans="1:29" x14ac:dyDescent="0.25">
      <c r="A309" s="87"/>
      <c r="B309" s="86"/>
      <c r="C309" s="97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88"/>
      <c r="Z309" s="11">
        <f t="shared" si="4"/>
        <v>0</v>
      </c>
      <c r="AC309" s="14"/>
    </row>
    <row r="310" spans="1:29" x14ac:dyDescent="0.25">
      <c r="A310" s="87"/>
      <c r="B310" s="86"/>
      <c r="C310" s="97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88"/>
      <c r="Z310" s="11">
        <f t="shared" si="4"/>
        <v>0</v>
      </c>
      <c r="AC310" s="14"/>
    </row>
    <row r="311" spans="1:29" x14ac:dyDescent="0.25">
      <c r="A311" s="87"/>
      <c r="B311" s="86"/>
      <c r="C311" s="97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88"/>
      <c r="Z311" s="11">
        <f t="shared" si="4"/>
        <v>0</v>
      </c>
      <c r="AC311" s="14"/>
    </row>
    <row r="312" spans="1:29" x14ac:dyDescent="0.25">
      <c r="A312" s="87"/>
      <c r="B312" s="86"/>
      <c r="C312" s="97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88"/>
      <c r="Z312" s="11">
        <f t="shared" si="4"/>
        <v>0</v>
      </c>
      <c r="AC312" s="14"/>
    </row>
    <row r="313" spans="1:29" x14ac:dyDescent="0.25">
      <c r="A313" s="87"/>
      <c r="B313" s="86"/>
      <c r="C313" s="97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88"/>
      <c r="Z313" s="11">
        <f t="shared" si="4"/>
        <v>0</v>
      </c>
      <c r="AC313" s="14"/>
    </row>
    <row r="314" spans="1:29" x14ac:dyDescent="0.25">
      <c r="A314" s="87"/>
      <c r="B314" s="86"/>
      <c r="C314" s="97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88"/>
      <c r="Z314" s="11">
        <f t="shared" si="4"/>
        <v>0</v>
      </c>
      <c r="AC314" s="14"/>
    </row>
    <row r="315" spans="1:29" x14ac:dyDescent="0.25">
      <c r="A315" s="87"/>
      <c r="B315" s="86"/>
      <c r="C315" s="97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88"/>
      <c r="Z315" s="11">
        <f t="shared" si="4"/>
        <v>0</v>
      </c>
      <c r="AC315" s="14"/>
    </row>
    <row r="316" spans="1:29" x14ac:dyDescent="0.25">
      <c r="A316" s="87"/>
      <c r="B316" s="86"/>
      <c r="C316" s="97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88"/>
      <c r="Z316" s="11">
        <f t="shared" si="4"/>
        <v>0</v>
      </c>
      <c r="AC316" s="14"/>
    </row>
    <row r="317" spans="1:29" x14ac:dyDescent="0.25">
      <c r="A317" s="87"/>
      <c r="B317" s="86"/>
      <c r="C317" s="97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88"/>
      <c r="Z317" s="11">
        <f t="shared" si="4"/>
        <v>0</v>
      </c>
      <c r="AC317" s="14"/>
    </row>
    <row r="318" spans="1:29" x14ac:dyDescent="0.25">
      <c r="A318" s="87"/>
      <c r="B318" s="86"/>
      <c r="C318" s="97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88"/>
      <c r="Z318" s="11">
        <f t="shared" si="4"/>
        <v>0</v>
      </c>
      <c r="AC318" s="14"/>
    </row>
    <row r="319" spans="1:29" x14ac:dyDescent="0.25">
      <c r="A319" s="87"/>
      <c r="B319" s="86"/>
      <c r="C319" s="97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88"/>
      <c r="Z319" s="11">
        <f t="shared" si="4"/>
        <v>0</v>
      </c>
      <c r="AC319" s="14"/>
    </row>
    <row r="320" spans="1:29" x14ac:dyDescent="0.25">
      <c r="A320" s="87"/>
      <c r="B320" s="86"/>
      <c r="C320" s="97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88"/>
      <c r="Z320" s="11">
        <f t="shared" si="4"/>
        <v>0</v>
      </c>
      <c r="AC320" s="14"/>
    </row>
    <row r="321" spans="1:29" x14ac:dyDescent="0.25">
      <c r="A321" s="87"/>
      <c r="B321" s="86"/>
      <c r="C321" s="97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88"/>
      <c r="Z321" s="11">
        <f t="shared" si="4"/>
        <v>0</v>
      </c>
      <c r="AC321" s="14"/>
    </row>
    <row r="322" spans="1:29" x14ac:dyDescent="0.25">
      <c r="A322" s="87"/>
      <c r="B322" s="86"/>
      <c r="C322" s="97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88"/>
      <c r="Z322" s="11">
        <f t="shared" si="4"/>
        <v>0</v>
      </c>
      <c r="AC322" s="14"/>
    </row>
    <row r="323" spans="1:29" x14ac:dyDescent="0.25">
      <c r="A323" s="87"/>
      <c r="B323" s="86"/>
      <c r="C323" s="97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88"/>
      <c r="Z323" s="11">
        <f t="shared" si="4"/>
        <v>0</v>
      </c>
      <c r="AC323" s="14"/>
    </row>
    <row r="324" spans="1:29" x14ac:dyDescent="0.25">
      <c r="A324" s="87"/>
      <c r="B324" s="86"/>
      <c r="C324" s="97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88"/>
      <c r="Z324" s="11">
        <f t="shared" ref="Z324:Z387" si="5">IF(M324&gt;0,0,-M324)</f>
        <v>0</v>
      </c>
      <c r="AC324" s="14"/>
    </row>
    <row r="325" spans="1:29" x14ac:dyDescent="0.25">
      <c r="A325" s="87"/>
      <c r="B325" s="86"/>
      <c r="C325" s="97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88"/>
      <c r="Z325" s="11">
        <f t="shared" si="5"/>
        <v>0</v>
      </c>
      <c r="AC325" s="14"/>
    </row>
    <row r="326" spans="1:29" x14ac:dyDescent="0.25">
      <c r="A326" s="87"/>
      <c r="B326" s="86"/>
      <c r="C326" s="97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88"/>
      <c r="Z326" s="11">
        <f t="shared" si="5"/>
        <v>0</v>
      </c>
      <c r="AC326" s="14"/>
    </row>
    <row r="327" spans="1:29" x14ac:dyDescent="0.25">
      <c r="A327" s="87"/>
      <c r="B327" s="86"/>
      <c r="C327" s="97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88"/>
      <c r="Z327" s="11">
        <f t="shared" si="5"/>
        <v>0</v>
      </c>
      <c r="AC327" s="14"/>
    </row>
    <row r="328" spans="1:29" x14ac:dyDescent="0.25">
      <c r="A328" s="87"/>
      <c r="B328" s="86"/>
      <c r="C328" s="97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88"/>
      <c r="Z328" s="11">
        <f t="shared" si="5"/>
        <v>0</v>
      </c>
      <c r="AC328" s="14"/>
    </row>
    <row r="329" spans="1:29" x14ac:dyDescent="0.25">
      <c r="A329" s="87"/>
      <c r="B329" s="86"/>
      <c r="C329" s="97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88"/>
      <c r="Z329" s="11">
        <f t="shared" si="5"/>
        <v>0</v>
      </c>
      <c r="AC329" s="14"/>
    </row>
    <row r="330" spans="1:29" x14ac:dyDescent="0.25">
      <c r="A330" s="87"/>
      <c r="B330" s="86"/>
      <c r="C330" s="97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88"/>
      <c r="Z330" s="11">
        <f t="shared" si="5"/>
        <v>0</v>
      </c>
      <c r="AC330" s="14"/>
    </row>
    <row r="331" spans="1:29" x14ac:dyDescent="0.25">
      <c r="A331" s="87"/>
      <c r="B331" s="86"/>
      <c r="C331" s="97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88"/>
      <c r="Z331" s="11">
        <f t="shared" si="5"/>
        <v>0</v>
      </c>
      <c r="AC331" s="14"/>
    </row>
    <row r="332" spans="1:29" x14ac:dyDescent="0.25">
      <c r="A332" s="87"/>
      <c r="B332" s="86"/>
      <c r="C332" s="97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88"/>
      <c r="Z332" s="11">
        <f t="shared" si="5"/>
        <v>0</v>
      </c>
      <c r="AC332" s="14"/>
    </row>
    <row r="333" spans="1:29" x14ac:dyDescent="0.25">
      <c r="A333" s="87"/>
      <c r="B333" s="86"/>
      <c r="C333" s="97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88"/>
      <c r="Z333" s="11">
        <f t="shared" si="5"/>
        <v>0</v>
      </c>
      <c r="AC333" s="14"/>
    </row>
    <row r="334" spans="1:29" x14ac:dyDescent="0.25">
      <c r="A334" s="87"/>
      <c r="B334" s="86"/>
      <c r="C334" s="97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88"/>
      <c r="Z334" s="11">
        <f t="shared" si="5"/>
        <v>0</v>
      </c>
      <c r="AC334" s="14"/>
    </row>
    <row r="335" spans="1:29" x14ac:dyDescent="0.25">
      <c r="A335" s="87"/>
      <c r="B335" s="86"/>
      <c r="C335" s="97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88"/>
      <c r="Z335" s="11">
        <f t="shared" si="5"/>
        <v>0</v>
      </c>
      <c r="AC335" s="14"/>
    </row>
    <row r="336" spans="1:29" x14ac:dyDescent="0.25">
      <c r="A336" s="87"/>
      <c r="B336" s="86"/>
      <c r="C336" s="97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88"/>
      <c r="Z336" s="11">
        <f t="shared" si="5"/>
        <v>0</v>
      </c>
      <c r="AC336" s="14"/>
    </row>
    <row r="337" spans="1:29" x14ac:dyDescent="0.25">
      <c r="A337" s="87"/>
      <c r="B337" s="86"/>
      <c r="C337" s="97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88"/>
      <c r="Z337" s="11">
        <f t="shared" si="5"/>
        <v>0</v>
      </c>
      <c r="AC337" s="14"/>
    </row>
    <row r="338" spans="1:29" x14ac:dyDescent="0.25">
      <c r="A338" s="87"/>
      <c r="B338" s="86"/>
      <c r="C338" s="97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88"/>
      <c r="Z338" s="11">
        <f t="shared" si="5"/>
        <v>0</v>
      </c>
      <c r="AC338" s="14"/>
    </row>
    <row r="339" spans="1:29" x14ac:dyDescent="0.25">
      <c r="A339" s="87"/>
      <c r="B339" s="86"/>
      <c r="C339" s="97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88"/>
      <c r="Z339" s="11">
        <f t="shared" si="5"/>
        <v>0</v>
      </c>
      <c r="AC339" s="14"/>
    </row>
    <row r="340" spans="1:29" x14ac:dyDescent="0.25">
      <c r="A340" s="87"/>
      <c r="B340" s="86"/>
      <c r="C340" s="97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88"/>
      <c r="Z340" s="11">
        <f t="shared" si="5"/>
        <v>0</v>
      </c>
      <c r="AC340" s="14"/>
    </row>
    <row r="341" spans="1:29" x14ac:dyDescent="0.25">
      <c r="A341" s="87"/>
      <c r="B341" s="86"/>
      <c r="C341" s="97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88"/>
      <c r="Z341" s="11">
        <f t="shared" si="5"/>
        <v>0</v>
      </c>
      <c r="AC341" s="14"/>
    </row>
    <row r="342" spans="1:29" x14ac:dyDescent="0.25">
      <c r="A342" s="87"/>
      <c r="B342" s="86"/>
      <c r="C342" s="97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88"/>
      <c r="Z342" s="11">
        <f t="shared" si="5"/>
        <v>0</v>
      </c>
      <c r="AC342" s="14"/>
    </row>
    <row r="343" spans="1:29" x14ac:dyDescent="0.25">
      <c r="A343" s="87"/>
      <c r="B343" s="86"/>
      <c r="C343" s="97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88"/>
      <c r="Z343" s="11">
        <f t="shared" si="5"/>
        <v>0</v>
      </c>
      <c r="AC343" s="14"/>
    </row>
    <row r="344" spans="1:29" x14ac:dyDescent="0.25">
      <c r="A344" s="87"/>
      <c r="B344" s="86"/>
      <c r="C344" s="97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88"/>
      <c r="Z344" s="11">
        <f t="shared" si="5"/>
        <v>0</v>
      </c>
      <c r="AC344" s="14"/>
    </row>
    <row r="345" spans="1:29" x14ac:dyDescent="0.25">
      <c r="A345" s="87"/>
      <c r="B345" s="86"/>
      <c r="C345" s="97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88"/>
      <c r="Z345" s="11">
        <f t="shared" si="5"/>
        <v>0</v>
      </c>
      <c r="AC345" s="14"/>
    </row>
    <row r="346" spans="1:29" x14ac:dyDescent="0.25">
      <c r="A346" s="87"/>
      <c r="B346" s="86"/>
      <c r="C346" s="97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88"/>
      <c r="Z346" s="11">
        <f t="shared" si="5"/>
        <v>0</v>
      </c>
      <c r="AC346" s="14"/>
    </row>
    <row r="347" spans="1:29" x14ac:dyDescent="0.25">
      <c r="A347" s="87"/>
      <c r="B347" s="86"/>
      <c r="C347" s="97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88"/>
      <c r="Z347" s="11">
        <f t="shared" si="5"/>
        <v>0</v>
      </c>
      <c r="AC347" s="14"/>
    </row>
    <row r="348" spans="1:29" x14ac:dyDescent="0.25">
      <c r="A348" s="87"/>
      <c r="B348" s="86"/>
      <c r="C348" s="97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88"/>
      <c r="Z348" s="11">
        <f t="shared" si="5"/>
        <v>0</v>
      </c>
      <c r="AC348" s="14"/>
    </row>
    <row r="349" spans="1:29" x14ac:dyDescent="0.25">
      <c r="A349" s="87"/>
      <c r="B349" s="86"/>
      <c r="C349" s="97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88"/>
      <c r="Z349" s="11">
        <f t="shared" si="5"/>
        <v>0</v>
      </c>
      <c r="AC349" s="14"/>
    </row>
    <row r="350" spans="1:29" x14ac:dyDescent="0.25">
      <c r="A350" s="87"/>
      <c r="B350" s="86"/>
      <c r="C350" s="97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88"/>
      <c r="Z350" s="11">
        <f t="shared" si="5"/>
        <v>0</v>
      </c>
      <c r="AC350" s="14"/>
    </row>
    <row r="351" spans="1:29" x14ac:dyDescent="0.25">
      <c r="A351" s="87"/>
      <c r="B351" s="86"/>
      <c r="C351" s="97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88"/>
      <c r="Z351" s="11">
        <f t="shared" si="5"/>
        <v>0</v>
      </c>
      <c r="AC351" s="14"/>
    </row>
    <row r="352" spans="1:29" x14ac:dyDescent="0.25">
      <c r="A352" s="87"/>
      <c r="B352" s="86"/>
      <c r="C352" s="97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88"/>
      <c r="Z352" s="11">
        <f t="shared" si="5"/>
        <v>0</v>
      </c>
      <c r="AC352" s="14"/>
    </row>
    <row r="353" spans="1:29" x14ac:dyDescent="0.25">
      <c r="A353" s="87"/>
      <c r="B353" s="86"/>
      <c r="C353" s="97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88"/>
      <c r="Z353" s="11">
        <f t="shared" si="5"/>
        <v>0</v>
      </c>
      <c r="AC353" s="14"/>
    </row>
    <row r="354" spans="1:29" x14ac:dyDescent="0.25">
      <c r="A354" s="87"/>
      <c r="B354" s="86"/>
      <c r="C354" s="97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88"/>
      <c r="Z354" s="11">
        <f t="shared" si="5"/>
        <v>0</v>
      </c>
      <c r="AC354" s="14"/>
    </row>
    <row r="355" spans="1:29" x14ac:dyDescent="0.25">
      <c r="A355" s="87"/>
      <c r="B355" s="86"/>
      <c r="C355" s="97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88"/>
      <c r="Z355" s="11">
        <f t="shared" si="5"/>
        <v>0</v>
      </c>
      <c r="AC355" s="14"/>
    </row>
    <row r="356" spans="1:29" x14ac:dyDescent="0.25">
      <c r="A356" s="87"/>
      <c r="B356" s="86"/>
      <c r="C356" s="97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88"/>
      <c r="Z356" s="11">
        <f t="shared" si="5"/>
        <v>0</v>
      </c>
      <c r="AC356" s="14"/>
    </row>
    <row r="357" spans="1:29" x14ac:dyDescent="0.25">
      <c r="A357" s="87"/>
      <c r="B357" s="86"/>
      <c r="C357" s="97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88"/>
      <c r="Z357" s="11">
        <f t="shared" si="5"/>
        <v>0</v>
      </c>
      <c r="AC357" s="14"/>
    </row>
    <row r="358" spans="1:29" x14ac:dyDescent="0.25">
      <c r="A358" s="87"/>
      <c r="B358" s="86"/>
      <c r="C358" s="97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88"/>
      <c r="Z358" s="11">
        <f t="shared" si="5"/>
        <v>0</v>
      </c>
      <c r="AC358" s="14"/>
    </row>
    <row r="359" spans="1:29" x14ac:dyDescent="0.25">
      <c r="A359" s="87"/>
      <c r="B359" s="86"/>
      <c r="C359" s="97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88"/>
      <c r="Z359" s="11">
        <f t="shared" si="5"/>
        <v>0</v>
      </c>
      <c r="AC359" s="14"/>
    </row>
    <row r="360" spans="1:29" x14ac:dyDescent="0.25">
      <c r="A360" s="87"/>
      <c r="B360" s="86"/>
      <c r="C360" s="97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88"/>
      <c r="Z360" s="11">
        <f t="shared" si="5"/>
        <v>0</v>
      </c>
      <c r="AC360" s="14"/>
    </row>
    <row r="361" spans="1:29" x14ac:dyDescent="0.25">
      <c r="A361" s="87"/>
      <c r="B361" s="86"/>
      <c r="C361" s="97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88"/>
      <c r="Z361" s="11">
        <f t="shared" si="5"/>
        <v>0</v>
      </c>
      <c r="AC361" s="14"/>
    </row>
    <row r="362" spans="1:29" x14ac:dyDescent="0.25">
      <c r="A362" s="87"/>
      <c r="B362" s="86"/>
      <c r="C362" s="97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88"/>
      <c r="Z362" s="11">
        <f t="shared" si="5"/>
        <v>0</v>
      </c>
      <c r="AC362" s="14"/>
    </row>
    <row r="363" spans="1:29" x14ac:dyDescent="0.25">
      <c r="A363" s="87"/>
      <c r="B363" s="86"/>
      <c r="C363" s="97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88"/>
      <c r="Z363" s="11">
        <f t="shared" si="5"/>
        <v>0</v>
      </c>
      <c r="AC363" s="14"/>
    </row>
    <row r="364" spans="1:29" x14ac:dyDescent="0.25">
      <c r="A364" s="87"/>
      <c r="B364" s="86"/>
      <c r="C364" s="97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88"/>
      <c r="Z364" s="11">
        <f t="shared" si="5"/>
        <v>0</v>
      </c>
      <c r="AC364" s="14"/>
    </row>
    <row r="365" spans="1:29" x14ac:dyDescent="0.25">
      <c r="A365" s="87"/>
      <c r="B365" s="86"/>
      <c r="C365" s="97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88"/>
      <c r="Z365" s="11">
        <f t="shared" si="5"/>
        <v>0</v>
      </c>
      <c r="AC365" s="14"/>
    </row>
    <row r="366" spans="1:29" x14ac:dyDescent="0.25">
      <c r="A366" s="87"/>
      <c r="B366" s="86"/>
      <c r="C366" s="97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88"/>
      <c r="Z366" s="11">
        <f t="shared" si="5"/>
        <v>0</v>
      </c>
      <c r="AC366" s="14"/>
    </row>
    <row r="367" spans="1:29" x14ac:dyDescent="0.25">
      <c r="A367" s="87"/>
      <c r="B367" s="86"/>
      <c r="C367" s="97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88"/>
      <c r="Z367" s="11">
        <f t="shared" si="5"/>
        <v>0</v>
      </c>
      <c r="AC367" s="14"/>
    </row>
    <row r="368" spans="1:29" x14ac:dyDescent="0.25">
      <c r="A368" s="87"/>
      <c r="B368" s="86"/>
      <c r="C368" s="97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88"/>
      <c r="Z368" s="11">
        <f t="shared" si="5"/>
        <v>0</v>
      </c>
      <c r="AC368" s="14"/>
    </row>
    <row r="369" spans="1:29" x14ac:dyDescent="0.25">
      <c r="A369" s="87"/>
      <c r="B369" s="86"/>
      <c r="C369" s="97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88"/>
      <c r="Z369" s="11">
        <f t="shared" si="5"/>
        <v>0</v>
      </c>
      <c r="AC369" s="14"/>
    </row>
    <row r="370" spans="1:29" x14ac:dyDescent="0.25">
      <c r="A370" s="87"/>
      <c r="B370" s="86"/>
      <c r="C370" s="97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88"/>
      <c r="Z370" s="11">
        <f t="shared" si="5"/>
        <v>0</v>
      </c>
      <c r="AC370" s="14"/>
    </row>
    <row r="371" spans="1:29" x14ac:dyDescent="0.25">
      <c r="A371" s="87"/>
      <c r="B371" s="86"/>
      <c r="C371" s="97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88"/>
      <c r="Z371" s="11">
        <f t="shared" si="5"/>
        <v>0</v>
      </c>
      <c r="AC371" s="14"/>
    </row>
    <row r="372" spans="1:29" x14ac:dyDescent="0.25">
      <c r="A372" s="87"/>
      <c r="B372" s="86"/>
      <c r="C372" s="97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88"/>
      <c r="Z372" s="11">
        <f t="shared" si="5"/>
        <v>0</v>
      </c>
      <c r="AC372" s="14"/>
    </row>
    <row r="373" spans="1:29" x14ac:dyDescent="0.25">
      <c r="A373" s="87"/>
      <c r="B373" s="86"/>
      <c r="C373" s="97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88"/>
      <c r="Z373" s="11">
        <f t="shared" si="5"/>
        <v>0</v>
      </c>
      <c r="AC373" s="14"/>
    </row>
    <row r="374" spans="1:29" x14ac:dyDescent="0.25">
      <c r="A374" s="87"/>
      <c r="B374" s="86"/>
      <c r="C374" s="97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88"/>
      <c r="Z374" s="11">
        <f t="shared" si="5"/>
        <v>0</v>
      </c>
      <c r="AC374" s="14"/>
    </row>
    <row r="375" spans="1:29" x14ac:dyDescent="0.25">
      <c r="A375" s="87"/>
      <c r="B375" s="86"/>
      <c r="C375" s="97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88"/>
      <c r="Z375" s="11">
        <f t="shared" si="5"/>
        <v>0</v>
      </c>
      <c r="AC375" s="14"/>
    </row>
    <row r="376" spans="1:29" x14ac:dyDescent="0.25">
      <c r="A376" s="87"/>
      <c r="B376" s="86"/>
      <c r="C376" s="97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88"/>
      <c r="Z376" s="11">
        <f t="shared" si="5"/>
        <v>0</v>
      </c>
      <c r="AC376" s="14"/>
    </row>
    <row r="377" spans="1:29" x14ac:dyDescent="0.25">
      <c r="A377" s="87"/>
      <c r="B377" s="86"/>
      <c r="C377" s="97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88"/>
      <c r="Z377" s="11">
        <f t="shared" si="5"/>
        <v>0</v>
      </c>
      <c r="AC377" s="14"/>
    </row>
    <row r="378" spans="1:29" x14ac:dyDescent="0.25">
      <c r="A378" s="87"/>
      <c r="B378" s="86"/>
      <c r="C378" s="97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88"/>
      <c r="Z378" s="11">
        <f t="shared" si="5"/>
        <v>0</v>
      </c>
      <c r="AC378" s="14"/>
    </row>
    <row r="379" spans="1:29" x14ac:dyDescent="0.25">
      <c r="A379" s="87"/>
      <c r="B379" s="86"/>
      <c r="C379" s="97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88"/>
      <c r="Z379" s="11">
        <f t="shared" si="5"/>
        <v>0</v>
      </c>
      <c r="AC379" s="14"/>
    </row>
    <row r="380" spans="1:29" x14ac:dyDescent="0.25">
      <c r="A380" s="87"/>
      <c r="B380" s="86"/>
      <c r="C380" s="97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88"/>
      <c r="Z380" s="11">
        <f t="shared" si="5"/>
        <v>0</v>
      </c>
      <c r="AC380" s="14"/>
    </row>
    <row r="381" spans="1:29" x14ac:dyDescent="0.25">
      <c r="A381" s="87"/>
      <c r="B381" s="86"/>
      <c r="C381" s="97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88"/>
      <c r="Z381" s="11">
        <f t="shared" si="5"/>
        <v>0</v>
      </c>
      <c r="AC381" s="14"/>
    </row>
    <row r="382" spans="1:29" x14ac:dyDescent="0.25">
      <c r="A382" s="87"/>
      <c r="B382" s="86"/>
      <c r="C382" s="97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88"/>
      <c r="Z382" s="11">
        <f t="shared" si="5"/>
        <v>0</v>
      </c>
      <c r="AC382" s="14"/>
    </row>
    <row r="383" spans="1:29" x14ac:dyDescent="0.25">
      <c r="A383" s="87"/>
      <c r="B383" s="86"/>
      <c r="C383" s="97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88"/>
      <c r="Z383" s="11">
        <f t="shared" si="5"/>
        <v>0</v>
      </c>
      <c r="AC383" s="14"/>
    </row>
    <row r="384" spans="1:29" x14ac:dyDescent="0.25">
      <c r="A384" s="87"/>
      <c r="B384" s="86"/>
      <c r="C384" s="97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88"/>
      <c r="Z384" s="11">
        <f t="shared" si="5"/>
        <v>0</v>
      </c>
      <c r="AC384" s="14"/>
    </row>
    <row r="385" spans="1:29" x14ac:dyDescent="0.25">
      <c r="A385" s="87"/>
      <c r="B385" s="86"/>
      <c r="C385" s="97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88"/>
      <c r="Z385" s="11">
        <f t="shared" si="5"/>
        <v>0</v>
      </c>
      <c r="AC385" s="14"/>
    </row>
    <row r="386" spans="1:29" x14ac:dyDescent="0.25">
      <c r="A386" s="87"/>
      <c r="B386" s="86"/>
      <c r="C386" s="97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88"/>
      <c r="Z386" s="11">
        <f t="shared" si="5"/>
        <v>0</v>
      </c>
      <c r="AC386" s="14"/>
    </row>
    <row r="387" spans="1:29" x14ac:dyDescent="0.25">
      <c r="A387" s="87"/>
      <c r="B387" s="86"/>
      <c r="C387" s="97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88"/>
      <c r="Z387" s="11">
        <f t="shared" si="5"/>
        <v>0</v>
      </c>
      <c r="AC387" s="14"/>
    </row>
    <row r="388" spans="1:29" x14ac:dyDescent="0.25">
      <c r="A388" s="87"/>
      <c r="B388" s="86"/>
      <c r="C388" s="97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88"/>
      <c r="Z388" s="11">
        <f t="shared" ref="Z388:Z404" si="6">IF(M388&gt;0,0,-M388)</f>
        <v>0</v>
      </c>
      <c r="AC388" s="14"/>
    </row>
    <row r="389" spans="1:29" x14ac:dyDescent="0.25">
      <c r="A389" s="87"/>
      <c r="B389" s="86"/>
      <c r="C389" s="97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88"/>
      <c r="Z389" s="11">
        <f t="shared" si="6"/>
        <v>0</v>
      </c>
      <c r="AC389" s="14"/>
    </row>
    <row r="390" spans="1:29" x14ac:dyDescent="0.25">
      <c r="A390" s="87"/>
      <c r="B390" s="86"/>
      <c r="C390" s="97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88"/>
      <c r="Z390" s="11">
        <f t="shared" si="6"/>
        <v>0</v>
      </c>
      <c r="AC390" s="14"/>
    </row>
    <row r="391" spans="1:29" x14ac:dyDescent="0.25">
      <c r="A391" s="87"/>
      <c r="B391" s="86"/>
      <c r="C391" s="97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88"/>
      <c r="Z391" s="11">
        <f t="shared" si="6"/>
        <v>0</v>
      </c>
      <c r="AC391" s="14"/>
    </row>
    <row r="392" spans="1:29" x14ac:dyDescent="0.25">
      <c r="A392" s="87"/>
      <c r="B392" s="86"/>
      <c r="C392" s="97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88"/>
      <c r="Z392" s="11">
        <f t="shared" si="6"/>
        <v>0</v>
      </c>
      <c r="AC392" s="14"/>
    </row>
    <row r="393" spans="1:29" x14ac:dyDescent="0.25">
      <c r="A393" s="87"/>
      <c r="B393" s="86"/>
      <c r="C393" s="97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88"/>
      <c r="Z393" s="11">
        <f t="shared" si="6"/>
        <v>0</v>
      </c>
      <c r="AC393" s="14"/>
    </row>
    <row r="394" spans="1:29" x14ac:dyDescent="0.25">
      <c r="A394" s="87"/>
      <c r="B394" s="86"/>
      <c r="C394" s="97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88"/>
      <c r="Z394" s="11">
        <f t="shared" si="6"/>
        <v>0</v>
      </c>
      <c r="AC394" s="14"/>
    </row>
    <row r="395" spans="1:29" x14ac:dyDescent="0.25">
      <c r="A395" s="87"/>
      <c r="B395" s="86"/>
      <c r="C395" s="97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88"/>
      <c r="Z395" s="11">
        <f t="shared" si="6"/>
        <v>0</v>
      </c>
      <c r="AC395" s="14"/>
    </row>
    <row r="396" spans="1:29" x14ac:dyDescent="0.25">
      <c r="A396" s="87"/>
      <c r="B396" s="86"/>
      <c r="C396" s="97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88"/>
      <c r="Z396" s="11">
        <f t="shared" si="6"/>
        <v>0</v>
      </c>
      <c r="AC396" s="14"/>
    </row>
    <row r="397" spans="1:29" x14ac:dyDescent="0.25">
      <c r="A397" s="87"/>
      <c r="B397" s="86"/>
      <c r="C397" s="97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88"/>
      <c r="Z397" s="11">
        <f t="shared" si="6"/>
        <v>0</v>
      </c>
      <c r="AC397" s="14"/>
    </row>
    <row r="398" spans="1:29" x14ac:dyDescent="0.25">
      <c r="A398" s="87"/>
      <c r="B398" s="86"/>
      <c r="C398" s="97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88"/>
      <c r="Z398" s="11">
        <f t="shared" si="6"/>
        <v>0</v>
      </c>
      <c r="AC398" s="14"/>
    </row>
    <row r="399" spans="1:29" x14ac:dyDescent="0.25">
      <c r="A399" s="87"/>
      <c r="B399" s="86"/>
      <c r="C399" s="97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88"/>
      <c r="Z399" s="11">
        <f t="shared" si="6"/>
        <v>0</v>
      </c>
      <c r="AC399" s="14"/>
    </row>
    <row r="400" spans="1:29" x14ac:dyDescent="0.25">
      <c r="A400" s="87"/>
      <c r="B400" s="86"/>
      <c r="C400" s="97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88"/>
      <c r="Z400" s="11">
        <f t="shared" si="6"/>
        <v>0</v>
      </c>
      <c r="AC400" s="14"/>
    </row>
    <row r="401" spans="1:29" x14ac:dyDescent="0.25">
      <c r="A401" s="87"/>
      <c r="B401" s="86"/>
      <c r="C401" s="97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88"/>
      <c r="Z401" s="11">
        <f t="shared" si="6"/>
        <v>0</v>
      </c>
      <c r="AC401" s="14"/>
    </row>
    <row r="402" spans="1:29" x14ac:dyDescent="0.25">
      <c r="A402" s="87"/>
      <c r="B402" s="86"/>
      <c r="C402" s="97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88"/>
      <c r="Z402" s="11">
        <f t="shared" si="6"/>
        <v>0</v>
      </c>
      <c r="AC402" s="14"/>
    </row>
    <row r="403" spans="1:29" x14ac:dyDescent="0.25">
      <c r="A403" s="87"/>
      <c r="B403" s="86"/>
      <c r="C403" s="97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88"/>
      <c r="Z403" s="11">
        <f t="shared" si="6"/>
        <v>0</v>
      </c>
      <c r="AC403" s="14"/>
    </row>
    <row r="404" spans="1:29" ht="15.75" thickBot="1" x14ac:dyDescent="0.3">
      <c r="A404" s="89"/>
      <c r="B404" s="90"/>
      <c r="C404" s="98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2"/>
      <c r="Z404" s="11">
        <f t="shared" si="6"/>
        <v>0</v>
      </c>
      <c r="AC404" s="14"/>
    </row>
  </sheetData>
  <customSheetViews>
    <customSheetView guid="{A6ED9047-BF5F-4715-989F-6B73F8A8D111}" showGridLines="0" hiddenColumns="1" state="veryHidden">
      <pane xSplit="1" ySplit="3" topLeftCell="B13" activePane="bottomRight" state="frozen"/>
      <selection pane="bottomRight" activeCell="L4" sqref="L4"/>
      <pageMargins left="0.7" right="0.7" top="0.75" bottom="0.75" header="0.3" footer="0.3"/>
      <pageSetup paperSize="9" orientation="portrait" verticalDpi="0" r:id="rId1"/>
    </customSheetView>
  </customSheetViews>
  <mergeCells count="1">
    <mergeCell ref="A1:N1"/>
  </mergeCells>
  <phoneticPr fontId="0" type="noConversion"/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3E5057"/>
  </sheetPr>
  <dimension ref="A1:O191"/>
  <sheetViews>
    <sheetView showGridLines="0" zoomScale="115" zoomScaleNormal="115" workbookViewId="0">
      <selection activeCell="H18" sqref="H18"/>
    </sheetView>
  </sheetViews>
  <sheetFormatPr defaultRowHeight="15" x14ac:dyDescent="0.25"/>
  <cols>
    <col min="1" max="1" width="6.42578125" style="143" customWidth="1"/>
    <col min="2" max="2" width="9.140625" style="143"/>
    <col min="3" max="3" width="6" style="143" customWidth="1"/>
    <col min="4" max="5" width="8.85546875" style="143" customWidth="1"/>
    <col min="6" max="6" width="8" style="143" customWidth="1"/>
    <col min="7" max="7" width="8.5703125" style="143" customWidth="1"/>
    <col min="8" max="8" width="8.85546875" style="143" customWidth="1"/>
    <col min="9" max="9" width="9.140625" style="143"/>
    <col min="10" max="10" width="8.140625" style="143" customWidth="1"/>
    <col min="11" max="11" width="8.42578125" style="143" customWidth="1"/>
    <col min="12" max="12" width="8.5703125" style="143" customWidth="1"/>
    <col min="13" max="14" width="9.140625" style="143"/>
    <col min="15" max="15" width="10.42578125" style="143" customWidth="1"/>
    <col min="16" max="16" width="10" bestFit="1" customWidth="1"/>
    <col min="18" max="18" width="12.42578125" customWidth="1"/>
  </cols>
  <sheetData>
    <row r="1" spans="1:15" ht="31.5" customHeight="1" x14ac:dyDescent="0.25">
      <c r="A1" s="668" t="s">
        <v>327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125"/>
      <c r="O1" s="125"/>
    </row>
    <row r="2" spans="1:15" ht="11.25" customHeight="1" x14ac:dyDescent="0.25">
      <c r="A2" s="126"/>
      <c r="B2" s="127"/>
      <c r="C2" s="126"/>
      <c r="D2" s="126"/>
      <c r="E2" s="128"/>
      <c r="F2" s="128"/>
      <c r="G2" s="128"/>
      <c r="H2" s="128"/>
      <c r="I2" s="128"/>
      <c r="J2" s="126"/>
      <c r="K2" s="128"/>
      <c r="L2" s="129"/>
      <c r="M2" s="129"/>
      <c r="N2" s="129"/>
      <c r="O2" s="129"/>
    </row>
    <row r="3" spans="1:15" ht="12.75" customHeight="1" x14ac:dyDescent="0.25">
      <c r="A3" s="126"/>
      <c r="B3" s="127"/>
      <c r="C3" s="126"/>
      <c r="D3" s="677" t="s">
        <v>13</v>
      </c>
      <c r="E3" s="677"/>
      <c r="F3" s="678"/>
      <c r="G3" s="679"/>
      <c r="H3" s="679"/>
      <c r="I3" s="679"/>
      <c r="J3" s="680"/>
      <c r="K3" s="128"/>
      <c r="L3" s="129"/>
      <c r="M3" s="129"/>
      <c r="N3" s="129"/>
      <c r="O3" s="129"/>
    </row>
    <row r="4" spans="1:15" ht="12.75" customHeight="1" x14ac:dyDescent="0.25">
      <c r="A4" s="126"/>
      <c r="B4" s="127"/>
      <c r="C4" s="126"/>
      <c r="D4" s="677" t="s">
        <v>14</v>
      </c>
      <c r="E4" s="677"/>
      <c r="F4" s="681"/>
      <c r="G4" s="682"/>
      <c r="H4" s="682"/>
      <c r="I4" s="682"/>
      <c r="J4" s="683"/>
      <c r="K4" s="128"/>
      <c r="L4" s="129"/>
      <c r="M4" s="129"/>
      <c r="N4" s="129"/>
      <c r="O4" s="129"/>
    </row>
    <row r="5" spans="1:15" ht="12.75" customHeight="1" x14ac:dyDescent="0.25">
      <c r="A5" s="126"/>
      <c r="B5" s="127"/>
      <c r="C5" s="126"/>
      <c r="D5" s="686" t="s">
        <v>15</v>
      </c>
      <c r="E5" s="686"/>
      <c r="F5" s="674"/>
      <c r="G5" s="675"/>
      <c r="H5" s="675"/>
      <c r="I5" s="675"/>
      <c r="J5" s="676"/>
      <c r="K5" s="128"/>
      <c r="L5" s="129"/>
      <c r="M5" s="129"/>
      <c r="N5" s="129"/>
      <c r="O5" s="129"/>
    </row>
    <row r="6" spans="1:15" ht="12.75" customHeight="1" x14ac:dyDescent="0.25">
      <c r="A6" s="129"/>
      <c r="B6" s="127"/>
      <c r="C6" s="129"/>
      <c r="D6" s="657" t="s">
        <v>16</v>
      </c>
      <c r="E6" s="657"/>
      <c r="F6" s="657"/>
      <c r="G6" s="657"/>
      <c r="H6" s="670">
        <f>SubsCredSumm</f>
        <v>900000</v>
      </c>
      <c r="I6" s="671"/>
      <c r="J6" s="130" t="s">
        <v>17</v>
      </c>
      <c r="K6" s="131"/>
      <c r="L6" s="132"/>
      <c r="M6" s="132"/>
      <c r="N6" s="132"/>
      <c r="O6" s="132"/>
    </row>
    <row r="7" spans="1:15" ht="12.75" customHeight="1" x14ac:dyDescent="0.25">
      <c r="A7" s="129"/>
      <c r="B7" s="127"/>
      <c r="C7" s="129"/>
      <c r="D7" s="657" t="s">
        <v>8</v>
      </c>
      <c r="E7" s="657"/>
      <c r="F7" s="657"/>
      <c r="G7" s="657"/>
      <c r="H7" s="672">
        <f>GiveDate</f>
        <v>42583</v>
      </c>
      <c r="I7" s="673"/>
      <c r="J7" s="130"/>
      <c r="K7" s="132"/>
      <c r="L7" s="132"/>
      <c r="M7" s="132"/>
      <c r="N7" s="132"/>
      <c r="O7" s="132"/>
    </row>
    <row r="8" spans="1:15" ht="12.75" customHeight="1" x14ac:dyDescent="0.25">
      <c r="A8" s="129"/>
      <c r="B8" s="127"/>
      <c r="C8" s="129"/>
      <c r="D8" s="657" t="s">
        <v>38</v>
      </c>
      <c r="E8" s="657"/>
      <c r="F8" s="657"/>
      <c r="G8" s="657"/>
      <c r="H8" s="689">
        <v>0.1066</v>
      </c>
      <c r="I8" s="690"/>
      <c r="J8" s="130" t="s">
        <v>18</v>
      </c>
      <c r="K8" s="132"/>
      <c r="L8" s="132"/>
      <c r="M8" s="132"/>
      <c r="N8" s="132"/>
      <c r="O8" s="132"/>
    </row>
    <row r="9" spans="1:15" ht="12" customHeight="1" x14ac:dyDescent="0.25">
      <c r="A9" s="129"/>
      <c r="B9" s="127"/>
      <c r="C9" s="129"/>
      <c r="D9" s="657" t="s">
        <v>19</v>
      </c>
      <c r="E9" s="657"/>
      <c r="F9" s="657"/>
      <c r="G9" s="657"/>
      <c r="H9" s="687">
        <f>Параметры!H22</f>
        <v>360</v>
      </c>
      <c r="I9" s="688"/>
      <c r="J9" s="130" t="s">
        <v>20</v>
      </c>
      <c r="K9" s="132"/>
      <c r="L9" s="132"/>
      <c r="M9" s="132"/>
      <c r="N9" s="132"/>
      <c r="O9" s="132"/>
    </row>
    <row r="10" spans="1:15" ht="12.75" hidden="1" customHeight="1" x14ac:dyDescent="0.25">
      <c r="A10" s="129"/>
      <c r="B10" s="127"/>
      <c r="C10" s="129"/>
      <c r="D10" s="133"/>
      <c r="E10" s="133"/>
      <c r="F10" s="133"/>
      <c r="G10" s="133"/>
      <c r="H10" s="134"/>
      <c r="I10" s="135"/>
      <c r="J10" s="130"/>
      <c r="K10" s="132"/>
      <c r="L10" s="132"/>
      <c r="M10" s="132"/>
      <c r="N10" s="132"/>
      <c r="O10" s="132"/>
    </row>
    <row r="11" spans="1:15" ht="12.75" hidden="1" customHeight="1" x14ac:dyDescent="0.25">
      <c r="A11" s="129"/>
      <c r="B11" s="127"/>
      <c r="C11" s="129"/>
      <c r="D11" s="657" t="s">
        <v>21</v>
      </c>
      <c r="E11" s="657"/>
      <c r="F11" s="657"/>
      <c r="G11" s="657"/>
      <c r="H11" s="672" t="s">
        <v>22</v>
      </c>
      <c r="I11" s="673"/>
      <c r="J11" s="130"/>
      <c r="K11" s="136"/>
      <c r="L11" s="132"/>
      <c r="M11" s="132"/>
      <c r="N11" s="132"/>
      <c r="O11" s="132"/>
    </row>
    <row r="12" spans="1:15" ht="12.75" hidden="1" customHeight="1" x14ac:dyDescent="0.25">
      <c r="A12" s="129"/>
      <c r="B12" s="127"/>
      <c r="C12" s="129"/>
      <c r="D12" s="657" t="s">
        <v>41</v>
      </c>
      <c r="E12" s="657"/>
      <c r="F12" s="657"/>
      <c r="G12" s="657"/>
      <c r="H12" s="684">
        <v>0</v>
      </c>
      <c r="I12" s="685"/>
      <c r="J12" s="130" t="s">
        <v>17</v>
      </c>
      <c r="K12" s="136"/>
      <c r="L12" s="132"/>
      <c r="M12" s="132"/>
      <c r="N12" s="132"/>
      <c r="O12" s="132"/>
    </row>
    <row r="13" spans="1:15" ht="26.25" customHeight="1" x14ac:dyDescent="0.25">
      <c r="A13" s="129"/>
      <c r="B13" s="127"/>
      <c r="C13" s="129"/>
      <c r="D13" s="662" t="s">
        <v>57</v>
      </c>
      <c r="E13" s="662"/>
      <c r="F13" s="662"/>
      <c r="G13" s="662"/>
      <c r="H13" s="658">
        <v>28304</v>
      </c>
      <c r="I13" s="659"/>
      <c r="J13" s="130" t="s">
        <v>17</v>
      </c>
      <c r="K13" s="136"/>
      <c r="L13" s="132"/>
      <c r="M13" s="132"/>
      <c r="N13" s="132"/>
      <c r="O13" s="132"/>
    </row>
    <row r="14" spans="1:15" ht="25.5" customHeight="1" thickBot="1" x14ac:dyDescent="0.3">
      <c r="A14" s="663"/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</row>
    <row r="15" spans="1:15" ht="37.5" customHeight="1" x14ac:dyDescent="0.25">
      <c r="A15" s="664" t="s">
        <v>1</v>
      </c>
      <c r="B15" s="660" t="s">
        <v>0</v>
      </c>
      <c r="C15" s="660" t="s">
        <v>37</v>
      </c>
      <c r="D15" s="660" t="s">
        <v>29</v>
      </c>
      <c r="E15" s="666" t="s">
        <v>44</v>
      </c>
      <c r="F15" s="666"/>
      <c r="G15" s="660" t="s">
        <v>47</v>
      </c>
      <c r="H15" s="660" t="s">
        <v>48</v>
      </c>
      <c r="I15" s="660" t="s">
        <v>49</v>
      </c>
      <c r="J15" s="666" t="s">
        <v>50</v>
      </c>
      <c r="K15" s="666"/>
      <c r="L15" s="660" t="s">
        <v>55</v>
      </c>
      <c r="M15" s="666" t="s">
        <v>53</v>
      </c>
      <c r="N15" s="666"/>
      <c r="O15" s="667"/>
    </row>
    <row r="16" spans="1:15" ht="42.75" customHeight="1" thickBot="1" x14ac:dyDescent="0.3">
      <c r="A16" s="665"/>
      <c r="B16" s="661"/>
      <c r="C16" s="661"/>
      <c r="D16" s="661"/>
      <c r="E16" s="137" t="s">
        <v>45</v>
      </c>
      <c r="F16" s="137" t="s">
        <v>46</v>
      </c>
      <c r="G16" s="661"/>
      <c r="H16" s="661"/>
      <c r="I16" s="661"/>
      <c r="J16" s="137" t="s">
        <v>51</v>
      </c>
      <c r="K16" s="137" t="s">
        <v>52</v>
      </c>
      <c r="L16" s="661"/>
      <c r="M16" s="137" t="s">
        <v>45</v>
      </c>
      <c r="N16" s="137" t="s">
        <v>46</v>
      </c>
      <c r="O16" s="138" t="s">
        <v>30</v>
      </c>
    </row>
    <row r="17" spans="1:15" ht="11.25" customHeight="1" thickBot="1" x14ac:dyDescent="0.3">
      <c r="A17" s="139">
        <v>1</v>
      </c>
      <c r="B17" s="140">
        <v>2</v>
      </c>
      <c r="C17" s="140">
        <v>3</v>
      </c>
      <c r="D17" s="140">
        <v>4</v>
      </c>
      <c r="E17" s="140">
        <v>5</v>
      </c>
      <c r="F17" s="140">
        <v>6</v>
      </c>
      <c r="G17" s="140">
        <v>7</v>
      </c>
      <c r="H17" s="140">
        <v>8</v>
      </c>
      <c r="I17" s="141">
        <v>9</v>
      </c>
      <c r="J17" s="140">
        <v>10</v>
      </c>
      <c r="K17" s="140">
        <v>11</v>
      </c>
      <c r="L17" s="140">
        <v>12</v>
      </c>
      <c r="M17" s="140">
        <v>13</v>
      </c>
      <c r="N17" s="140">
        <v>14</v>
      </c>
      <c r="O17" s="142">
        <v>15</v>
      </c>
    </row>
    <row r="18" spans="1:15" ht="11.1" customHeight="1" x14ac:dyDescent="0.25">
      <c r="A18" s="62">
        <v>1</v>
      </c>
      <c r="B18" s="57">
        <v>42613</v>
      </c>
      <c r="C18" s="58">
        <v>14</v>
      </c>
      <c r="D18" s="59">
        <v>0.1116</v>
      </c>
      <c r="E18" s="60">
        <v>2600000</v>
      </c>
      <c r="F18" s="61">
        <v>0</v>
      </c>
      <c r="G18" s="61">
        <v>0</v>
      </c>
      <c r="H18" s="60">
        <v>11099.02</v>
      </c>
      <c r="I18" s="60">
        <v>0</v>
      </c>
      <c r="J18" s="60"/>
      <c r="K18" s="60">
        <v>0</v>
      </c>
      <c r="L18" s="60">
        <v>0</v>
      </c>
      <c r="M18" s="60">
        <v>2600000</v>
      </c>
      <c r="N18" s="60">
        <v>0</v>
      </c>
      <c r="O18" s="63">
        <v>2600000</v>
      </c>
    </row>
    <row r="19" spans="1:15" ht="11.1" customHeight="1" x14ac:dyDescent="0.25">
      <c r="A19" s="62">
        <v>2</v>
      </c>
      <c r="B19" s="74">
        <v>42643</v>
      </c>
      <c r="C19" s="58">
        <v>30</v>
      </c>
      <c r="D19" s="59">
        <v>0.1066</v>
      </c>
      <c r="E19" s="60">
        <v>2600000</v>
      </c>
      <c r="F19" s="60">
        <v>0</v>
      </c>
      <c r="G19" s="60">
        <v>39403.020000000004</v>
      </c>
      <c r="H19" s="60">
        <v>22718.03</v>
      </c>
      <c r="I19" s="60">
        <v>33817.050000000003</v>
      </c>
      <c r="J19" s="60">
        <v>5585.9700000000012</v>
      </c>
      <c r="K19" s="60">
        <v>0</v>
      </c>
      <c r="L19" s="60">
        <v>0</v>
      </c>
      <c r="M19" s="60">
        <v>2594414.0300000003</v>
      </c>
      <c r="N19" s="60">
        <v>0</v>
      </c>
      <c r="O19" s="63">
        <v>2594414.0300000003</v>
      </c>
    </row>
    <row r="20" spans="1:15" ht="11.1" customHeight="1" x14ac:dyDescent="0.25">
      <c r="A20" s="62">
        <v>3</v>
      </c>
      <c r="B20" s="57">
        <v>42674</v>
      </c>
      <c r="C20" s="58">
        <v>31</v>
      </c>
      <c r="D20" s="59">
        <v>0.1066</v>
      </c>
      <c r="E20" s="60">
        <v>2594414.0300000003</v>
      </c>
      <c r="F20" s="61">
        <v>0</v>
      </c>
      <c r="G20" s="61">
        <v>28304</v>
      </c>
      <c r="H20" s="60">
        <v>23424.87</v>
      </c>
      <c r="I20" s="60">
        <v>23424.87</v>
      </c>
      <c r="J20" s="60">
        <v>4879.130000000001</v>
      </c>
      <c r="K20" s="60">
        <v>0</v>
      </c>
      <c r="L20" s="60">
        <v>0</v>
      </c>
      <c r="M20" s="60">
        <v>2589534.9</v>
      </c>
      <c r="N20" s="60">
        <v>0</v>
      </c>
      <c r="O20" s="63">
        <v>2589534.9</v>
      </c>
    </row>
    <row r="21" spans="1:15" ht="11.1" customHeight="1" x14ac:dyDescent="0.25">
      <c r="A21" s="62">
        <v>4</v>
      </c>
      <c r="B21" s="74">
        <v>42704</v>
      </c>
      <c r="C21" s="58">
        <v>30</v>
      </c>
      <c r="D21" s="59">
        <v>0.1066</v>
      </c>
      <c r="E21" s="60">
        <v>2589534.9</v>
      </c>
      <c r="F21" s="60">
        <v>0</v>
      </c>
      <c r="G21" s="60">
        <v>28304</v>
      </c>
      <c r="H21" s="60">
        <v>22626.59</v>
      </c>
      <c r="I21" s="60">
        <v>22626.59</v>
      </c>
      <c r="J21" s="60">
        <v>5677.41</v>
      </c>
      <c r="K21" s="60">
        <v>0</v>
      </c>
      <c r="L21" s="60">
        <v>0</v>
      </c>
      <c r="M21" s="60">
        <v>2583857.4900000002</v>
      </c>
      <c r="N21" s="60">
        <v>0</v>
      </c>
      <c r="O21" s="63">
        <v>2583857.4900000002</v>
      </c>
    </row>
    <row r="22" spans="1:15" ht="11.1" customHeight="1" x14ac:dyDescent="0.25">
      <c r="A22" s="62">
        <v>5</v>
      </c>
      <c r="B22" s="57">
        <v>42735</v>
      </c>
      <c r="C22" s="58">
        <v>31</v>
      </c>
      <c r="D22" s="59">
        <v>0.1066</v>
      </c>
      <c r="E22" s="60">
        <v>2583857.4900000002</v>
      </c>
      <c r="F22" s="61">
        <v>0</v>
      </c>
      <c r="G22" s="61">
        <v>28304</v>
      </c>
      <c r="H22" s="60">
        <v>23329.55</v>
      </c>
      <c r="I22" s="60">
        <v>23329.55</v>
      </c>
      <c r="J22" s="60">
        <v>4974.4500000000007</v>
      </c>
      <c r="K22" s="60">
        <v>0</v>
      </c>
      <c r="L22" s="60">
        <v>0</v>
      </c>
      <c r="M22" s="60">
        <v>2578883.04</v>
      </c>
      <c r="N22" s="60">
        <v>0</v>
      </c>
      <c r="O22" s="63">
        <v>2578883.04</v>
      </c>
    </row>
    <row r="23" spans="1:15" ht="11.1" customHeight="1" x14ac:dyDescent="0.25">
      <c r="A23" s="62">
        <v>6</v>
      </c>
      <c r="B23" s="74">
        <v>42766</v>
      </c>
      <c r="C23" s="58">
        <v>31</v>
      </c>
      <c r="D23" s="59">
        <v>9.4E-2</v>
      </c>
      <c r="E23" s="60">
        <v>2578883.04</v>
      </c>
      <c r="F23" s="60">
        <v>0</v>
      </c>
      <c r="G23" s="60">
        <v>28304</v>
      </c>
      <c r="H23" s="60">
        <v>20588.670000000002</v>
      </c>
      <c r="I23" s="60">
        <v>20588.670000000002</v>
      </c>
      <c r="J23" s="60">
        <v>7715.3299999999981</v>
      </c>
      <c r="K23" s="60">
        <v>0</v>
      </c>
      <c r="L23" s="60">
        <v>0</v>
      </c>
      <c r="M23" s="60">
        <v>2571167.71</v>
      </c>
      <c r="N23" s="60">
        <v>0</v>
      </c>
      <c r="O23" s="63">
        <v>2571167.71</v>
      </c>
    </row>
    <row r="24" spans="1:15" ht="11.1" customHeight="1" x14ac:dyDescent="0.25">
      <c r="A24" s="62">
        <v>7</v>
      </c>
      <c r="B24" s="57">
        <v>42794</v>
      </c>
      <c r="C24" s="58">
        <v>28</v>
      </c>
      <c r="D24" s="59">
        <v>9.4E-2</v>
      </c>
      <c r="E24" s="60">
        <v>2571167.71</v>
      </c>
      <c r="F24" s="61">
        <v>0</v>
      </c>
      <c r="G24" s="61">
        <v>28304</v>
      </c>
      <c r="H24" s="60">
        <v>18540.580000000002</v>
      </c>
      <c r="I24" s="60">
        <v>18540.580000000002</v>
      </c>
      <c r="J24" s="60">
        <v>9763.4199999999983</v>
      </c>
      <c r="K24" s="60">
        <v>0</v>
      </c>
      <c r="L24" s="60">
        <v>0</v>
      </c>
      <c r="M24" s="60">
        <v>2561404.29</v>
      </c>
      <c r="N24" s="60">
        <v>0</v>
      </c>
      <c r="O24" s="63">
        <v>2561404.29</v>
      </c>
    </row>
    <row r="25" spans="1:15" ht="11.1" customHeight="1" x14ac:dyDescent="0.25">
      <c r="A25" s="62">
        <v>8</v>
      </c>
      <c r="B25" s="74">
        <v>42825</v>
      </c>
      <c r="C25" s="58">
        <v>31</v>
      </c>
      <c r="D25" s="59">
        <v>9.4E-2</v>
      </c>
      <c r="E25" s="60">
        <v>2561404.29</v>
      </c>
      <c r="F25" s="60">
        <v>0</v>
      </c>
      <c r="G25" s="60">
        <v>28304</v>
      </c>
      <c r="H25" s="60">
        <v>20449.13</v>
      </c>
      <c r="I25" s="60">
        <v>20449.13</v>
      </c>
      <c r="J25" s="60">
        <v>7854.869999999999</v>
      </c>
      <c r="K25" s="60">
        <v>0</v>
      </c>
      <c r="L25" s="60">
        <v>0</v>
      </c>
      <c r="M25" s="60">
        <v>2553549.42</v>
      </c>
      <c r="N25" s="60">
        <v>0</v>
      </c>
      <c r="O25" s="63">
        <v>2553549.42</v>
      </c>
    </row>
    <row r="26" spans="1:15" ht="11.1" customHeight="1" x14ac:dyDescent="0.25">
      <c r="A26" s="62">
        <v>9</v>
      </c>
      <c r="B26" s="57">
        <v>42855</v>
      </c>
      <c r="C26" s="58">
        <v>30</v>
      </c>
      <c r="D26" s="59">
        <v>9.4E-2</v>
      </c>
      <c r="E26" s="60">
        <v>2553549.42</v>
      </c>
      <c r="F26" s="61">
        <v>0</v>
      </c>
      <c r="G26" s="61">
        <v>28304</v>
      </c>
      <c r="H26" s="60">
        <v>19728.79</v>
      </c>
      <c r="I26" s="60">
        <v>19728.79</v>
      </c>
      <c r="J26" s="60">
        <v>8575.2099999999991</v>
      </c>
      <c r="K26" s="60">
        <v>0</v>
      </c>
      <c r="L26" s="60">
        <v>0</v>
      </c>
      <c r="M26" s="60">
        <v>2544974.21</v>
      </c>
      <c r="N26" s="60">
        <v>0</v>
      </c>
      <c r="O26" s="63">
        <v>2544974.21</v>
      </c>
    </row>
    <row r="27" spans="1:15" ht="11.1" customHeight="1" x14ac:dyDescent="0.25">
      <c r="A27" s="62">
        <v>10</v>
      </c>
      <c r="B27" s="74">
        <v>42886</v>
      </c>
      <c r="C27" s="58">
        <v>31</v>
      </c>
      <c r="D27" s="59">
        <v>9.4E-2</v>
      </c>
      <c r="E27" s="60">
        <v>2544974.21</v>
      </c>
      <c r="F27" s="60">
        <v>0</v>
      </c>
      <c r="G27" s="60">
        <v>28304</v>
      </c>
      <c r="H27" s="60">
        <v>20317.96</v>
      </c>
      <c r="I27" s="60">
        <v>20317.96</v>
      </c>
      <c r="J27" s="60">
        <v>7986.0400000000009</v>
      </c>
      <c r="K27" s="60">
        <v>0</v>
      </c>
      <c r="L27" s="60">
        <v>0</v>
      </c>
      <c r="M27" s="60">
        <v>2536988.17</v>
      </c>
      <c r="N27" s="60">
        <v>0</v>
      </c>
      <c r="O27" s="63">
        <v>2536988.17</v>
      </c>
    </row>
    <row r="28" spans="1:15" ht="11.1" customHeight="1" x14ac:dyDescent="0.25">
      <c r="A28" s="62">
        <v>11</v>
      </c>
      <c r="B28" s="57">
        <v>42916</v>
      </c>
      <c r="C28" s="58">
        <v>30</v>
      </c>
      <c r="D28" s="59">
        <v>9.4E-2</v>
      </c>
      <c r="E28" s="60">
        <v>2536988.17</v>
      </c>
      <c r="F28" s="61">
        <v>0</v>
      </c>
      <c r="G28" s="61">
        <v>28304</v>
      </c>
      <c r="H28" s="60">
        <v>19600.84</v>
      </c>
      <c r="I28" s="60">
        <v>19600.84</v>
      </c>
      <c r="J28" s="60">
        <v>8703.16</v>
      </c>
      <c r="K28" s="60">
        <v>0</v>
      </c>
      <c r="L28" s="60">
        <v>0</v>
      </c>
      <c r="M28" s="60">
        <v>2528285.0100000002</v>
      </c>
      <c r="N28" s="60">
        <v>0</v>
      </c>
      <c r="O28" s="63">
        <v>2528285.0100000002</v>
      </c>
    </row>
    <row r="29" spans="1:15" ht="11.1" customHeight="1" x14ac:dyDescent="0.25">
      <c r="A29" s="62">
        <v>12</v>
      </c>
      <c r="B29" s="74">
        <v>42947</v>
      </c>
      <c r="C29" s="58">
        <v>31</v>
      </c>
      <c r="D29" s="59">
        <v>9.4E-2</v>
      </c>
      <c r="E29" s="60">
        <v>2528285.0100000002</v>
      </c>
      <c r="F29" s="60">
        <v>0</v>
      </c>
      <c r="G29" s="60">
        <v>28304</v>
      </c>
      <c r="H29" s="60">
        <v>20184.72</v>
      </c>
      <c r="I29" s="60">
        <v>20184.72</v>
      </c>
      <c r="J29" s="60">
        <v>8119.2799999999988</v>
      </c>
      <c r="K29" s="60">
        <v>0</v>
      </c>
      <c r="L29" s="60">
        <v>0</v>
      </c>
      <c r="M29" s="60">
        <v>2520165.73</v>
      </c>
      <c r="N29" s="60">
        <v>0</v>
      </c>
      <c r="O29" s="63">
        <v>2520165.73</v>
      </c>
    </row>
    <row r="30" spans="1:15" ht="11.1" customHeight="1" x14ac:dyDescent="0.25">
      <c r="A30" s="62">
        <v>13</v>
      </c>
      <c r="B30" s="57">
        <v>42978</v>
      </c>
      <c r="C30" s="58">
        <v>31</v>
      </c>
      <c r="D30" s="59">
        <v>9.4E-2</v>
      </c>
      <c r="E30" s="60">
        <v>2520165.73</v>
      </c>
      <c r="F30" s="61">
        <v>0</v>
      </c>
      <c r="G30" s="61">
        <v>28304</v>
      </c>
      <c r="H30" s="60">
        <v>20119.900000000001</v>
      </c>
      <c r="I30" s="60">
        <v>20119.900000000001</v>
      </c>
      <c r="J30" s="60">
        <v>8184.0999999999985</v>
      </c>
      <c r="K30" s="60">
        <v>0</v>
      </c>
      <c r="L30" s="60">
        <v>0</v>
      </c>
      <c r="M30" s="60">
        <v>2511981.63</v>
      </c>
      <c r="N30" s="60">
        <v>0</v>
      </c>
      <c r="O30" s="63">
        <v>2511981.63</v>
      </c>
    </row>
    <row r="31" spans="1:15" ht="11.1" customHeight="1" x14ac:dyDescent="0.25">
      <c r="A31" s="62">
        <v>14</v>
      </c>
      <c r="B31" s="74">
        <v>43008</v>
      </c>
      <c r="C31" s="58">
        <v>30</v>
      </c>
      <c r="D31" s="59">
        <v>9.4E-2</v>
      </c>
      <c r="E31" s="60">
        <v>2511981.63</v>
      </c>
      <c r="F31" s="60">
        <v>0</v>
      </c>
      <c r="G31" s="60">
        <v>28304</v>
      </c>
      <c r="H31" s="60">
        <v>19407.64</v>
      </c>
      <c r="I31" s="60">
        <v>19407.64</v>
      </c>
      <c r="J31" s="60">
        <v>8896.36</v>
      </c>
      <c r="K31" s="60">
        <v>0</v>
      </c>
      <c r="L31" s="60">
        <v>0</v>
      </c>
      <c r="M31" s="60">
        <v>2503085.27</v>
      </c>
      <c r="N31" s="60">
        <v>0</v>
      </c>
      <c r="O31" s="63">
        <v>2503085.27</v>
      </c>
    </row>
    <row r="32" spans="1:15" ht="11.1" customHeight="1" x14ac:dyDescent="0.25">
      <c r="A32" s="62">
        <v>15</v>
      </c>
      <c r="B32" s="57">
        <v>43039</v>
      </c>
      <c r="C32" s="58">
        <v>31</v>
      </c>
      <c r="D32" s="59">
        <v>9.4E-2</v>
      </c>
      <c r="E32" s="60">
        <v>2503085.27</v>
      </c>
      <c r="F32" s="61">
        <v>0</v>
      </c>
      <c r="G32" s="61">
        <v>28304</v>
      </c>
      <c r="H32" s="60">
        <v>19983.54</v>
      </c>
      <c r="I32" s="60">
        <v>19983.54</v>
      </c>
      <c r="J32" s="60">
        <v>8320.4599999999991</v>
      </c>
      <c r="K32" s="60">
        <v>0</v>
      </c>
      <c r="L32" s="60">
        <v>0</v>
      </c>
      <c r="M32" s="60">
        <v>2494764.81</v>
      </c>
      <c r="N32" s="60">
        <v>0</v>
      </c>
      <c r="O32" s="63">
        <v>2494764.81</v>
      </c>
    </row>
    <row r="33" spans="1:15" ht="11.1" customHeight="1" x14ac:dyDescent="0.25">
      <c r="A33" s="62">
        <v>16</v>
      </c>
      <c r="B33" s="74">
        <v>43069</v>
      </c>
      <c r="C33" s="58">
        <v>30</v>
      </c>
      <c r="D33" s="59">
        <v>9.4E-2</v>
      </c>
      <c r="E33" s="60">
        <v>2494764.81</v>
      </c>
      <c r="F33" s="60">
        <v>0</v>
      </c>
      <c r="G33" s="60">
        <v>28304</v>
      </c>
      <c r="H33" s="60">
        <v>19274.62</v>
      </c>
      <c r="I33" s="60">
        <v>19274.62</v>
      </c>
      <c r="J33" s="60">
        <v>9029.380000000001</v>
      </c>
      <c r="K33" s="60">
        <v>0</v>
      </c>
      <c r="L33" s="60">
        <v>0</v>
      </c>
      <c r="M33" s="60">
        <v>2485735.4300000002</v>
      </c>
      <c r="N33" s="60">
        <v>0</v>
      </c>
      <c r="O33" s="63">
        <v>2485735.4300000002</v>
      </c>
    </row>
    <row r="34" spans="1:15" ht="11.1" customHeight="1" x14ac:dyDescent="0.25">
      <c r="A34" s="62">
        <v>17</v>
      </c>
      <c r="B34" s="57">
        <v>43100</v>
      </c>
      <c r="C34" s="58">
        <v>31</v>
      </c>
      <c r="D34" s="59">
        <v>9.4E-2</v>
      </c>
      <c r="E34" s="60">
        <v>2485735.4300000002</v>
      </c>
      <c r="F34" s="61">
        <v>0</v>
      </c>
      <c r="G34" s="61">
        <v>28304</v>
      </c>
      <c r="H34" s="60">
        <v>19845.02</v>
      </c>
      <c r="I34" s="60">
        <v>19845.02</v>
      </c>
      <c r="J34" s="60">
        <v>8458.98</v>
      </c>
      <c r="K34" s="60">
        <v>0</v>
      </c>
      <c r="L34" s="60">
        <v>0</v>
      </c>
      <c r="M34" s="60">
        <v>2477276.4500000002</v>
      </c>
      <c r="N34" s="60">
        <v>0</v>
      </c>
      <c r="O34" s="63">
        <v>2477276.4500000002</v>
      </c>
    </row>
    <row r="35" spans="1:15" ht="11.1" customHeight="1" x14ac:dyDescent="0.25">
      <c r="A35" s="62">
        <v>18</v>
      </c>
      <c r="B35" s="74">
        <v>43131</v>
      </c>
      <c r="C35" s="58">
        <v>31</v>
      </c>
      <c r="D35" s="59">
        <v>9.4E-2</v>
      </c>
      <c r="E35" s="60">
        <v>2477276.4500000002</v>
      </c>
      <c r="F35" s="60">
        <v>0</v>
      </c>
      <c r="G35" s="60">
        <v>28304</v>
      </c>
      <c r="H35" s="60">
        <v>19777.490000000002</v>
      </c>
      <c r="I35" s="60">
        <v>19777.490000000002</v>
      </c>
      <c r="J35" s="60">
        <v>8526.5099999999984</v>
      </c>
      <c r="K35" s="60">
        <v>0</v>
      </c>
      <c r="L35" s="60">
        <v>0</v>
      </c>
      <c r="M35" s="60">
        <v>2468749.94</v>
      </c>
      <c r="N35" s="60">
        <v>0</v>
      </c>
      <c r="O35" s="63">
        <v>2468749.94</v>
      </c>
    </row>
    <row r="36" spans="1:15" ht="11.1" customHeight="1" x14ac:dyDescent="0.25">
      <c r="A36" s="62">
        <v>19</v>
      </c>
      <c r="B36" s="57">
        <v>43159</v>
      </c>
      <c r="C36" s="58">
        <v>28</v>
      </c>
      <c r="D36" s="59">
        <v>9.4E-2</v>
      </c>
      <c r="E36" s="60">
        <v>2468749.94</v>
      </c>
      <c r="F36" s="61">
        <v>0</v>
      </c>
      <c r="G36" s="61">
        <v>28304</v>
      </c>
      <c r="H36" s="60">
        <v>17802.05</v>
      </c>
      <c r="I36" s="60">
        <v>17802.05</v>
      </c>
      <c r="J36" s="60">
        <v>10501.95</v>
      </c>
      <c r="K36" s="60">
        <v>0</v>
      </c>
      <c r="L36" s="60">
        <v>0</v>
      </c>
      <c r="M36" s="60">
        <v>2458247.9900000002</v>
      </c>
      <c r="N36" s="60">
        <v>0</v>
      </c>
      <c r="O36" s="63">
        <v>2458247.9900000002</v>
      </c>
    </row>
    <row r="37" spans="1:15" ht="11.1" customHeight="1" x14ac:dyDescent="0.25">
      <c r="A37" s="62">
        <v>20</v>
      </c>
      <c r="B37" s="74">
        <v>43190</v>
      </c>
      <c r="C37" s="58">
        <v>31</v>
      </c>
      <c r="D37" s="59">
        <v>9.4E-2</v>
      </c>
      <c r="E37" s="60">
        <v>2458247.9900000002</v>
      </c>
      <c r="F37" s="60">
        <v>0</v>
      </c>
      <c r="G37" s="60">
        <v>28304</v>
      </c>
      <c r="H37" s="60">
        <v>19625.57</v>
      </c>
      <c r="I37" s="60">
        <v>19625.57</v>
      </c>
      <c r="J37" s="60">
        <v>8678.43</v>
      </c>
      <c r="K37" s="60">
        <v>0</v>
      </c>
      <c r="L37" s="60">
        <v>0</v>
      </c>
      <c r="M37" s="60">
        <v>2449569.56</v>
      </c>
      <c r="N37" s="60">
        <v>0</v>
      </c>
      <c r="O37" s="63">
        <v>2449569.56</v>
      </c>
    </row>
    <row r="38" spans="1:15" ht="11.1" customHeight="1" x14ac:dyDescent="0.25">
      <c r="A38" s="62">
        <v>21</v>
      </c>
      <c r="B38" s="57">
        <v>43220</v>
      </c>
      <c r="C38" s="58">
        <v>30</v>
      </c>
      <c r="D38" s="59">
        <v>9.4E-2</v>
      </c>
      <c r="E38" s="60">
        <v>2449569.56</v>
      </c>
      <c r="F38" s="61">
        <v>0</v>
      </c>
      <c r="G38" s="61">
        <v>28304</v>
      </c>
      <c r="H38" s="60">
        <v>18925.439999999999</v>
      </c>
      <c r="I38" s="60">
        <v>18925.439999999999</v>
      </c>
      <c r="J38" s="60">
        <v>9378.5600000000013</v>
      </c>
      <c r="K38" s="60">
        <v>0</v>
      </c>
      <c r="L38" s="60">
        <v>0</v>
      </c>
      <c r="M38" s="60">
        <v>2440191</v>
      </c>
      <c r="N38" s="60">
        <v>0</v>
      </c>
      <c r="O38" s="63">
        <v>2440191</v>
      </c>
    </row>
    <row r="39" spans="1:15" ht="11.1" customHeight="1" x14ac:dyDescent="0.25">
      <c r="A39" s="62">
        <v>22</v>
      </c>
      <c r="B39" s="74">
        <v>43251</v>
      </c>
      <c r="C39" s="58">
        <v>31</v>
      </c>
      <c r="D39" s="59">
        <v>9.4E-2</v>
      </c>
      <c r="E39" s="60">
        <v>2440191</v>
      </c>
      <c r="F39" s="60">
        <v>0</v>
      </c>
      <c r="G39" s="60">
        <v>28304</v>
      </c>
      <c r="H39" s="60">
        <v>19481.420000000002</v>
      </c>
      <c r="I39" s="60">
        <v>19481.420000000002</v>
      </c>
      <c r="J39" s="60">
        <v>8822.5799999999981</v>
      </c>
      <c r="K39" s="60">
        <v>0</v>
      </c>
      <c r="L39" s="60">
        <v>0</v>
      </c>
      <c r="M39" s="60">
        <v>2431368.42</v>
      </c>
      <c r="N39" s="60">
        <v>0</v>
      </c>
      <c r="O39" s="63">
        <v>2431368.42</v>
      </c>
    </row>
    <row r="40" spans="1:15" ht="11.1" customHeight="1" x14ac:dyDescent="0.25">
      <c r="A40" s="62">
        <v>23</v>
      </c>
      <c r="B40" s="57">
        <v>43281</v>
      </c>
      <c r="C40" s="58">
        <v>30</v>
      </c>
      <c r="D40" s="59">
        <v>9.4E-2</v>
      </c>
      <c r="E40" s="60">
        <v>2431368.42</v>
      </c>
      <c r="F40" s="61">
        <v>0</v>
      </c>
      <c r="G40" s="61">
        <v>28304</v>
      </c>
      <c r="H40" s="60">
        <v>18784.82</v>
      </c>
      <c r="I40" s="60">
        <v>18784.82</v>
      </c>
      <c r="J40" s="60">
        <v>9519.18</v>
      </c>
      <c r="K40" s="60">
        <v>0</v>
      </c>
      <c r="L40" s="60">
        <v>0</v>
      </c>
      <c r="M40" s="60">
        <v>2421849.2400000002</v>
      </c>
      <c r="N40" s="60">
        <v>0</v>
      </c>
      <c r="O40" s="63">
        <v>2421849.2400000002</v>
      </c>
    </row>
    <row r="41" spans="1:15" ht="11.1" customHeight="1" x14ac:dyDescent="0.25">
      <c r="A41" s="62">
        <v>24</v>
      </c>
      <c r="B41" s="74">
        <v>43312</v>
      </c>
      <c r="C41" s="58">
        <v>31</v>
      </c>
      <c r="D41" s="59">
        <v>9.4E-2</v>
      </c>
      <c r="E41" s="60">
        <v>2421849.2400000002</v>
      </c>
      <c r="F41" s="60">
        <v>0</v>
      </c>
      <c r="G41" s="60">
        <v>28304</v>
      </c>
      <c r="H41" s="60">
        <v>19334.98</v>
      </c>
      <c r="I41" s="60">
        <v>19334.98</v>
      </c>
      <c r="J41" s="60">
        <v>8969.02</v>
      </c>
      <c r="K41" s="60">
        <v>0</v>
      </c>
      <c r="L41" s="60">
        <v>0</v>
      </c>
      <c r="M41" s="60">
        <v>2412880.2200000002</v>
      </c>
      <c r="N41" s="60">
        <v>0</v>
      </c>
      <c r="O41" s="63">
        <v>2412880.2200000002</v>
      </c>
    </row>
    <row r="42" spans="1:15" ht="11.1" customHeight="1" x14ac:dyDescent="0.25">
      <c r="A42" s="62">
        <v>25</v>
      </c>
      <c r="B42" s="57">
        <v>43343</v>
      </c>
      <c r="C42" s="58">
        <v>31</v>
      </c>
      <c r="D42" s="59">
        <v>9.4E-2</v>
      </c>
      <c r="E42" s="60">
        <v>2412880.2200000002</v>
      </c>
      <c r="F42" s="61">
        <v>0</v>
      </c>
      <c r="G42" s="61">
        <v>28304</v>
      </c>
      <c r="H42" s="60">
        <v>19263.38</v>
      </c>
      <c r="I42" s="60">
        <v>19263.38</v>
      </c>
      <c r="J42" s="60">
        <v>9040.619999999999</v>
      </c>
      <c r="K42" s="60">
        <v>0</v>
      </c>
      <c r="L42" s="60">
        <v>0</v>
      </c>
      <c r="M42" s="60">
        <v>2403839.6</v>
      </c>
      <c r="N42" s="60">
        <v>0</v>
      </c>
      <c r="O42" s="63">
        <v>2403839.6</v>
      </c>
    </row>
    <row r="43" spans="1:15" ht="11.1" customHeight="1" x14ac:dyDescent="0.25">
      <c r="A43" s="62">
        <v>26</v>
      </c>
      <c r="B43" s="74">
        <v>43373</v>
      </c>
      <c r="C43" s="58">
        <v>30</v>
      </c>
      <c r="D43" s="59">
        <v>9.4E-2</v>
      </c>
      <c r="E43" s="60">
        <v>2403839.6</v>
      </c>
      <c r="F43" s="60">
        <v>0</v>
      </c>
      <c r="G43" s="60">
        <v>28304</v>
      </c>
      <c r="H43" s="60">
        <v>18572.13</v>
      </c>
      <c r="I43" s="60">
        <v>18572.13</v>
      </c>
      <c r="J43" s="60">
        <v>9731.869999999999</v>
      </c>
      <c r="K43" s="60">
        <v>0</v>
      </c>
      <c r="L43" s="60">
        <v>0</v>
      </c>
      <c r="M43" s="60">
        <v>2394107.73</v>
      </c>
      <c r="N43" s="60">
        <v>0</v>
      </c>
      <c r="O43" s="63">
        <v>2394107.73</v>
      </c>
    </row>
    <row r="44" spans="1:15" ht="11.1" customHeight="1" x14ac:dyDescent="0.25">
      <c r="A44" s="62">
        <v>27</v>
      </c>
      <c r="B44" s="57">
        <v>43404</v>
      </c>
      <c r="C44" s="58">
        <v>31</v>
      </c>
      <c r="D44" s="59">
        <v>9.4E-2</v>
      </c>
      <c r="E44" s="60">
        <v>2394107.73</v>
      </c>
      <c r="F44" s="61">
        <v>0</v>
      </c>
      <c r="G44" s="61">
        <v>28304</v>
      </c>
      <c r="H44" s="60">
        <v>19113.510000000002</v>
      </c>
      <c r="I44" s="60">
        <v>19113.510000000002</v>
      </c>
      <c r="J44" s="60">
        <v>9190.489999999998</v>
      </c>
      <c r="K44" s="60">
        <v>0</v>
      </c>
      <c r="L44" s="60">
        <v>0</v>
      </c>
      <c r="M44" s="60">
        <v>2384917.2400000002</v>
      </c>
      <c r="N44" s="60">
        <v>0</v>
      </c>
      <c r="O44" s="63">
        <v>2384917.2400000002</v>
      </c>
    </row>
    <row r="45" spans="1:15" ht="11.1" customHeight="1" x14ac:dyDescent="0.25">
      <c r="A45" s="62">
        <v>28</v>
      </c>
      <c r="B45" s="74">
        <v>43434</v>
      </c>
      <c r="C45" s="58">
        <v>30</v>
      </c>
      <c r="D45" s="59">
        <v>9.4E-2</v>
      </c>
      <c r="E45" s="60">
        <v>2384917.2400000002</v>
      </c>
      <c r="F45" s="60">
        <v>0</v>
      </c>
      <c r="G45" s="60">
        <v>28304</v>
      </c>
      <c r="H45" s="60">
        <v>18425.939999999999</v>
      </c>
      <c r="I45" s="60">
        <v>18425.939999999999</v>
      </c>
      <c r="J45" s="60">
        <v>9878.0600000000013</v>
      </c>
      <c r="K45" s="60">
        <v>0</v>
      </c>
      <c r="L45" s="60">
        <v>0</v>
      </c>
      <c r="M45" s="60">
        <v>2375039.1800000002</v>
      </c>
      <c r="N45" s="60">
        <v>0</v>
      </c>
      <c r="O45" s="63">
        <v>2375039.1800000002</v>
      </c>
    </row>
    <row r="46" spans="1:15" ht="11.1" customHeight="1" x14ac:dyDescent="0.25">
      <c r="A46" s="62">
        <v>29</v>
      </c>
      <c r="B46" s="57">
        <v>43465</v>
      </c>
      <c r="C46" s="58">
        <v>31</v>
      </c>
      <c r="D46" s="59">
        <v>9.4E-2</v>
      </c>
      <c r="E46" s="60">
        <v>2375039.1800000002</v>
      </c>
      <c r="F46" s="61">
        <v>0</v>
      </c>
      <c r="G46" s="61">
        <v>28304</v>
      </c>
      <c r="H46" s="60">
        <v>18961.27</v>
      </c>
      <c r="I46" s="60">
        <v>18961.27</v>
      </c>
      <c r="J46" s="60">
        <v>9342.73</v>
      </c>
      <c r="K46" s="60">
        <v>0</v>
      </c>
      <c r="L46" s="60">
        <v>0</v>
      </c>
      <c r="M46" s="60">
        <v>2365696.4500000002</v>
      </c>
      <c r="N46" s="60">
        <v>0</v>
      </c>
      <c r="O46" s="63">
        <v>2365696.4500000002</v>
      </c>
    </row>
    <row r="47" spans="1:15" ht="11.1" customHeight="1" x14ac:dyDescent="0.25">
      <c r="A47" s="62">
        <v>30</v>
      </c>
      <c r="B47" s="74">
        <v>43496</v>
      </c>
      <c r="C47" s="58">
        <v>31</v>
      </c>
      <c r="D47" s="59">
        <v>9.4E-2</v>
      </c>
      <c r="E47" s="60">
        <v>2365696.4500000002</v>
      </c>
      <c r="F47" s="60">
        <v>0</v>
      </c>
      <c r="G47" s="60">
        <v>28304</v>
      </c>
      <c r="H47" s="60">
        <v>18886.68</v>
      </c>
      <c r="I47" s="60">
        <v>18886.68</v>
      </c>
      <c r="J47" s="60">
        <v>9417.32</v>
      </c>
      <c r="K47" s="60">
        <v>0</v>
      </c>
      <c r="L47" s="60">
        <v>0</v>
      </c>
      <c r="M47" s="60">
        <v>2356279.13</v>
      </c>
      <c r="N47" s="60">
        <v>0</v>
      </c>
      <c r="O47" s="63">
        <v>2356279.13</v>
      </c>
    </row>
    <row r="48" spans="1:15" ht="11.1" customHeight="1" x14ac:dyDescent="0.25">
      <c r="A48" s="62">
        <v>31</v>
      </c>
      <c r="B48" s="57">
        <v>43524</v>
      </c>
      <c r="C48" s="58">
        <v>28</v>
      </c>
      <c r="D48" s="59">
        <v>9.4E-2</v>
      </c>
      <c r="E48" s="60">
        <v>2356279.13</v>
      </c>
      <c r="F48" s="61">
        <v>0</v>
      </c>
      <c r="G48" s="61">
        <v>28304</v>
      </c>
      <c r="H48" s="60">
        <v>16991.03</v>
      </c>
      <c r="I48" s="60">
        <v>16991.03</v>
      </c>
      <c r="J48" s="60">
        <v>11312.970000000001</v>
      </c>
      <c r="K48" s="60">
        <v>0</v>
      </c>
      <c r="L48" s="60">
        <v>0</v>
      </c>
      <c r="M48" s="60">
        <v>2344966.16</v>
      </c>
      <c r="N48" s="60">
        <v>0</v>
      </c>
      <c r="O48" s="63">
        <v>2344966.16</v>
      </c>
    </row>
    <row r="49" spans="1:15" ht="11.1" customHeight="1" x14ac:dyDescent="0.25">
      <c r="A49" s="62">
        <v>32</v>
      </c>
      <c r="B49" s="74">
        <v>43555</v>
      </c>
      <c r="C49" s="58">
        <v>31</v>
      </c>
      <c r="D49" s="59">
        <v>9.4E-2</v>
      </c>
      <c r="E49" s="60">
        <v>2344966.16</v>
      </c>
      <c r="F49" s="60">
        <v>0</v>
      </c>
      <c r="G49" s="60">
        <v>28304</v>
      </c>
      <c r="H49" s="60">
        <v>18721.18</v>
      </c>
      <c r="I49" s="60">
        <v>18721.18</v>
      </c>
      <c r="J49" s="60">
        <v>9582.82</v>
      </c>
      <c r="K49" s="60">
        <v>0</v>
      </c>
      <c r="L49" s="60">
        <v>0</v>
      </c>
      <c r="M49" s="60">
        <v>2335383.34</v>
      </c>
      <c r="N49" s="60">
        <v>0</v>
      </c>
      <c r="O49" s="63">
        <v>2335383.34</v>
      </c>
    </row>
    <row r="50" spans="1:15" ht="11.1" customHeight="1" x14ac:dyDescent="0.25">
      <c r="A50" s="62">
        <v>33</v>
      </c>
      <c r="B50" s="57">
        <v>43585</v>
      </c>
      <c r="C50" s="58">
        <v>30</v>
      </c>
      <c r="D50" s="59">
        <v>9.4E-2</v>
      </c>
      <c r="E50" s="60">
        <v>2335383.34</v>
      </c>
      <c r="F50" s="61">
        <v>0</v>
      </c>
      <c r="G50" s="61">
        <v>28304</v>
      </c>
      <c r="H50" s="60">
        <v>18043.240000000002</v>
      </c>
      <c r="I50" s="60">
        <v>18043.240000000002</v>
      </c>
      <c r="J50" s="60">
        <v>10260.759999999998</v>
      </c>
      <c r="K50" s="60">
        <v>0</v>
      </c>
      <c r="L50" s="60">
        <v>0</v>
      </c>
      <c r="M50" s="60">
        <v>2325122.58</v>
      </c>
      <c r="N50" s="60">
        <v>0</v>
      </c>
      <c r="O50" s="63">
        <v>2325122.58</v>
      </c>
    </row>
    <row r="51" spans="1:15" ht="11.1" customHeight="1" x14ac:dyDescent="0.25">
      <c r="A51" s="62">
        <v>34</v>
      </c>
      <c r="B51" s="74">
        <v>43616</v>
      </c>
      <c r="C51" s="58">
        <v>31</v>
      </c>
      <c r="D51" s="59">
        <v>9.4E-2</v>
      </c>
      <c r="E51" s="60">
        <v>2325122.58</v>
      </c>
      <c r="F51" s="60">
        <v>0</v>
      </c>
      <c r="G51" s="60">
        <v>28304</v>
      </c>
      <c r="H51" s="60">
        <v>18562.760000000002</v>
      </c>
      <c r="I51" s="60">
        <v>18562.760000000002</v>
      </c>
      <c r="J51" s="60">
        <v>9741.239999999998</v>
      </c>
      <c r="K51" s="60">
        <v>0</v>
      </c>
      <c r="L51" s="60">
        <v>0</v>
      </c>
      <c r="M51" s="60">
        <v>2315381.34</v>
      </c>
      <c r="N51" s="60">
        <v>0</v>
      </c>
      <c r="O51" s="63">
        <v>2315381.34</v>
      </c>
    </row>
    <row r="52" spans="1:15" ht="11.1" customHeight="1" x14ac:dyDescent="0.25">
      <c r="A52" s="62">
        <v>35</v>
      </c>
      <c r="B52" s="57">
        <v>43646</v>
      </c>
      <c r="C52" s="58">
        <v>30</v>
      </c>
      <c r="D52" s="59">
        <v>9.4E-2</v>
      </c>
      <c r="E52" s="60">
        <v>2315381.34</v>
      </c>
      <c r="F52" s="61">
        <v>0</v>
      </c>
      <c r="G52" s="61">
        <v>28304</v>
      </c>
      <c r="H52" s="60">
        <v>17888.7</v>
      </c>
      <c r="I52" s="60">
        <v>17888.7</v>
      </c>
      <c r="J52" s="60">
        <v>10415.299999999999</v>
      </c>
      <c r="K52" s="60">
        <v>0</v>
      </c>
      <c r="L52" s="60">
        <v>0</v>
      </c>
      <c r="M52" s="60">
        <v>2304966.04</v>
      </c>
      <c r="N52" s="60">
        <v>0</v>
      </c>
      <c r="O52" s="63">
        <v>2304966.04</v>
      </c>
    </row>
    <row r="53" spans="1:15" ht="11.1" customHeight="1" x14ac:dyDescent="0.25">
      <c r="A53" s="62">
        <v>36</v>
      </c>
      <c r="B53" s="74">
        <v>43677</v>
      </c>
      <c r="C53" s="58">
        <v>31</v>
      </c>
      <c r="D53" s="59">
        <v>9.4E-2</v>
      </c>
      <c r="E53" s="60">
        <v>2304966.04</v>
      </c>
      <c r="F53" s="60">
        <v>0</v>
      </c>
      <c r="G53" s="60">
        <v>28304</v>
      </c>
      <c r="H53" s="60">
        <v>18401.84</v>
      </c>
      <c r="I53" s="60">
        <v>18401.84</v>
      </c>
      <c r="J53" s="60">
        <v>9902.16</v>
      </c>
      <c r="K53" s="60">
        <v>0</v>
      </c>
      <c r="L53" s="60">
        <v>0</v>
      </c>
      <c r="M53" s="60">
        <v>2295063.88</v>
      </c>
      <c r="N53" s="60">
        <v>0</v>
      </c>
      <c r="O53" s="63">
        <v>2295063.88</v>
      </c>
    </row>
    <row r="54" spans="1:15" ht="11.1" customHeight="1" x14ac:dyDescent="0.25">
      <c r="A54" s="62">
        <v>37</v>
      </c>
      <c r="B54" s="57">
        <v>43708</v>
      </c>
      <c r="C54" s="58">
        <v>31</v>
      </c>
      <c r="D54" s="59">
        <v>9.4E-2</v>
      </c>
      <c r="E54" s="60">
        <v>2295063.88</v>
      </c>
      <c r="F54" s="61">
        <v>0</v>
      </c>
      <c r="G54" s="61">
        <v>28304</v>
      </c>
      <c r="H54" s="60">
        <v>18322.78</v>
      </c>
      <c r="I54" s="60">
        <v>18322.78</v>
      </c>
      <c r="J54" s="60">
        <v>9981.2200000000012</v>
      </c>
      <c r="K54" s="60">
        <v>0</v>
      </c>
      <c r="L54" s="60">
        <v>0</v>
      </c>
      <c r="M54" s="60">
        <v>2285082.66</v>
      </c>
      <c r="N54" s="60">
        <v>0</v>
      </c>
      <c r="O54" s="63">
        <v>2285082.66</v>
      </c>
    </row>
    <row r="55" spans="1:15" ht="11.1" customHeight="1" x14ac:dyDescent="0.25">
      <c r="A55" s="62">
        <v>38</v>
      </c>
      <c r="B55" s="74">
        <v>43738</v>
      </c>
      <c r="C55" s="58">
        <v>30</v>
      </c>
      <c r="D55" s="59">
        <v>9.4E-2</v>
      </c>
      <c r="E55" s="60">
        <v>2285082.66</v>
      </c>
      <c r="F55" s="60">
        <v>0</v>
      </c>
      <c r="G55" s="60">
        <v>28304</v>
      </c>
      <c r="H55" s="60">
        <v>17654.61</v>
      </c>
      <c r="I55" s="60">
        <v>17654.61</v>
      </c>
      <c r="J55" s="60">
        <v>10649.39</v>
      </c>
      <c r="K55" s="60">
        <v>0</v>
      </c>
      <c r="L55" s="60">
        <v>0</v>
      </c>
      <c r="M55" s="60">
        <v>2274433.27</v>
      </c>
      <c r="N55" s="60">
        <v>0</v>
      </c>
      <c r="O55" s="63">
        <v>2274433.27</v>
      </c>
    </row>
    <row r="56" spans="1:15" ht="11.1" customHeight="1" x14ac:dyDescent="0.25">
      <c r="A56" s="62">
        <v>39</v>
      </c>
      <c r="B56" s="57">
        <v>43769</v>
      </c>
      <c r="C56" s="58">
        <v>31</v>
      </c>
      <c r="D56" s="59">
        <v>9.4E-2</v>
      </c>
      <c r="E56" s="60">
        <v>2274433.27</v>
      </c>
      <c r="F56" s="61">
        <v>0</v>
      </c>
      <c r="G56" s="61">
        <v>28304</v>
      </c>
      <c r="H56" s="60">
        <v>18158.080000000002</v>
      </c>
      <c r="I56" s="60">
        <v>18158.080000000002</v>
      </c>
      <c r="J56" s="60">
        <v>10145.919999999998</v>
      </c>
      <c r="K56" s="60">
        <v>0</v>
      </c>
      <c r="L56" s="60">
        <v>0</v>
      </c>
      <c r="M56" s="60">
        <v>2264287.35</v>
      </c>
      <c r="N56" s="60">
        <v>0</v>
      </c>
      <c r="O56" s="63">
        <v>2264287.35</v>
      </c>
    </row>
    <row r="57" spans="1:15" ht="11.1" customHeight="1" x14ac:dyDescent="0.25">
      <c r="A57" s="62">
        <v>40</v>
      </c>
      <c r="B57" s="74">
        <v>43799</v>
      </c>
      <c r="C57" s="58">
        <v>30</v>
      </c>
      <c r="D57" s="59">
        <v>9.4E-2</v>
      </c>
      <c r="E57" s="60">
        <v>2264287.35</v>
      </c>
      <c r="F57" s="60">
        <v>0</v>
      </c>
      <c r="G57" s="60">
        <v>28304</v>
      </c>
      <c r="H57" s="60">
        <v>17493.95</v>
      </c>
      <c r="I57" s="60">
        <v>17493.95</v>
      </c>
      <c r="J57" s="60">
        <v>10810.05</v>
      </c>
      <c r="K57" s="60">
        <v>0</v>
      </c>
      <c r="L57" s="60">
        <v>0</v>
      </c>
      <c r="M57" s="60">
        <v>2253477.3000000003</v>
      </c>
      <c r="N57" s="60">
        <v>0</v>
      </c>
      <c r="O57" s="63">
        <v>2253477.3000000003</v>
      </c>
    </row>
    <row r="58" spans="1:15" ht="11.1" customHeight="1" x14ac:dyDescent="0.25">
      <c r="A58" s="62">
        <v>41</v>
      </c>
      <c r="B58" s="57">
        <v>43830</v>
      </c>
      <c r="C58" s="58">
        <v>31</v>
      </c>
      <c r="D58" s="59">
        <v>9.4E-2</v>
      </c>
      <c r="E58" s="60">
        <v>2253477.3000000003</v>
      </c>
      <c r="F58" s="61">
        <v>0</v>
      </c>
      <c r="G58" s="61">
        <v>28304</v>
      </c>
      <c r="H58" s="60">
        <v>17990.77</v>
      </c>
      <c r="I58" s="60">
        <v>17990.77</v>
      </c>
      <c r="J58" s="60">
        <v>10313.23</v>
      </c>
      <c r="K58" s="60">
        <v>0</v>
      </c>
      <c r="L58" s="60">
        <v>0</v>
      </c>
      <c r="M58" s="60">
        <v>2243164.0699999998</v>
      </c>
      <c r="N58" s="60">
        <v>0</v>
      </c>
      <c r="O58" s="63">
        <v>2243164.0699999998</v>
      </c>
    </row>
    <row r="59" spans="1:15" ht="11.1" customHeight="1" x14ac:dyDescent="0.25">
      <c r="A59" s="62">
        <v>42</v>
      </c>
      <c r="B59" s="74">
        <v>43861</v>
      </c>
      <c r="C59" s="58">
        <v>31</v>
      </c>
      <c r="D59" s="59">
        <v>9.4E-2</v>
      </c>
      <c r="E59" s="60">
        <v>2243164.0699999998</v>
      </c>
      <c r="F59" s="60">
        <v>0</v>
      </c>
      <c r="G59" s="60">
        <v>28304</v>
      </c>
      <c r="H59" s="60">
        <v>17859.510000000002</v>
      </c>
      <c r="I59" s="60">
        <v>17859.510000000002</v>
      </c>
      <c r="J59" s="60">
        <v>10444.489999999998</v>
      </c>
      <c r="K59" s="60">
        <v>0</v>
      </c>
      <c r="L59" s="60">
        <v>0</v>
      </c>
      <c r="M59" s="60">
        <v>2232719.58</v>
      </c>
      <c r="N59" s="60">
        <v>0</v>
      </c>
      <c r="O59" s="63">
        <v>2232719.58</v>
      </c>
    </row>
    <row r="60" spans="1:15" ht="11.1" customHeight="1" x14ac:dyDescent="0.25">
      <c r="A60" s="62">
        <v>43</v>
      </c>
      <c r="B60" s="57">
        <v>43890</v>
      </c>
      <c r="C60" s="58">
        <v>29</v>
      </c>
      <c r="D60" s="59">
        <v>9.4E-2</v>
      </c>
      <c r="E60" s="60">
        <v>2232719.58</v>
      </c>
      <c r="F60" s="61">
        <v>0</v>
      </c>
      <c r="G60" s="61">
        <v>28304</v>
      </c>
      <c r="H60" s="60">
        <v>16629.490000000002</v>
      </c>
      <c r="I60" s="60">
        <v>16629.490000000002</v>
      </c>
      <c r="J60" s="60">
        <v>11674.509999999998</v>
      </c>
      <c r="K60" s="60">
        <v>0</v>
      </c>
      <c r="L60" s="60">
        <v>0</v>
      </c>
      <c r="M60" s="60">
        <v>2221045.0699999998</v>
      </c>
      <c r="N60" s="60">
        <v>0</v>
      </c>
      <c r="O60" s="63">
        <v>2221045.0699999998</v>
      </c>
    </row>
    <row r="61" spans="1:15" ht="11.1" customHeight="1" x14ac:dyDescent="0.25">
      <c r="A61" s="62">
        <v>44</v>
      </c>
      <c r="B61" s="74">
        <v>43921</v>
      </c>
      <c r="C61" s="58">
        <v>31</v>
      </c>
      <c r="D61" s="59">
        <v>9.4E-2</v>
      </c>
      <c r="E61" s="60">
        <v>2221045.0699999998</v>
      </c>
      <c r="F61" s="60">
        <v>0</v>
      </c>
      <c r="G61" s="60">
        <v>28304</v>
      </c>
      <c r="H61" s="60">
        <v>17683.400000000001</v>
      </c>
      <c r="I61" s="60">
        <v>17683.400000000001</v>
      </c>
      <c r="J61" s="60">
        <v>10620.599999999999</v>
      </c>
      <c r="K61" s="60">
        <v>0</v>
      </c>
      <c r="L61" s="60">
        <v>0</v>
      </c>
      <c r="M61" s="60">
        <v>2210424.4700000002</v>
      </c>
      <c r="N61" s="60">
        <v>0</v>
      </c>
      <c r="O61" s="63">
        <v>2210424.4700000002</v>
      </c>
    </row>
    <row r="62" spans="1:15" ht="11.1" customHeight="1" x14ac:dyDescent="0.25">
      <c r="A62" s="62">
        <v>45</v>
      </c>
      <c r="B62" s="57">
        <v>43951</v>
      </c>
      <c r="C62" s="58">
        <v>30</v>
      </c>
      <c r="D62" s="59">
        <v>9.4E-2</v>
      </c>
      <c r="E62" s="60">
        <v>2210424.4700000002</v>
      </c>
      <c r="F62" s="61">
        <v>0</v>
      </c>
      <c r="G62" s="61">
        <v>28304</v>
      </c>
      <c r="H62" s="60">
        <v>17031.14</v>
      </c>
      <c r="I62" s="60">
        <v>17031.14</v>
      </c>
      <c r="J62" s="60">
        <v>11272.86</v>
      </c>
      <c r="K62" s="60">
        <v>0</v>
      </c>
      <c r="L62" s="60">
        <v>0</v>
      </c>
      <c r="M62" s="60">
        <v>2199151.61</v>
      </c>
      <c r="N62" s="60">
        <v>0</v>
      </c>
      <c r="O62" s="63">
        <v>2199151.61</v>
      </c>
    </row>
    <row r="63" spans="1:15" ht="11.1" customHeight="1" x14ac:dyDescent="0.25">
      <c r="A63" s="62">
        <v>46</v>
      </c>
      <c r="B63" s="74">
        <v>43982</v>
      </c>
      <c r="C63" s="58">
        <v>31</v>
      </c>
      <c r="D63" s="59">
        <v>9.4E-2</v>
      </c>
      <c r="E63" s="60">
        <v>2199151.61</v>
      </c>
      <c r="F63" s="60">
        <v>0</v>
      </c>
      <c r="G63" s="60">
        <v>28304</v>
      </c>
      <c r="H63" s="60">
        <v>17509.09</v>
      </c>
      <c r="I63" s="60">
        <v>17509.09</v>
      </c>
      <c r="J63" s="60">
        <v>10794.91</v>
      </c>
      <c r="K63" s="60">
        <v>0</v>
      </c>
      <c r="L63" s="60">
        <v>0</v>
      </c>
      <c r="M63" s="60">
        <v>2188356.7000000002</v>
      </c>
      <c r="N63" s="60">
        <v>0</v>
      </c>
      <c r="O63" s="63">
        <v>2188356.7000000002</v>
      </c>
    </row>
    <row r="64" spans="1:15" ht="11.1" customHeight="1" x14ac:dyDescent="0.25">
      <c r="A64" s="62">
        <v>47</v>
      </c>
      <c r="B64" s="57">
        <v>44012</v>
      </c>
      <c r="C64" s="58">
        <v>30</v>
      </c>
      <c r="D64" s="59">
        <v>9.4E-2</v>
      </c>
      <c r="E64" s="60">
        <v>2188356.7000000002</v>
      </c>
      <c r="F64" s="61">
        <v>0</v>
      </c>
      <c r="G64" s="61">
        <v>28304</v>
      </c>
      <c r="H64" s="60">
        <v>16861.11</v>
      </c>
      <c r="I64" s="60">
        <v>16861.11</v>
      </c>
      <c r="J64" s="60">
        <v>11442.89</v>
      </c>
      <c r="K64" s="60">
        <v>0</v>
      </c>
      <c r="L64" s="60">
        <v>0</v>
      </c>
      <c r="M64" s="60">
        <v>2176913.81</v>
      </c>
      <c r="N64" s="60">
        <v>0</v>
      </c>
      <c r="O64" s="63">
        <v>2176913.81</v>
      </c>
    </row>
    <row r="65" spans="1:15" ht="11.1" customHeight="1" x14ac:dyDescent="0.25">
      <c r="A65" s="62">
        <v>48</v>
      </c>
      <c r="B65" s="74">
        <v>44043</v>
      </c>
      <c r="C65" s="58">
        <v>31</v>
      </c>
      <c r="D65" s="59">
        <v>9.4E-2</v>
      </c>
      <c r="E65" s="60">
        <v>2176913.81</v>
      </c>
      <c r="F65" s="60">
        <v>0</v>
      </c>
      <c r="G65" s="60">
        <v>28304</v>
      </c>
      <c r="H65" s="60">
        <v>17332.04</v>
      </c>
      <c r="I65" s="60">
        <v>17332.04</v>
      </c>
      <c r="J65" s="60">
        <v>10971.96</v>
      </c>
      <c r="K65" s="60">
        <v>0</v>
      </c>
      <c r="L65" s="60">
        <v>0</v>
      </c>
      <c r="M65" s="60">
        <v>2165941.85</v>
      </c>
      <c r="N65" s="60">
        <v>0</v>
      </c>
      <c r="O65" s="63">
        <v>2165941.85</v>
      </c>
    </row>
    <row r="66" spans="1:15" ht="11.1" customHeight="1" x14ac:dyDescent="0.25">
      <c r="A66" s="62">
        <v>49</v>
      </c>
      <c r="B66" s="57">
        <v>44074</v>
      </c>
      <c r="C66" s="58">
        <v>31</v>
      </c>
      <c r="D66" s="59">
        <v>9.4E-2</v>
      </c>
      <c r="E66" s="60">
        <v>2165941.85</v>
      </c>
      <c r="F66" s="61">
        <v>0</v>
      </c>
      <c r="G66" s="61">
        <v>28304</v>
      </c>
      <c r="H66" s="60">
        <v>17244.68</v>
      </c>
      <c r="I66" s="60">
        <v>17244.68</v>
      </c>
      <c r="J66" s="60">
        <v>11059.32</v>
      </c>
      <c r="K66" s="60">
        <v>0</v>
      </c>
      <c r="L66" s="60">
        <v>0</v>
      </c>
      <c r="M66" s="60">
        <v>2154882.5300000003</v>
      </c>
      <c r="N66" s="60">
        <v>0</v>
      </c>
      <c r="O66" s="63">
        <v>2154882.5300000003</v>
      </c>
    </row>
    <row r="67" spans="1:15" ht="11.1" customHeight="1" x14ac:dyDescent="0.25">
      <c r="A67" s="62">
        <v>50</v>
      </c>
      <c r="B67" s="74">
        <v>44104</v>
      </c>
      <c r="C67" s="58">
        <v>30</v>
      </c>
      <c r="D67" s="59">
        <v>9.4E-2</v>
      </c>
      <c r="E67" s="60">
        <v>2154882.5300000003</v>
      </c>
      <c r="F67" s="60">
        <v>0</v>
      </c>
      <c r="G67" s="60">
        <v>28304</v>
      </c>
      <c r="H67" s="60">
        <v>16603.189999999999</v>
      </c>
      <c r="I67" s="60">
        <v>16603.189999999999</v>
      </c>
      <c r="J67" s="60">
        <v>11700.810000000001</v>
      </c>
      <c r="K67" s="60">
        <v>0</v>
      </c>
      <c r="L67" s="60">
        <v>0</v>
      </c>
      <c r="M67" s="60">
        <v>2143181.7200000002</v>
      </c>
      <c r="N67" s="60">
        <v>0</v>
      </c>
      <c r="O67" s="63">
        <v>2143181.7200000002</v>
      </c>
    </row>
    <row r="68" spans="1:15" ht="11.1" customHeight="1" x14ac:dyDescent="0.25">
      <c r="A68" s="62">
        <v>51</v>
      </c>
      <c r="B68" s="57">
        <v>44135</v>
      </c>
      <c r="C68" s="58">
        <v>31</v>
      </c>
      <c r="D68" s="59">
        <v>9.4E-2</v>
      </c>
      <c r="E68" s="60">
        <v>2143181.7200000002</v>
      </c>
      <c r="F68" s="61">
        <v>0</v>
      </c>
      <c r="G68" s="61">
        <v>28304</v>
      </c>
      <c r="H68" s="60">
        <v>17063.47</v>
      </c>
      <c r="I68" s="60">
        <v>17063.47</v>
      </c>
      <c r="J68" s="60">
        <v>11240.529999999999</v>
      </c>
      <c r="K68" s="60">
        <v>0</v>
      </c>
      <c r="L68" s="60">
        <v>0</v>
      </c>
      <c r="M68" s="60">
        <v>2131941.19</v>
      </c>
      <c r="N68" s="60">
        <v>0</v>
      </c>
      <c r="O68" s="63">
        <v>2131941.19</v>
      </c>
    </row>
    <row r="69" spans="1:15" ht="11.1" customHeight="1" x14ac:dyDescent="0.25">
      <c r="A69" s="62">
        <v>52</v>
      </c>
      <c r="B69" s="74">
        <v>44165</v>
      </c>
      <c r="C69" s="58">
        <v>30</v>
      </c>
      <c r="D69" s="59">
        <v>9.4E-2</v>
      </c>
      <c r="E69" s="60">
        <v>2131941.19</v>
      </c>
      <c r="F69" s="60">
        <v>0</v>
      </c>
      <c r="G69" s="60">
        <v>28304</v>
      </c>
      <c r="H69" s="60">
        <v>16426.43</v>
      </c>
      <c r="I69" s="60">
        <v>16426.43</v>
      </c>
      <c r="J69" s="60">
        <v>11877.57</v>
      </c>
      <c r="K69" s="60">
        <v>0</v>
      </c>
      <c r="L69" s="60">
        <v>0</v>
      </c>
      <c r="M69" s="60">
        <v>2120063.62</v>
      </c>
      <c r="N69" s="60">
        <v>0</v>
      </c>
      <c r="O69" s="63">
        <v>2120063.62</v>
      </c>
    </row>
    <row r="70" spans="1:15" ht="11.1" customHeight="1" x14ac:dyDescent="0.25">
      <c r="A70" s="62">
        <v>53</v>
      </c>
      <c r="B70" s="57">
        <v>44196</v>
      </c>
      <c r="C70" s="58">
        <v>31</v>
      </c>
      <c r="D70" s="59">
        <v>9.4E-2</v>
      </c>
      <c r="E70" s="60">
        <v>2120063.62</v>
      </c>
      <c r="F70" s="61">
        <v>0</v>
      </c>
      <c r="G70" s="61">
        <v>28304</v>
      </c>
      <c r="H70" s="60">
        <v>16879.41</v>
      </c>
      <c r="I70" s="60">
        <v>16879.41</v>
      </c>
      <c r="J70" s="60">
        <v>11424.59</v>
      </c>
      <c r="K70" s="60">
        <v>0</v>
      </c>
      <c r="L70" s="60">
        <v>0</v>
      </c>
      <c r="M70" s="60">
        <v>2108639.0300000003</v>
      </c>
      <c r="N70" s="60">
        <v>0</v>
      </c>
      <c r="O70" s="63">
        <v>2108639.0300000003</v>
      </c>
    </row>
    <row r="71" spans="1:15" ht="11.1" customHeight="1" x14ac:dyDescent="0.25">
      <c r="A71" s="62">
        <v>54</v>
      </c>
      <c r="B71" s="74">
        <v>44227</v>
      </c>
      <c r="C71" s="58">
        <v>31</v>
      </c>
      <c r="D71" s="59">
        <v>9.4E-2</v>
      </c>
      <c r="E71" s="60">
        <v>2108639.0300000003</v>
      </c>
      <c r="F71" s="60">
        <v>0</v>
      </c>
      <c r="G71" s="60">
        <v>28304</v>
      </c>
      <c r="H71" s="60">
        <v>16834.45</v>
      </c>
      <c r="I71" s="60">
        <v>16834.45</v>
      </c>
      <c r="J71" s="60">
        <v>11469.55</v>
      </c>
      <c r="K71" s="60">
        <v>0</v>
      </c>
      <c r="L71" s="60">
        <v>0</v>
      </c>
      <c r="M71" s="60">
        <v>2097169.48</v>
      </c>
      <c r="N71" s="60">
        <v>0</v>
      </c>
      <c r="O71" s="63">
        <v>2097169.48</v>
      </c>
    </row>
    <row r="72" spans="1:15" ht="11.1" customHeight="1" x14ac:dyDescent="0.25">
      <c r="A72" s="62">
        <v>55</v>
      </c>
      <c r="B72" s="57">
        <v>44255</v>
      </c>
      <c r="C72" s="58">
        <v>28</v>
      </c>
      <c r="D72" s="59">
        <v>9.4E-2</v>
      </c>
      <c r="E72" s="60">
        <v>2097169.48</v>
      </c>
      <c r="F72" s="61">
        <v>0</v>
      </c>
      <c r="G72" s="61">
        <v>28304</v>
      </c>
      <c r="H72" s="60">
        <v>15122.6</v>
      </c>
      <c r="I72" s="60">
        <v>15122.6</v>
      </c>
      <c r="J72" s="60">
        <v>13181.4</v>
      </c>
      <c r="K72" s="60">
        <v>0</v>
      </c>
      <c r="L72" s="60">
        <v>0</v>
      </c>
      <c r="M72" s="60">
        <v>2083988.08</v>
      </c>
      <c r="N72" s="60">
        <v>0</v>
      </c>
      <c r="O72" s="63">
        <v>2083988.08</v>
      </c>
    </row>
    <row r="73" spans="1:15" ht="11.1" customHeight="1" x14ac:dyDescent="0.25">
      <c r="A73" s="62">
        <v>56</v>
      </c>
      <c r="B73" s="74">
        <v>44286</v>
      </c>
      <c r="C73" s="58">
        <v>31</v>
      </c>
      <c r="D73" s="59">
        <v>9.4E-2</v>
      </c>
      <c r="E73" s="60">
        <v>2083988.08</v>
      </c>
      <c r="F73" s="60">
        <v>0</v>
      </c>
      <c r="G73" s="60">
        <v>28304</v>
      </c>
      <c r="H73" s="60">
        <v>16637.650000000001</v>
      </c>
      <c r="I73" s="60">
        <v>16637.650000000001</v>
      </c>
      <c r="J73" s="60">
        <v>11666.349999999999</v>
      </c>
      <c r="K73" s="60">
        <v>0</v>
      </c>
      <c r="L73" s="60">
        <v>0</v>
      </c>
      <c r="M73" s="60">
        <v>2072321.73</v>
      </c>
      <c r="N73" s="60">
        <v>0</v>
      </c>
      <c r="O73" s="63">
        <v>2072321.73</v>
      </c>
    </row>
    <row r="74" spans="1:15" ht="11.1" customHeight="1" x14ac:dyDescent="0.25">
      <c r="A74" s="62">
        <v>57</v>
      </c>
      <c r="B74" s="57">
        <v>44316</v>
      </c>
      <c r="C74" s="58">
        <v>30</v>
      </c>
      <c r="D74" s="59">
        <v>9.4E-2</v>
      </c>
      <c r="E74" s="60">
        <v>2072321.73</v>
      </c>
      <c r="F74" s="61">
        <v>0</v>
      </c>
      <c r="G74" s="61">
        <v>28304</v>
      </c>
      <c r="H74" s="60">
        <v>16010.81</v>
      </c>
      <c r="I74" s="60">
        <v>16010.81</v>
      </c>
      <c r="J74" s="60">
        <v>12293.19</v>
      </c>
      <c r="K74" s="60">
        <v>0</v>
      </c>
      <c r="L74" s="60">
        <v>0</v>
      </c>
      <c r="M74" s="60">
        <v>2060028.54</v>
      </c>
      <c r="N74" s="60">
        <v>0</v>
      </c>
      <c r="O74" s="63">
        <v>2060028.54</v>
      </c>
    </row>
    <row r="75" spans="1:15" ht="11.1" customHeight="1" x14ac:dyDescent="0.25">
      <c r="A75" s="62">
        <v>58</v>
      </c>
      <c r="B75" s="74">
        <v>44347</v>
      </c>
      <c r="C75" s="58">
        <v>31</v>
      </c>
      <c r="D75" s="59">
        <v>9.4E-2</v>
      </c>
      <c r="E75" s="60">
        <v>2060028.54</v>
      </c>
      <c r="F75" s="60">
        <v>0</v>
      </c>
      <c r="G75" s="60">
        <v>28304</v>
      </c>
      <c r="H75" s="60">
        <v>16446.36</v>
      </c>
      <c r="I75" s="60">
        <v>16446.36</v>
      </c>
      <c r="J75" s="60">
        <v>11857.64</v>
      </c>
      <c r="K75" s="60">
        <v>0</v>
      </c>
      <c r="L75" s="60">
        <v>0</v>
      </c>
      <c r="M75" s="60">
        <v>2048170.9000000001</v>
      </c>
      <c r="N75" s="60">
        <v>0</v>
      </c>
      <c r="O75" s="63">
        <v>2048170.9000000001</v>
      </c>
    </row>
    <row r="76" spans="1:15" ht="11.1" customHeight="1" x14ac:dyDescent="0.25">
      <c r="A76" s="62">
        <v>59</v>
      </c>
      <c r="B76" s="57">
        <v>44377</v>
      </c>
      <c r="C76" s="58">
        <v>30</v>
      </c>
      <c r="D76" s="59">
        <v>9.4E-2</v>
      </c>
      <c r="E76" s="60">
        <v>2048170.9000000001</v>
      </c>
      <c r="F76" s="61">
        <v>0</v>
      </c>
      <c r="G76" s="61">
        <v>28304</v>
      </c>
      <c r="H76" s="60">
        <v>15824.220000000001</v>
      </c>
      <c r="I76" s="60">
        <v>15824.220000000001</v>
      </c>
      <c r="J76" s="60">
        <v>12479.779999999999</v>
      </c>
      <c r="K76" s="60">
        <v>0</v>
      </c>
      <c r="L76" s="60">
        <v>0</v>
      </c>
      <c r="M76" s="60">
        <v>2035691.12</v>
      </c>
      <c r="N76" s="60">
        <v>0</v>
      </c>
      <c r="O76" s="63">
        <v>2035691.12</v>
      </c>
    </row>
    <row r="77" spans="1:15" ht="11.1" customHeight="1" x14ac:dyDescent="0.25">
      <c r="A77" s="62">
        <v>60</v>
      </c>
      <c r="B77" s="74">
        <v>44408</v>
      </c>
      <c r="C77" s="58">
        <v>31</v>
      </c>
      <c r="D77" s="59">
        <v>9.4E-2</v>
      </c>
      <c r="E77" s="60">
        <v>2035691.12</v>
      </c>
      <c r="F77" s="60">
        <v>0</v>
      </c>
      <c r="G77" s="60">
        <v>28304</v>
      </c>
      <c r="H77" s="60">
        <v>16252.07</v>
      </c>
      <c r="I77" s="60">
        <v>16252.07</v>
      </c>
      <c r="J77" s="60">
        <v>12051.93</v>
      </c>
      <c r="K77" s="60">
        <v>0</v>
      </c>
      <c r="L77" s="60">
        <v>0</v>
      </c>
      <c r="M77" s="60">
        <v>2023639.19</v>
      </c>
      <c r="N77" s="60">
        <v>0</v>
      </c>
      <c r="O77" s="63">
        <v>2023639.19</v>
      </c>
    </row>
    <row r="78" spans="1:15" ht="11.1" customHeight="1" x14ac:dyDescent="0.25">
      <c r="A78" s="62">
        <v>61</v>
      </c>
      <c r="B78" s="57">
        <v>44439</v>
      </c>
      <c r="C78" s="58">
        <v>31</v>
      </c>
      <c r="D78" s="59">
        <v>9.4E-2</v>
      </c>
      <c r="E78" s="60">
        <v>2023639.19</v>
      </c>
      <c r="F78" s="61">
        <v>0</v>
      </c>
      <c r="G78" s="61">
        <v>28304</v>
      </c>
      <c r="H78" s="60">
        <v>16155.85</v>
      </c>
      <c r="I78" s="60">
        <v>16155.85</v>
      </c>
      <c r="J78" s="60">
        <v>12148.15</v>
      </c>
      <c r="K78" s="60">
        <v>0</v>
      </c>
      <c r="L78" s="60">
        <v>0</v>
      </c>
      <c r="M78" s="60">
        <v>2011491.04</v>
      </c>
      <c r="N78" s="60">
        <v>0</v>
      </c>
      <c r="O78" s="63">
        <v>2011491.04</v>
      </c>
    </row>
    <row r="79" spans="1:15" ht="11.1" customHeight="1" x14ac:dyDescent="0.25">
      <c r="A79" s="62">
        <v>62</v>
      </c>
      <c r="B79" s="74">
        <v>44469</v>
      </c>
      <c r="C79" s="58">
        <v>30</v>
      </c>
      <c r="D79" s="59">
        <v>9.4E-2</v>
      </c>
      <c r="E79" s="60">
        <v>2011491.04</v>
      </c>
      <c r="F79" s="60">
        <v>0</v>
      </c>
      <c r="G79" s="60">
        <v>28304</v>
      </c>
      <c r="H79" s="60">
        <v>15540.83</v>
      </c>
      <c r="I79" s="60">
        <v>15540.83</v>
      </c>
      <c r="J79" s="60">
        <v>12763.17</v>
      </c>
      <c r="K79" s="60">
        <v>0</v>
      </c>
      <c r="L79" s="60">
        <v>0</v>
      </c>
      <c r="M79" s="60">
        <v>1998727.87</v>
      </c>
      <c r="N79" s="60">
        <v>0</v>
      </c>
      <c r="O79" s="63">
        <v>1998727.87</v>
      </c>
    </row>
    <row r="80" spans="1:15" ht="11.1" customHeight="1" x14ac:dyDescent="0.25">
      <c r="A80" s="62">
        <v>63</v>
      </c>
      <c r="B80" s="57">
        <v>44500</v>
      </c>
      <c r="C80" s="58">
        <v>31</v>
      </c>
      <c r="D80" s="59">
        <v>9.4E-2</v>
      </c>
      <c r="E80" s="60">
        <v>1998727.87</v>
      </c>
      <c r="F80" s="61">
        <v>0</v>
      </c>
      <c r="G80" s="61">
        <v>28304</v>
      </c>
      <c r="H80" s="60">
        <v>15956.970000000001</v>
      </c>
      <c r="I80" s="60">
        <v>15956.970000000001</v>
      </c>
      <c r="J80" s="60">
        <v>12347.029999999999</v>
      </c>
      <c r="K80" s="60">
        <v>0</v>
      </c>
      <c r="L80" s="60">
        <v>0</v>
      </c>
      <c r="M80" s="60">
        <v>1986380.84</v>
      </c>
      <c r="N80" s="60">
        <v>0</v>
      </c>
      <c r="O80" s="63">
        <v>1986380.84</v>
      </c>
    </row>
    <row r="81" spans="1:15" ht="11.1" customHeight="1" x14ac:dyDescent="0.25">
      <c r="A81" s="62">
        <v>64</v>
      </c>
      <c r="B81" s="74">
        <v>44530</v>
      </c>
      <c r="C81" s="58">
        <v>30</v>
      </c>
      <c r="D81" s="59">
        <v>9.4E-2</v>
      </c>
      <c r="E81" s="60">
        <v>1986380.84</v>
      </c>
      <c r="F81" s="60">
        <v>0</v>
      </c>
      <c r="G81" s="60">
        <v>28304</v>
      </c>
      <c r="H81" s="60">
        <v>15346.83</v>
      </c>
      <c r="I81" s="60">
        <v>15346.83</v>
      </c>
      <c r="J81" s="60">
        <v>12957.17</v>
      </c>
      <c r="K81" s="60">
        <v>0</v>
      </c>
      <c r="L81" s="60">
        <v>0</v>
      </c>
      <c r="M81" s="60">
        <v>1973423.67</v>
      </c>
      <c r="N81" s="60">
        <v>0</v>
      </c>
      <c r="O81" s="63">
        <v>1973423.67</v>
      </c>
    </row>
    <row r="82" spans="1:15" ht="11.1" customHeight="1" x14ac:dyDescent="0.25">
      <c r="A82" s="62">
        <v>65</v>
      </c>
      <c r="B82" s="57">
        <v>44561</v>
      </c>
      <c r="C82" s="58">
        <v>31</v>
      </c>
      <c r="D82" s="59">
        <v>9.4E-2</v>
      </c>
      <c r="E82" s="60">
        <v>1973423.67</v>
      </c>
      <c r="F82" s="61">
        <v>0</v>
      </c>
      <c r="G82" s="61">
        <v>28304</v>
      </c>
      <c r="H82" s="60">
        <v>15754.95</v>
      </c>
      <c r="I82" s="60">
        <v>15754.95</v>
      </c>
      <c r="J82" s="60">
        <v>12549.05</v>
      </c>
      <c r="K82" s="60">
        <v>0</v>
      </c>
      <c r="L82" s="60">
        <v>0</v>
      </c>
      <c r="M82" s="60">
        <v>1960874.62</v>
      </c>
      <c r="N82" s="60">
        <v>0</v>
      </c>
      <c r="O82" s="63">
        <v>1960874.62</v>
      </c>
    </row>
    <row r="83" spans="1:15" ht="11.1" customHeight="1" x14ac:dyDescent="0.25">
      <c r="A83" s="62">
        <v>66</v>
      </c>
      <c r="B83" s="74">
        <v>44592</v>
      </c>
      <c r="C83" s="58">
        <v>31</v>
      </c>
      <c r="D83" s="59">
        <v>9.4E-2</v>
      </c>
      <c r="E83" s="60">
        <v>1960874.62</v>
      </c>
      <c r="F83" s="60">
        <v>0</v>
      </c>
      <c r="G83" s="60">
        <v>28304</v>
      </c>
      <c r="H83" s="60">
        <v>15654.76</v>
      </c>
      <c r="I83" s="60">
        <v>15654.76</v>
      </c>
      <c r="J83" s="60">
        <v>12649.24</v>
      </c>
      <c r="K83" s="60">
        <v>0</v>
      </c>
      <c r="L83" s="60">
        <v>0</v>
      </c>
      <c r="M83" s="60">
        <v>1948225.3800000001</v>
      </c>
      <c r="N83" s="60">
        <v>0</v>
      </c>
      <c r="O83" s="63">
        <v>1948225.3800000001</v>
      </c>
    </row>
    <row r="84" spans="1:15" ht="11.1" customHeight="1" x14ac:dyDescent="0.25">
      <c r="A84" s="62">
        <v>67</v>
      </c>
      <c r="B84" s="57">
        <v>44620</v>
      </c>
      <c r="C84" s="58">
        <v>28</v>
      </c>
      <c r="D84" s="59">
        <v>9.4E-2</v>
      </c>
      <c r="E84" s="60">
        <v>1948225.3800000001</v>
      </c>
      <c r="F84" s="61">
        <v>0</v>
      </c>
      <c r="G84" s="61">
        <v>28304</v>
      </c>
      <c r="H84" s="60">
        <v>14048.57</v>
      </c>
      <c r="I84" s="60">
        <v>14048.57</v>
      </c>
      <c r="J84" s="60">
        <v>14255.43</v>
      </c>
      <c r="K84" s="60">
        <v>0</v>
      </c>
      <c r="L84" s="60">
        <v>0</v>
      </c>
      <c r="M84" s="60">
        <v>1933969.95</v>
      </c>
      <c r="N84" s="60">
        <v>0</v>
      </c>
      <c r="O84" s="63">
        <v>1933969.95</v>
      </c>
    </row>
    <row r="85" spans="1:15" ht="11.1" customHeight="1" x14ac:dyDescent="0.25">
      <c r="A85" s="62">
        <v>68</v>
      </c>
      <c r="B85" s="74">
        <v>44651</v>
      </c>
      <c r="C85" s="58">
        <v>31</v>
      </c>
      <c r="D85" s="59">
        <v>9.4E-2</v>
      </c>
      <c r="E85" s="60">
        <v>1933969.95</v>
      </c>
      <c r="F85" s="60">
        <v>0</v>
      </c>
      <c r="G85" s="60">
        <v>28304</v>
      </c>
      <c r="H85" s="60">
        <v>15439.970000000001</v>
      </c>
      <c r="I85" s="60">
        <v>15439.970000000001</v>
      </c>
      <c r="J85" s="60">
        <v>12864.029999999999</v>
      </c>
      <c r="K85" s="60">
        <v>0</v>
      </c>
      <c r="L85" s="60">
        <v>0</v>
      </c>
      <c r="M85" s="60">
        <v>1921105.9199999999</v>
      </c>
      <c r="N85" s="60">
        <v>0</v>
      </c>
      <c r="O85" s="63">
        <v>1921105.9199999999</v>
      </c>
    </row>
    <row r="86" spans="1:15" ht="11.1" customHeight="1" x14ac:dyDescent="0.25">
      <c r="A86" s="62">
        <v>69</v>
      </c>
      <c r="B86" s="57">
        <v>44681</v>
      </c>
      <c r="C86" s="58">
        <v>30</v>
      </c>
      <c r="D86" s="59">
        <v>9.4E-2</v>
      </c>
      <c r="E86" s="60">
        <v>1921105.9199999999</v>
      </c>
      <c r="F86" s="61">
        <v>0</v>
      </c>
      <c r="G86" s="61">
        <v>28304</v>
      </c>
      <c r="H86" s="60">
        <v>14842.52</v>
      </c>
      <c r="I86" s="60">
        <v>14842.52</v>
      </c>
      <c r="J86" s="60">
        <v>13461.48</v>
      </c>
      <c r="K86" s="60">
        <v>0</v>
      </c>
      <c r="L86" s="60">
        <v>0</v>
      </c>
      <c r="M86" s="60">
        <v>1907644.44</v>
      </c>
      <c r="N86" s="60">
        <v>0</v>
      </c>
      <c r="O86" s="63">
        <v>1907644.44</v>
      </c>
    </row>
    <row r="87" spans="1:15" ht="11.1" customHeight="1" x14ac:dyDescent="0.25">
      <c r="A87" s="62">
        <v>70</v>
      </c>
      <c r="B87" s="74">
        <v>44712</v>
      </c>
      <c r="C87" s="58">
        <v>31</v>
      </c>
      <c r="D87" s="59">
        <v>9.4E-2</v>
      </c>
      <c r="E87" s="60">
        <v>1907644.44</v>
      </c>
      <c r="F87" s="60">
        <v>0</v>
      </c>
      <c r="G87" s="60">
        <v>28304</v>
      </c>
      <c r="H87" s="60">
        <v>15229.800000000001</v>
      </c>
      <c r="I87" s="60">
        <v>15229.800000000001</v>
      </c>
      <c r="J87" s="60">
        <v>13074.199999999999</v>
      </c>
      <c r="K87" s="60">
        <v>0</v>
      </c>
      <c r="L87" s="60">
        <v>0</v>
      </c>
      <c r="M87" s="60">
        <v>1894570.24</v>
      </c>
      <c r="N87" s="60">
        <v>0</v>
      </c>
      <c r="O87" s="63">
        <v>1894570.24</v>
      </c>
    </row>
    <row r="88" spans="1:15" ht="11.1" customHeight="1" x14ac:dyDescent="0.25">
      <c r="A88" s="62">
        <v>71</v>
      </c>
      <c r="B88" s="57">
        <v>44742</v>
      </c>
      <c r="C88" s="58">
        <v>30</v>
      </c>
      <c r="D88" s="59">
        <v>9.4E-2</v>
      </c>
      <c r="E88" s="60">
        <v>1894570.24</v>
      </c>
      <c r="F88" s="61">
        <v>0</v>
      </c>
      <c r="G88" s="61">
        <v>28304</v>
      </c>
      <c r="H88" s="60">
        <v>14637.5</v>
      </c>
      <c r="I88" s="60">
        <v>14637.5</v>
      </c>
      <c r="J88" s="60">
        <v>13666.5</v>
      </c>
      <c r="K88" s="60">
        <v>0</v>
      </c>
      <c r="L88" s="60">
        <v>0</v>
      </c>
      <c r="M88" s="60">
        <v>1880903.74</v>
      </c>
      <c r="N88" s="60">
        <v>0</v>
      </c>
      <c r="O88" s="63">
        <v>1880903.74</v>
      </c>
    </row>
    <row r="89" spans="1:15" ht="11.1" customHeight="1" x14ac:dyDescent="0.25">
      <c r="A89" s="62">
        <v>72</v>
      </c>
      <c r="B89" s="74">
        <v>44773</v>
      </c>
      <c r="C89" s="58">
        <v>31</v>
      </c>
      <c r="D89" s="59">
        <v>9.4E-2</v>
      </c>
      <c r="E89" s="60">
        <v>1880903.74</v>
      </c>
      <c r="F89" s="60">
        <v>0</v>
      </c>
      <c r="G89" s="60">
        <v>28304</v>
      </c>
      <c r="H89" s="60">
        <v>15016.31</v>
      </c>
      <c r="I89" s="60">
        <v>15016.31</v>
      </c>
      <c r="J89" s="60">
        <v>13287.69</v>
      </c>
      <c r="K89" s="60">
        <v>0</v>
      </c>
      <c r="L89" s="60">
        <v>0</v>
      </c>
      <c r="M89" s="60">
        <v>1867616.05</v>
      </c>
      <c r="N89" s="60">
        <v>0</v>
      </c>
      <c r="O89" s="63">
        <v>1867616.05</v>
      </c>
    </row>
    <row r="90" spans="1:15" ht="11.1" customHeight="1" x14ac:dyDescent="0.25">
      <c r="A90" s="62">
        <v>73</v>
      </c>
      <c r="B90" s="57">
        <v>44804</v>
      </c>
      <c r="C90" s="58">
        <v>31</v>
      </c>
      <c r="D90" s="59">
        <v>9.4E-2</v>
      </c>
      <c r="E90" s="60">
        <v>1867616.05</v>
      </c>
      <c r="F90" s="61">
        <v>0</v>
      </c>
      <c r="G90" s="61">
        <v>28304</v>
      </c>
      <c r="H90" s="60">
        <v>14910.23</v>
      </c>
      <c r="I90" s="60">
        <v>14910.23</v>
      </c>
      <c r="J90" s="60">
        <v>13393.77</v>
      </c>
      <c r="K90" s="60">
        <v>0</v>
      </c>
      <c r="L90" s="60">
        <v>0</v>
      </c>
      <c r="M90" s="60">
        <v>1854222.28</v>
      </c>
      <c r="N90" s="60">
        <v>0</v>
      </c>
      <c r="O90" s="63">
        <v>1854222.28</v>
      </c>
    </row>
    <row r="91" spans="1:15" ht="11.1" customHeight="1" x14ac:dyDescent="0.25">
      <c r="A91" s="62">
        <v>74</v>
      </c>
      <c r="B91" s="74">
        <v>44834</v>
      </c>
      <c r="C91" s="58">
        <v>30</v>
      </c>
      <c r="D91" s="59">
        <v>9.4E-2</v>
      </c>
      <c r="E91" s="60">
        <v>1854222.28</v>
      </c>
      <c r="F91" s="60">
        <v>0</v>
      </c>
      <c r="G91" s="60">
        <v>28304</v>
      </c>
      <c r="H91" s="60">
        <v>14325.77</v>
      </c>
      <c r="I91" s="60">
        <v>14325.77</v>
      </c>
      <c r="J91" s="60">
        <v>13978.23</v>
      </c>
      <c r="K91" s="60">
        <v>0</v>
      </c>
      <c r="L91" s="60">
        <v>0</v>
      </c>
      <c r="M91" s="60">
        <v>1840244.05</v>
      </c>
      <c r="N91" s="60">
        <v>0</v>
      </c>
      <c r="O91" s="63">
        <v>1840244.05</v>
      </c>
    </row>
    <row r="92" spans="1:15" ht="11.1" customHeight="1" x14ac:dyDescent="0.25">
      <c r="A92" s="62">
        <v>75</v>
      </c>
      <c r="B92" s="57">
        <v>44865</v>
      </c>
      <c r="C92" s="58">
        <v>31</v>
      </c>
      <c r="D92" s="59">
        <v>9.4E-2</v>
      </c>
      <c r="E92" s="60">
        <v>1840244.05</v>
      </c>
      <c r="F92" s="61">
        <v>0</v>
      </c>
      <c r="G92" s="61">
        <v>28304</v>
      </c>
      <c r="H92" s="60">
        <v>14691.7</v>
      </c>
      <c r="I92" s="60">
        <v>14691.7</v>
      </c>
      <c r="J92" s="60">
        <v>13612.3</v>
      </c>
      <c r="K92" s="60">
        <v>0</v>
      </c>
      <c r="L92" s="60">
        <v>0</v>
      </c>
      <c r="M92" s="60">
        <v>1826631.75</v>
      </c>
      <c r="N92" s="60">
        <v>0</v>
      </c>
      <c r="O92" s="63">
        <v>1826631.75</v>
      </c>
    </row>
    <row r="93" spans="1:15" ht="11.1" customHeight="1" x14ac:dyDescent="0.25">
      <c r="A93" s="62">
        <v>76</v>
      </c>
      <c r="B93" s="74">
        <v>44895</v>
      </c>
      <c r="C93" s="58">
        <v>30</v>
      </c>
      <c r="D93" s="59">
        <v>9.4E-2</v>
      </c>
      <c r="E93" s="60">
        <v>1826631.75</v>
      </c>
      <c r="F93" s="60">
        <v>0</v>
      </c>
      <c r="G93" s="60">
        <v>28304</v>
      </c>
      <c r="H93" s="60">
        <v>14112.61</v>
      </c>
      <c r="I93" s="60">
        <v>14112.61</v>
      </c>
      <c r="J93" s="60">
        <v>14191.39</v>
      </c>
      <c r="K93" s="60">
        <v>0</v>
      </c>
      <c r="L93" s="60">
        <v>0</v>
      </c>
      <c r="M93" s="60">
        <v>1812440.36</v>
      </c>
      <c r="N93" s="60">
        <v>0</v>
      </c>
      <c r="O93" s="63">
        <v>1812440.36</v>
      </c>
    </row>
    <row r="94" spans="1:15" ht="11.1" customHeight="1" x14ac:dyDescent="0.25">
      <c r="A94" s="62">
        <v>77</v>
      </c>
      <c r="B94" s="57">
        <v>44926</v>
      </c>
      <c r="C94" s="58">
        <v>31</v>
      </c>
      <c r="D94" s="59">
        <v>9.4E-2</v>
      </c>
      <c r="E94" s="60">
        <v>1812440.36</v>
      </c>
      <c r="F94" s="61">
        <v>0</v>
      </c>
      <c r="G94" s="61">
        <v>28304</v>
      </c>
      <c r="H94" s="60">
        <v>14469.73</v>
      </c>
      <c r="I94" s="60">
        <v>14469.73</v>
      </c>
      <c r="J94" s="60">
        <v>13834.27</v>
      </c>
      <c r="K94" s="60">
        <v>0</v>
      </c>
      <c r="L94" s="60">
        <v>0</v>
      </c>
      <c r="M94" s="60">
        <v>1798606.09</v>
      </c>
      <c r="N94" s="60">
        <v>0</v>
      </c>
      <c r="O94" s="63">
        <v>1798606.09</v>
      </c>
    </row>
    <row r="95" spans="1:15" ht="11.1" customHeight="1" x14ac:dyDescent="0.25">
      <c r="A95" s="62">
        <v>78</v>
      </c>
      <c r="B95" s="74">
        <v>44957</v>
      </c>
      <c r="C95" s="58">
        <v>31</v>
      </c>
      <c r="D95" s="59">
        <v>9.4E-2</v>
      </c>
      <c r="E95" s="60">
        <v>1798606.09</v>
      </c>
      <c r="F95" s="60">
        <v>0</v>
      </c>
      <c r="G95" s="60">
        <v>28304</v>
      </c>
      <c r="H95" s="60">
        <v>14359.28</v>
      </c>
      <c r="I95" s="60">
        <v>14359.28</v>
      </c>
      <c r="J95" s="60">
        <v>13944.72</v>
      </c>
      <c r="K95" s="60">
        <v>0</v>
      </c>
      <c r="L95" s="60">
        <v>0</v>
      </c>
      <c r="M95" s="60">
        <v>1784661.37</v>
      </c>
      <c r="N95" s="60">
        <v>0</v>
      </c>
      <c r="O95" s="63">
        <v>1784661.37</v>
      </c>
    </row>
    <row r="96" spans="1:15" ht="11.1" customHeight="1" x14ac:dyDescent="0.25">
      <c r="A96" s="62">
        <v>79</v>
      </c>
      <c r="B96" s="57">
        <v>44985</v>
      </c>
      <c r="C96" s="58">
        <v>28</v>
      </c>
      <c r="D96" s="59">
        <v>9.4E-2</v>
      </c>
      <c r="E96" s="60">
        <v>1784661.37</v>
      </c>
      <c r="F96" s="61">
        <v>0</v>
      </c>
      <c r="G96" s="61">
        <v>28304</v>
      </c>
      <c r="H96" s="60">
        <v>12869.12</v>
      </c>
      <c r="I96" s="60">
        <v>12869.12</v>
      </c>
      <c r="J96" s="60">
        <v>15434.88</v>
      </c>
      <c r="K96" s="60">
        <v>0</v>
      </c>
      <c r="L96" s="60">
        <v>0</v>
      </c>
      <c r="M96" s="60">
        <v>1769226.49</v>
      </c>
      <c r="N96" s="60">
        <v>0</v>
      </c>
      <c r="O96" s="63">
        <v>1769226.49</v>
      </c>
    </row>
    <row r="97" spans="1:15" ht="11.1" customHeight="1" x14ac:dyDescent="0.25">
      <c r="A97" s="62">
        <v>80</v>
      </c>
      <c r="B97" s="74">
        <v>45016</v>
      </c>
      <c r="C97" s="58">
        <v>31</v>
      </c>
      <c r="D97" s="59">
        <v>9.4E-2</v>
      </c>
      <c r="E97" s="60">
        <v>1769226.49</v>
      </c>
      <c r="F97" s="60">
        <v>0</v>
      </c>
      <c r="G97" s="60">
        <v>28304</v>
      </c>
      <c r="H97" s="60">
        <v>14124.73</v>
      </c>
      <c r="I97" s="60">
        <v>14124.73</v>
      </c>
      <c r="J97" s="60">
        <v>14179.27</v>
      </c>
      <c r="K97" s="60">
        <v>0</v>
      </c>
      <c r="L97" s="60">
        <v>0</v>
      </c>
      <c r="M97" s="60">
        <v>1755047.22</v>
      </c>
      <c r="N97" s="60">
        <v>0</v>
      </c>
      <c r="O97" s="63">
        <v>1755047.22</v>
      </c>
    </row>
    <row r="98" spans="1:15" ht="11.1" customHeight="1" x14ac:dyDescent="0.25">
      <c r="A98" s="62">
        <v>81</v>
      </c>
      <c r="B98" s="57">
        <v>45046</v>
      </c>
      <c r="C98" s="58">
        <v>30</v>
      </c>
      <c r="D98" s="59">
        <v>9.4E-2</v>
      </c>
      <c r="E98" s="60">
        <v>1755047.22</v>
      </c>
      <c r="F98" s="61">
        <v>0</v>
      </c>
      <c r="G98" s="61">
        <v>28304</v>
      </c>
      <c r="H98" s="60">
        <v>13559.54</v>
      </c>
      <c r="I98" s="60">
        <v>13559.54</v>
      </c>
      <c r="J98" s="60">
        <v>14744.46</v>
      </c>
      <c r="K98" s="60">
        <v>0</v>
      </c>
      <c r="L98" s="60">
        <v>0</v>
      </c>
      <c r="M98" s="60">
        <v>1740302.76</v>
      </c>
      <c r="N98" s="60">
        <v>0</v>
      </c>
      <c r="O98" s="63">
        <v>1740302.76</v>
      </c>
    </row>
    <row r="99" spans="1:15" ht="11.1" customHeight="1" x14ac:dyDescent="0.25">
      <c r="A99" s="62">
        <v>82</v>
      </c>
      <c r="B99" s="74">
        <v>45077</v>
      </c>
      <c r="C99" s="58">
        <v>31</v>
      </c>
      <c r="D99" s="59">
        <v>9.4E-2</v>
      </c>
      <c r="E99" s="60">
        <v>1740302.76</v>
      </c>
      <c r="F99" s="60">
        <v>0</v>
      </c>
      <c r="G99" s="60">
        <v>28304</v>
      </c>
      <c r="H99" s="60">
        <v>13893.81</v>
      </c>
      <c r="I99" s="60">
        <v>13893.81</v>
      </c>
      <c r="J99" s="60">
        <v>14410.19</v>
      </c>
      <c r="K99" s="60">
        <v>0</v>
      </c>
      <c r="L99" s="60">
        <v>0</v>
      </c>
      <c r="M99" s="60">
        <v>1725892.57</v>
      </c>
      <c r="N99" s="60">
        <v>0</v>
      </c>
      <c r="O99" s="63">
        <v>1725892.57</v>
      </c>
    </row>
    <row r="100" spans="1:15" ht="11.1" customHeight="1" x14ac:dyDescent="0.25">
      <c r="A100" s="62">
        <v>83</v>
      </c>
      <c r="B100" s="57">
        <v>45107</v>
      </c>
      <c r="C100" s="58">
        <v>30</v>
      </c>
      <c r="D100" s="59">
        <v>9.4E-2</v>
      </c>
      <c r="E100" s="60">
        <v>1725892.57</v>
      </c>
      <c r="F100" s="61">
        <v>0</v>
      </c>
      <c r="G100" s="61">
        <v>28304</v>
      </c>
      <c r="H100" s="60">
        <v>13334.29</v>
      </c>
      <c r="I100" s="60">
        <v>13334.29</v>
      </c>
      <c r="J100" s="60">
        <v>14969.71</v>
      </c>
      <c r="K100" s="60">
        <v>0</v>
      </c>
      <c r="L100" s="60">
        <v>0</v>
      </c>
      <c r="M100" s="60">
        <v>1710922.86</v>
      </c>
      <c r="N100" s="60">
        <v>0</v>
      </c>
      <c r="O100" s="63">
        <v>1710922.86</v>
      </c>
    </row>
    <row r="101" spans="1:15" ht="11.1" customHeight="1" x14ac:dyDescent="0.25">
      <c r="A101" s="62">
        <v>84</v>
      </c>
      <c r="B101" s="74">
        <v>45138</v>
      </c>
      <c r="C101" s="58">
        <v>31</v>
      </c>
      <c r="D101" s="59">
        <v>9.4E-2</v>
      </c>
      <c r="E101" s="60">
        <v>1710922.86</v>
      </c>
      <c r="F101" s="60">
        <v>0</v>
      </c>
      <c r="G101" s="60">
        <v>28304</v>
      </c>
      <c r="H101" s="60">
        <v>13659.26</v>
      </c>
      <c r="I101" s="60">
        <v>13659.26</v>
      </c>
      <c r="J101" s="60">
        <v>14644.74</v>
      </c>
      <c r="K101" s="60">
        <v>0</v>
      </c>
      <c r="L101" s="60">
        <v>0</v>
      </c>
      <c r="M101" s="60">
        <v>1696278.12</v>
      </c>
      <c r="N101" s="60">
        <v>0</v>
      </c>
      <c r="O101" s="63">
        <v>1696278.12</v>
      </c>
    </row>
    <row r="102" spans="1:15" ht="11.1" customHeight="1" x14ac:dyDescent="0.25">
      <c r="A102" s="62">
        <v>85</v>
      </c>
      <c r="B102" s="57">
        <v>45169</v>
      </c>
      <c r="C102" s="58">
        <v>31</v>
      </c>
      <c r="D102" s="59">
        <v>9.4E-2</v>
      </c>
      <c r="E102" s="60">
        <v>1696278.12</v>
      </c>
      <c r="F102" s="61">
        <v>0</v>
      </c>
      <c r="G102" s="61">
        <v>28304</v>
      </c>
      <c r="H102" s="60">
        <v>13542.34</v>
      </c>
      <c r="I102" s="60">
        <v>13542.34</v>
      </c>
      <c r="J102" s="60">
        <v>14761.66</v>
      </c>
      <c r="K102" s="60">
        <v>0</v>
      </c>
      <c r="L102" s="60">
        <v>0</v>
      </c>
      <c r="M102" s="60">
        <v>1681516.46</v>
      </c>
      <c r="N102" s="60">
        <v>0</v>
      </c>
      <c r="O102" s="63">
        <v>1681516.46</v>
      </c>
    </row>
    <row r="103" spans="1:15" ht="11.1" customHeight="1" x14ac:dyDescent="0.25">
      <c r="A103" s="62">
        <v>86</v>
      </c>
      <c r="B103" s="74">
        <v>45199</v>
      </c>
      <c r="C103" s="58">
        <v>30</v>
      </c>
      <c r="D103" s="59">
        <v>9.4E-2</v>
      </c>
      <c r="E103" s="60">
        <v>1681516.46</v>
      </c>
      <c r="F103" s="60">
        <v>0</v>
      </c>
      <c r="G103" s="60">
        <v>28304</v>
      </c>
      <c r="H103" s="60">
        <v>12991.44</v>
      </c>
      <c r="I103" s="60">
        <v>12991.44</v>
      </c>
      <c r="J103" s="60">
        <v>15312.56</v>
      </c>
      <c r="K103" s="60">
        <v>0</v>
      </c>
      <c r="L103" s="60">
        <v>0</v>
      </c>
      <c r="M103" s="60">
        <v>1666203.9000000001</v>
      </c>
      <c r="N103" s="60">
        <v>0</v>
      </c>
      <c r="O103" s="63">
        <v>1666203.9000000001</v>
      </c>
    </row>
    <row r="104" spans="1:15" ht="11.1" customHeight="1" x14ac:dyDescent="0.25">
      <c r="A104" s="62">
        <v>87</v>
      </c>
      <c r="B104" s="57">
        <v>45230</v>
      </c>
      <c r="C104" s="58">
        <v>31</v>
      </c>
      <c r="D104" s="59">
        <v>9.4E-2</v>
      </c>
      <c r="E104" s="60">
        <v>1666203.9000000001</v>
      </c>
      <c r="F104" s="61">
        <v>0</v>
      </c>
      <c r="G104" s="61">
        <v>28304</v>
      </c>
      <c r="H104" s="60">
        <v>13302.24</v>
      </c>
      <c r="I104" s="60">
        <v>13302.24</v>
      </c>
      <c r="J104" s="60">
        <v>15001.76</v>
      </c>
      <c r="K104" s="60">
        <v>0</v>
      </c>
      <c r="L104" s="60">
        <v>0</v>
      </c>
      <c r="M104" s="60">
        <v>1651202.1400000001</v>
      </c>
      <c r="N104" s="60">
        <v>0</v>
      </c>
      <c r="O104" s="63">
        <v>1651202.1400000001</v>
      </c>
    </row>
    <row r="105" spans="1:15" ht="11.1" customHeight="1" x14ac:dyDescent="0.25">
      <c r="A105" s="62">
        <v>88</v>
      </c>
      <c r="B105" s="74">
        <v>45260</v>
      </c>
      <c r="C105" s="58">
        <v>30</v>
      </c>
      <c r="D105" s="59">
        <v>9.4E-2</v>
      </c>
      <c r="E105" s="60">
        <v>1651202.1400000001</v>
      </c>
      <c r="F105" s="60">
        <v>0</v>
      </c>
      <c r="G105" s="60">
        <v>28304</v>
      </c>
      <c r="H105" s="60">
        <v>12757.23</v>
      </c>
      <c r="I105" s="60">
        <v>12757.23</v>
      </c>
      <c r="J105" s="60">
        <v>15546.77</v>
      </c>
      <c r="K105" s="60">
        <v>0</v>
      </c>
      <c r="L105" s="60">
        <v>0</v>
      </c>
      <c r="M105" s="60">
        <v>1635655.37</v>
      </c>
      <c r="N105" s="60">
        <v>0</v>
      </c>
      <c r="O105" s="63">
        <v>1635655.37</v>
      </c>
    </row>
    <row r="106" spans="1:15" ht="11.1" customHeight="1" x14ac:dyDescent="0.25">
      <c r="A106" s="62">
        <v>89</v>
      </c>
      <c r="B106" s="57">
        <v>45291</v>
      </c>
      <c r="C106" s="58">
        <v>31</v>
      </c>
      <c r="D106" s="59">
        <v>9.4E-2</v>
      </c>
      <c r="E106" s="60">
        <v>1635655.37</v>
      </c>
      <c r="F106" s="61">
        <v>0</v>
      </c>
      <c r="G106" s="61">
        <v>28304</v>
      </c>
      <c r="H106" s="60">
        <v>13058.36</v>
      </c>
      <c r="I106" s="60">
        <v>13058.36</v>
      </c>
      <c r="J106" s="60">
        <v>15245.64</v>
      </c>
      <c r="K106" s="60">
        <v>0</v>
      </c>
      <c r="L106" s="60">
        <v>0</v>
      </c>
      <c r="M106" s="60">
        <v>1620409.73</v>
      </c>
      <c r="N106" s="60">
        <v>0</v>
      </c>
      <c r="O106" s="63">
        <v>1620409.73</v>
      </c>
    </row>
    <row r="107" spans="1:15" ht="11.1" customHeight="1" x14ac:dyDescent="0.25">
      <c r="A107" s="62">
        <v>90</v>
      </c>
      <c r="B107" s="74">
        <v>45322</v>
      </c>
      <c r="C107" s="58">
        <v>31</v>
      </c>
      <c r="D107" s="59">
        <v>9.4E-2</v>
      </c>
      <c r="E107" s="60">
        <v>1620409.73</v>
      </c>
      <c r="F107" s="60">
        <v>0</v>
      </c>
      <c r="G107" s="60">
        <v>28304</v>
      </c>
      <c r="H107" s="60">
        <v>12901.29</v>
      </c>
      <c r="I107" s="60">
        <v>12901.29</v>
      </c>
      <c r="J107" s="60">
        <v>15402.71</v>
      </c>
      <c r="K107" s="60">
        <v>0</v>
      </c>
      <c r="L107" s="60">
        <v>0</v>
      </c>
      <c r="M107" s="60">
        <v>1605007.02</v>
      </c>
      <c r="N107" s="60">
        <v>0</v>
      </c>
      <c r="O107" s="63">
        <v>1605007.02</v>
      </c>
    </row>
    <row r="108" spans="1:15" ht="11.1" customHeight="1" x14ac:dyDescent="0.25">
      <c r="A108" s="62">
        <v>91</v>
      </c>
      <c r="B108" s="57">
        <v>45351</v>
      </c>
      <c r="C108" s="58">
        <v>29</v>
      </c>
      <c r="D108" s="59">
        <v>9.4E-2</v>
      </c>
      <c r="E108" s="60">
        <v>1605007.02</v>
      </c>
      <c r="F108" s="61">
        <v>0</v>
      </c>
      <c r="G108" s="61">
        <v>28304</v>
      </c>
      <c r="H108" s="60">
        <v>11954.23</v>
      </c>
      <c r="I108" s="60">
        <v>11954.23</v>
      </c>
      <c r="J108" s="60">
        <v>16349.77</v>
      </c>
      <c r="K108" s="60">
        <v>0</v>
      </c>
      <c r="L108" s="60">
        <v>0</v>
      </c>
      <c r="M108" s="60">
        <v>1588657.25</v>
      </c>
      <c r="N108" s="60">
        <v>0</v>
      </c>
      <c r="O108" s="63">
        <v>1588657.25</v>
      </c>
    </row>
    <row r="109" spans="1:15" ht="11.1" customHeight="1" x14ac:dyDescent="0.25">
      <c r="A109" s="62">
        <v>92</v>
      </c>
      <c r="B109" s="74">
        <v>45382</v>
      </c>
      <c r="C109" s="58">
        <v>31</v>
      </c>
      <c r="D109" s="59">
        <v>9.4E-2</v>
      </c>
      <c r="E109" s="60">
        <v>1588657.25</v>
      </c>
      <c r="F109" s="60">
        <v>0</v>
      </c>
      <c r="G109" s="60">
        <v>28304</v>
      </c>
      <c r="H109" s="60">
        <v>12648.49</v>
      </c>
      <c r="I109" s="60">
        <v>12648.49</v>
      </c>
      <c r="J109" s="60">
        <v>15655.51</v>
      </c>
      <c r="K109" s="60">
        <v>0</v>
      </c>
      <c r="L109" s="60">
        <v>0</v>
      </c>
      <c r="M109" s="60">
        <v>1573001.74</v>
      </c>
      <c r="N109" s="60">
        <v>0</v>
      </c>
      <c r="O109" s="63">
        <v>1573001.74</v>
      </c>
    </row>
    <row r="110" spans="1:15" ht="11.1" customHeight="1" x14ac:dyDescent="0.25">
      <c r="A110" s="62">
        <v>93</v>
      </c>
      <c r="B110" s="57">
        <v>45412</v>
      </c>
      <c r="C110" s="58">
        <v>30</v>
      </c>
      <c r="D110" s="59">
        <v>9.4E-2</v>
      </c>
      <c r="E110" s="60">
        <v>1573001.74</v>
      </c>
      <c r="F110" s="61">
        <v>0</v>
      </c>
      <c r="G110" s="61">
        <v>28304</v>
      </c>
      <c r="H110" s="60">
        <v>12119.85</v>
      </c>
      <c r="I110" s="60">
        <v>12119.85</v>
      </c>
      <c r="J110" s="60">
        <v>16184.15</v>
      </c>
      <c r="K110" s="60">
        <v>0</v>
      </c>
      <c r="L110" s="60">
        <v>0</v>
      </c>
      <c r="M110" s="60">
        <v>1556817.59</v>
      </c>
      <c r="N110" s="60">
        <v>0</v>
      </c>
      <c r="O110" s="63">
        <v>1556817.59</v>
      </c>
    </row>
    <row r="111" spans="1:15" ht="11.1" customHeight="1" x14ac:dyDescent="0.25">
      <c r="A111" s="62">
        <v>94</v>
      </c>
      <c r="B111" s="74">
        <v>45443</v>
      </c>
      <c r="C111" s="58">
        <v>31</v>
      </c>
      <c r="D111" s="59">
        <v>9.4E-2</v>
      </c>
      <c r="E111" s="60">
        <v>1556817.59</v>
      </c>
      <c r="F111" s="60">
        <v>0</v>
      </c>
      <c r="G111" s="60">
        <v>28304</v>
      </c>
      <c r="H111" s="60">
        <v>12394.99</v>
      </c>
      <c r="I111" s="60">
        <v>12394.99</v>
      </c>
      <c r="J111" s="60">
        <v>15909.01</v>
      </c>
      <c r="K111" s="60">
        <v>0</v>
      </c>
      <c r="L111" s="60">
        <v>0</v>
      </c>
      <c r="M111" s="60">
        <v>1540908.58</v>
      </c>
      <c r="N111" s="60">
        <v>0</v>
      </c>
      <c r="O111" s="63">
        <v>1540908.58</v>
      </c>
    </row>
    <row r="112" spans="1:15" ht="11.1" customHeight="1" x14ac:dyDescent="0.25">
      <c r="A112" s="62">
        <v>95</v>
      </c>
      <c r="B112" s="57">
        <v>45473</v>
      </c>
      <c r="C112" s="58">
        <v>30</v>
      </c>
      <c r="D112" s="59">
        <v>9.4E-2</v>
      </c>
      <c r="E112" s="60">
        <v>1540908.58</v>
      </c>
      <c r="F112" s="61">
        <v>0</v>
      </c>
      <c r="G112" s="61">
        <v>28304</v>
      </c>
      <c r="H112" s="60">
        <v>11872.57</v>
      </c>
      <c r="I112" s="60">
        <v>11872.57</v>
      </c>
      <c r="J112" s="60">
        <v>16431.43</v>
      </c>
      <c r="K112" s="60">
        <v>0</v>
      </c>
      <c r="L112" s="60">
        <v>0</v>
      </c>
      <c r="M112" s="60">
        <v>1524477.1500000001</v>
      </c>
      <c r="N112" s="60">
        <v>0</v>
      </c>
      <c r="O112" s="63">
        <v>1524477.1500000001</v>
      </c>
    </row>
    <row r="113" spans="1:15" ht="11.1" customHeight="1" x14ac:dyDescent="0.25">
      <c r="A113" s="62">
        <v>96</v>
      </c>
      <c r="B113" s="74">
        <v>45504</v>
      </c>
      <c r="C113" s="58">
        <v>31</v>
      </c>
      <c r="D113" s="59">
        <v>9.4E-2</v>
      </c>
      <c r="E113" s="60">
        <v>1524477.1500000001</v>
      </c>
      <c r="F113" s="60">
        <v>0</v>
      </c>
      <c r="G113" s="60">
        <v>28304</v>
      </c>
      <c r="H113" s="60">
        <v>12137.5</v>
      </c>
      <c r="I113" s="60">
        <v>12137.5</v>
      </c>
      <c r="J113" s="60">
        <v>16166.5</v>
      </c>
      <c r="K113" s="60">
        <v>0</v>
      </c>
      <c r="L113" s="60">
        <v>0</v>
      </c>
      <c r="M113" s="60">
        <v>1508310.6500000001</v>
      </c>
      <c r="N113" s="60">
        <v>0</v>
      </c>
      <c r="O113" s="63">
        <v>1508310.6500000001</v>
      </c>
    </row>
    <row r="114" spans="1:15" ht="11.1" customHeight="1" x14ac:dyDescent="0.25">
      <c r="A114" s="62">
        <v>97</v>
      </c>
      <c r="B114" s="57">
        <v>45535</v>
      </c>
      <c r="C114" s="58">
        <v>31</v>
      </c>
      <c r="D114" s="59">
        <v>9.4E-2</v>
      </c>
      <c r="E114" s="60">
        <v>1508310.6500000001</v>
      </c>
      <c r="F114" s="61">
        <v>0</v>
      </c>
      <c r="G114" s="61">
        <v>28304</v>
      </c>
      <c r="H114" s="60">
        <v>12008.79</v>
      </c>
      <c r="I114" s="60">
        <v>12008.79</v>
      </c>
      <c r="J114" s="60">
        <v>16295.21</v>
      </c>
      <c r="K114" s="60">
        <v>0</v>
      </c>
      <c r="L114" s="60">
        <v>0</v>
      </c>
      <c r="M114" s="60">
        <v>1492015.44</v>
      </c>
      <c r="N114" s="60">
        <v>0</v>
      </c>
      <c r="O114" s="63">
        <v>1492015.44</v>
      </c>
    </row>
    <row r="115" spans="1:15" ht="11.1" customHeight="1" x14ac:dyDescent="0.25">
      <c r="A115" s="62">
        <v>98</v>
      </c>
      <c r="B115" s="74">
        <v>45565</v>
      </c>
      <c r="C115" s="58">
        <v>30</v>
      </c>
      <c r="D115" s="59">
        <v>9.4E-2</v>
      </c>
      <c r="E115" s="60">
        <v>1492015.44</v>
      </c>
      <c r="F115" s="60">
        <v>0</v>
      </c>
      <c r="G115" s="60">
        <v>28304</v>
      </c>
      <c r="H115" s="60">
        <v>11495.86</v>
      </c>
      <c r="I115" s="60">
        <v>11495.86</v>
      </c>
      <c r="J115" s="60">
        <v>16808.14</v>
      </c>
      <c r="K115" s="60">
        <v>0</v>
      </c>
      <c r="L115" s="60">
        <v>0</v>
      </c>
      <c r="M115" s="60">
        <v>1475207.3</v>
      </c>
      <c r="N115" s="60">
        <v>0</v>
      </c>
      <c r="O115" s="63">
        <v>1475207.3</v>
      </c>
    </row>
    <row r="116" spans="1:15" ht="11.1" customHeight="1" x14ac:dyDescent="0.25">
      <c r="A116" s="62">
        <v>99</v>
      </c>
      <c r="B116" s="57">
        <v>45596</v>
      </c>
      <c r="C116" s="58">
        <v>31</v>
      </c>
      <c r="D116" s="59">
        <v>9.4E-2</v>
      </c>
      <c r="E116" s="60">
        <v>1475207.3</v>
      </c>
      <c r="F116" s="61">
        <v>0</v>
      </c>
      <c r="G116" s="61">
        <v>28304</v>
      </c>
      <c r="H116" s="60">
        <v>11745.23</v>
      </c>
      <c r="I116" s="60">
        <v>11745.23</v>
      </c>
      <c r="J116" s="60">
        <v>16558.77</v>
      </c>
      <c r="K116" s="60">
        <v>0</v>
      </c>
      <c r="L116" s="60">
        <v>0</v>
      </c>
      <c r="M116" s="60">
        <v>1458648.53</v>
      </c>
      <c r="N116" s="60">
        <v>0</v>
      </c>
      <c r="O116" s="63">
        <v>1458648.53</v>
      </c>
    </row>
    <row r="117" spans="1:15" ht="11.1" customHeight="1" x14ac:dyDescent="0.25">
      <c r="A117" s="62">
        <v>100</v>
      </c>
      <c r="B117" s="74">
        <v>45626</v>
      </c>
      <c r="C117" s="58">
        <v>30</v>
      </c>
      <c r="D117" s="59">
        <v>9.4E-2</v>
      </c>
      <c r="E117" s="60">
        <v>1458648.53</v>
      </c>
      <c r="F117" s="60">
        <v>0</v>
      </c>
      <c r="G117" s="60">
        <v>28304</v>
      </c>
      <c r="H117" s="60">
        <v>11238.77</v>
      </c>
      <c r="I117" s="60">
        <v>11238.77</v>
      </c>
      <c r="J117" s="60">
        <v>17065.23</v>
      </c>
      <c r="K117" s="60">
        <v>0</v>
      </c>
      <c r="L117" s="60">
        <v>0</v>
      </c>
      <c r="M117" s="60">
        <v>1441583.3</v>
      </c>
      <c r="N117" s="60">
        <v>0</v>
      </c>
      <c r="O117" s="63">
        <v>1441583.3</v>
      </c>
    </row>
    <row r="118" spans="1:15" ht="11.1" customHeight="1" x14ac:dyDescent="0.25">
      <c r="A118" s="62">
        <v>101</v>
      </c>
      <c r="B118" s="57">
        <v>45657</v>
      </c>
      <c r="C118" s="58">
        <v>31</v>
      </c>
      <c r="D118" s="59">
        <v>9.4E-2</v>
      </c>
      <c r="E118" s="60">
        <v>1441583.3</v>
      </c>
      <c r="F118" s="61">
        <v>0</v>
      </c>
      <c r="G118" s="61">
        <v>28304</v>
      </c>
      <c r="H118" s="60">
        <v>11477.52</v>
      </c>
      <c r="I118" s="60">
        <v>11477.52</v>
      </c>
      <c r="J118" s="60">
        <v>16826.48</v>
      </c>
      <c r="K118" s="60">
        <v>0</v>
      </c>
      <c r="L118" s="60">
        <v>0</v>
      </c>
      <c r="M118" s="60">
        <v>1424756.82</v>
      </c>
      <c r="N118" s="60">
        <v>0</v>
      </c>
      <c r="O118" s="63">
        <v>1424756.82</v>
      </c>
    </row>
    <row r="119" spans="1:15" ht="11.1" customHeight="1" x14ac:dyDescent="0.25">
      <c r="A119" s="62">
        <v>102</v>
      </c>
      <c r="B119" s="74">
        <v>45688</v>
      </c>
      <c r="C119" s="58">
        <v>31</v>
      </c>
      <c r="D119" s="59">
        <v>9.4E-2</v>
      </c>
      <c r="E119" s="60">
        <v>1424756.82</v>
      </c>
      <c r="F119" s="60">
        <v>0</v>
      </c>
      <c r="G119" s="60">
        <v>28304</v>
      </c>
      <c r="H119" s="60">
        <v>11374.630000000001</v>
      </c>
      <c r="I119" s="60">
        <v>11374.630000000001</v>
      </c>
      <c r="J119" s="60">
        <v>16929.37</v>
      </c>
      <c r="K119" s="60">
        <v>0</v>
      </c>
      <c r="L119" s="60">
        <v>0</v>
      </c>
      <c r="M119" s="60">
        <v>1407827.45</v>
      </c>
      <c r="N119" s="60">
        <v>0</v>
      </c>
      <c r="O119" s="63">
        <v>1407827.45</v>
      </c>
    </row>
    <row r="120" spans="1:15" ht="11.1" customHeight="1" x14ac:dyDescent="0.25">
      <c r="A120" s="62">
        <v>103</v>
      </c>
      <c r="B120" s="57">
        <v>45716</v>
      </c>
      <c r="C120" s="58">
        <v>28</v>
      </c>
      <c r="D120" s="59">
        <v>9.4E-2</v>
      </c>
      <c r="E120" s="60">
        <v>1407827.45</v>
      </c>
      <c r="F120" s="61">
        <v>0</v>
      </c>
      <c r="G120" s="61">
        <v>28304</v>
      </c>
      <c r="H120" s="60">
        <v>10151.790000000001</v>
      </c>
      <c r="I120" s="60">
        <v>10151.790000000001</v>
      </c>
      <c r="J120" s="60">
        <v>18152.21</v>
      </c>
      <c r="K120" s="60">
        <v>0</v>
      </c>
      <c r="L120" s="60">
        <v>0</v>
      </c>
      <c r="M120" s="60">
        <v>1389675.24</v>
      </c>
      <c r="N120" s="60">
        <v>0</v>
      </c>
      <c r="O120" s="63">
        <v>1389675.24</v>
      </c>
    </row>
    <row r="121" spans="1:15" ht="11.1" customHeight="1" x14ac:dyDescent="0.25">
      <c r="A121" s="62">
        <v>104</v>
      </c>
      <c r="B121" s="74">
        <v>45747</v>
      </c>
      <c r="C121" s="58">
        <v>31</v>
      </c>
      <c r="D121" s="59">
        <v>9.4E-2</v>
      </c>
      <c r="E121" s="60">
        <v>1389675.24</v>
      </c>
      <c r="F121" s="60">
        <v>0</v>
      </c>
      <c r="G121" s="60">
        <v>28304</v>
      </c>
      <c r="H121" s="60">
        <v>11094.56</v>
      </c>
      <c r="I121" s="60">
        <v>11094.56</v>
      </c>
      <c r="J121" s="60">
        <v>17209.440000000002</v>
      </c>
      <c r="K121" s="60">
        <v>0</v>
      </c>
      <c r="L121" s="60">
        <v>0</v>
      </c>
      <c r="M121" s="60">
        <v>1372465.8</v>
      </c>
      <c r="N121" s="60">
        <v>0</v>
      </c>
      <c r="O121" s="63">
        <v>1372465.8</v>
      </c>
    </row>
    <row r="122" spans="1:15" ht="11.1" customHeight="1" x14ac:dyDescent="0.25">
      <c r="A122" s="62">
        <v>105</v>
      </c>
      <c r="B122" s="57">
        <v>45777</v>
      </c>
      <c r="C122" s="58">
        <v>30</v>
      </c>
      <c r="D122" s="59">
        <v>9.4E-2</v>
      </c>
      <c r="E122" s="60">
        <v>1372465.8</v>
      </c>
      <c r="F122" s="61">
        <v>0</v>
      </c>
      <c r="G122" s="61">
        <v>28304</v>
      </c>
      <c r="H122" s="60">
        <v>10603.710000000001</v>
      </c>
      <c r="I122" s="60">
        <v>10603.710000000001</v>
      </c>
      <c r="J122" s="60">
        <v>17700.29</v>
      </c>
      <c r="K122" s="60">
        <v>0</v>
      </c>
      <c r="L122" s="60">
        <v>0</v>
      </c>
      <c r="M122" s="60">
        <v>1354765.51</v>
      </c>
      <c r="N122" s="60">
        <v>0</v>
      </c>
      <c r="O122" s="63">
        <v>1354765.51</v>
      </c>
    </row>
    <row r="123" spans="1:15" ht="11.1" customHeight="1" x14ac:dyDescent="0.25">
      <c r="A123" s="62">
        <v>106</v>
      </c>
      <c r="B123" s="74">
        <v>45808</v>
      </c>
      <c r="C123" s="58">
        <v>31</v>
      </c>
      <c r="D123" s="59">
        <v>9.4E-2</v>
      </c>
      <c r="E123" s="60">
        <v>1354765.51</v>
      </c>
      <c r="F123" s="60">
        <v>0</v>
      </c>
      <c r="G123" s="60">
        <v>28304</v>
      </c>
      <c r="H123" s="60">
        <v>10815.85</v>
      </c>
      <c r="I123" s="60">
        <v>10815.85</v>
      </c>
      <c r="J123" s="60">
        <v>17488.150000000001</v>
      </c>
      <c r="K123" s="60">
        <v>0</v>
      </c>
      <c r="L123" s="60">
        <v>0</v>
      </c>
      <c r="M123" s="60">
        <v>1337277.3600000001</v>
      </c>
      <c r="N123" s="60">
        <v>0</v>
      </c>
      <c r="O123" s="63">
        <v>1337277.3600000001</v>
      </c>
    </row>
    <row r="124" spans="1:15" ht="11.1" customHeight="1" x14ac:dyDescent="0.25">
      <c r="A124" s="62">
        <v>107</v>
      </c>
      <c r="B124" s="57">
        <v>45838</v>
      </c>
      <c r="C124" s="58">
        <v>30</v>
      </c>
      <c r="D124" s="59">
        <v>9.4E-2</v>
      </c>
      <c r="E124" s="60">
        <v>1337277.3600000001</v>
      </c>
      <c r="F124" s="61">
        <v>0</v>
      </c>
      <c r="G124" s="61">
        <v>28304</v>
      </c>
      <c r="H124" s="60">
        <v>10331.84</v>
      </c>
      <c r="I124" s="60">
        <v>10331.84</v>
      </c>
      <c r="J124" s="60">
        <v>17972.16</v>
      </c>
      <c r="K124" s="60">
        <v>0</v>
      </c>
      <c r="L124" s="60">
        <v>0</v>
      </c>
      <c r="M124" s="60">
        <v>1319305.2</v>
      </c>
      <c r="N124" s="60">
        <v>0</v>
      </c>
      <c r="O124" s="63">
        <v>1319305.2</v>
      </c>
    </row>
    <row r="125" spans="1:15" ht="11.1" customHeight="1" x14ac:dyDescent="0.25">
      <c r="A125" s="62">
        <v>108</v>
      </c>
      <c r="B125" s="74">
        <v>45869</v>
      </c>
      <c r="C125" s="58">
        <v>31</v>
      </c>
      <c r="D125" s="59">
        <v>9.4E-2</v>
      </c>
      <c r="E125" s="60">
        <v>1319305.2</v>
      </c>
      <c r="F125" s="60">
        <v>0</v>
      </c>
      <c r="G125" s="60">
        <v>28304</v>
      </c>
      <c r="H125" s="60">
        <v>10532.75</v>
      </c>
      <c r="I125" s="60">
        <v>10532.75</v>
      </c>
      <c r="J125" s="60">
        <v>17771.25</v>
      </c>
      <c r="K125" s="60">
        <v>0</v>
      </c>
      <c r="L125" s="60">
        <v>0</v>
      </c>
      <c r="M125" s="60">
        <v>1301533.95</v>
      </c>
      <c r="N125" s="60">
        <v>0</v>
      </c>
      <c r="O125" s="63">
        <v>1301533.95</v>
      </c>
    </row>
    <row r="126" spans="1:15" ht="11.1" customHeight="1" x14ac:dyDescent="0.25">
      <c r="A126" s="62">
        <v>109</v>
      </c>
      <c r="B126" s="57">
        <v>45900</v>
      </c>
      <c r="C126" s="58">
        <v>31</v>
      </c>
      <c r="D126" s="59">
        <v>9.4E-2</v>
      </c>
      <c r="E126" s="60">
        <v>1301533.95</v>
      </c>
      <c r="F126" s="61">
        <v>0</v>
      </c>
      <c r="G126" s="61">
        <v>28304</v>
      </c>
      <c r="H126" s="60">
        <v>10390.880000000001</v>
      </c>
      <c r="I126" s="60">
        <v>10390.880000000001</v>
      </c>
      <c r="J126" s="60">
        <v>17913.12</v>
      </c>
      <c r="K126" s="60">
        <v>0</v>
      </c>
      <c r="L126" s="60">
        <v>0</v>
      </c>
      <c r="M126" s="60">
        <v>1283620.83</v>
      </c>
      <c r="N126" s="60">
        <v>0</v>
      </c>
      <c r="O126" s="63">
        <v>1283620.83</v>
      </c>
    </row>
    <row r="127" spans="1:15" ht="11.1" customHeight="1" x14ac:dyDescent="0.25">
      <c r="A127" s="62">
        <v>110</v>
      </c>
      <c r="B127" s="74">
        <v>45930</v>
      </c>
      <c r="C127" s="58">
        <v>30</v>
      </c>
      <c r="D127" s="59">
        <v>9.4E-2</v>
      </c>
      <c r="E127" s="60">
        <v>1283620.83</v>
      </c>
      <c r="F127" s="60">
        <v>0</v>
      </c>
      <c r="G127" s="60">
        <v>28304</v>
      </c>
      <c r="H127" s="60">
        <v>9917.2900000000009</v>
      </c>
      <c r="I127" s="60">
        <v>9917.2900000000009</v>
      </c>
      <c r="J127" s="60">
        <v>18386.71</v>
      </c>
      <c r="K127" s="60">
        <v>0</v>
      </c>
      <c r="L127" s="60">
        <v>0</v>
      </c>
      <c r="M127" s="60">
        <v>1265234.1200000001</v>
      </c>
      <c r="N127" s="60">
        <v>0</v>
      </c>
      <c r="O127" s="63">
        <v>1265234.1200000001</v>
      </c>
    </row>
    <row r="128" spans="1:15" ht="11.1" customHeight="1" x14ac:dyDescent="0.25">
      <c r="A128" s="62">
        <v>111</v>
      </c>
      <c r="B128" s="57">
        <v>45961</v>
      </c>
      <c r="C128" s="58">
        <v>31</v>
      </c>
      <c r="D128" s="59">
        <v>9.4E-2</v>
      </c>
      <c r="E128" s="60">
        <v>1265234.1200000001</v>
      </c>
      <c r="F128" s="61">
        <v>0</v>
      </c>
      <c r="G128" s="61">
        <v>28304</v>
      </c>
      <c r="H128" s="60">
        <v>10101.07</v>
      </c>
      <c r="I128" s="60">
        <v>10101.07</v>
      </c>
      <c r="J128" s="60">
        <v>18202.93</v>
      </c>
      <c r="K128" s="60">
        <v>0</v>
      </c>
      <c r="L128" s="60">
        <v>0</v>
      </c>
      <c r="M128" s="60">
        <v>1247031.19</v>
      </c>
      <c r="N128" s="60">
        <v>0</v>
      </c>
      <c r="O128" s="63">
        <v>1247031.19</v>
      </c>
    </row>
    <row r="129" spans="1:15" ht="11.1" customHeight="1" x14ac:dyDescent="0.25">
      <c r="A129" s="62">
        <v>112</v>
      </c>
      <c r="B129" s="74">
        <v>45991</v>
      </c>
      <c r="C129" s="58">
        <v>30</v>
      </c>
      <c r="D129" s="59">
        <v>9.4E-2</v>
      </c>
      <c r="E129" s="60">
        <v>1247031.19</v>
      </c>
      <c r="F129" s="60">
        <v>0</v>
      </c>
      <c r="G129" s="60">
        <v>28304</v>
      </c>
      <c r="H129" s="60">
        <v>9634.6</v>
      </c>
      <c r="I129" s="60">
        <v>9634.6</v>
      </c>
      <c r="J129" s="60">
        <v>18669.400000000001</v>
      </c>
      <c r="K129" s="60">
        <v>0</v>
      </c>
      <c r="L129" s="60">
        <v>0</v>
      </c>
      <c r="M129" s="60">
        <v>1228361.79</v>
      </c>
      <c r="N129" s="60">
        <v>0</v>
      </c>
      <c r="O129" s="63">
        <v>1228361.79</v>
      </c>
    </row>
    <row r="130" spans="1:15" ht="11.1" customHeight="1" x14ac:dyDescent="0.25">
      <c r="A130" s="62">
        <v>113</v>
      </c>
      <c r="B130" s="57">
        <v>46022</v>
      </c>
      <c r="C130" s="58">
        <v>31</v>
      </c>
      <c r="D130" s="59">
        <v>9.4E-2</v>
      </c>
      <c r="E130" s="60">
        <v>1228361.79</v>
      </c>
      <c r="F130" s="61">
        <v>0</v>
      </c>
      <c r="G130" s="61">
        <v>28304</v>
      </c>
      <c r="H130" s="60">
        <v>9806.7000000000007</v>
      </c>
      <c r="I130" s="60">
        <v>9806.7000000000007</v>
      </c>
      <c r="J130" s="60">
        <v>18497.3</v>
      </c>
      <c r="K130" s="60">
        <v>0</v>
      </c>
      <c r="L130" s="60">
        <v>0</v>
      </c>
      <c r="M130" s="60">
        <v>1209864.49</v>
      </c>
      <c r="N130" s="60">
        <v>0</v>
      </c>
      <c r="O130" s="63">
        <v>1209864.49</v>
      </c>
    </row>
    <row r="131" spans="1:15" ht="11.1" customHeight="1" x14ac:dyDescent="0.25">
      <c r="A131" s="62">
        <v>114</v>
      </c>
      <c r="B131" s="74">
        <v>46053</v>
      </c>
      <c r="C131" s="58">
        <v>31</v>
      </c>
      <c r="D131" s="59">
        <v>9.4E-2</v>
      </c>
      <c r="E131" s="60">
        <v>1209864.49</v>
      </c>
      <c r="F131" s="60">
        <v>0</v>
      </c>
      <c r="G131" s="60">
        <v>28304</v>
      </c>
      <c r="H131" s="60">
        <v>9659.0300000000007</v>
      </c>
      <c r="I131" s="60">
        <v>9659.0300000000007</v>
      </c>
      <c r="J131" s="60">
        <v>18644.97</v>
      </c>
      <c r="K131" s="60">
        <v>0</v>
      </c>
      <c r="L131" s="60">
        <v>0</v>
      </c>
      <c r="M131" s="60">
        <v>1191219.52</v>
      </c>
      <c r="N131" s="60">
        <v>0</v>
      </c>
      <c r="O131" s="63">
        <v>1191219.52</v>
      </c>
    </row>
    <row r="132" spans="1:15" ht="11.1" customHeight="1" x14ac:dyDescent="0.25">
      <c r="A132" s="62">
        <v>115</v>
      </c>
      <c r="B132" s="57">
        <v>46081</v>
      </c>
      <c r="C132" s="58">
        <v>28</v>
      </c>
      <c r="D132" s="59">
        <v>9.4E-2</v>
      </c>
      <c r="E132" s="60">
        <v>1191219.52</v>
      </c>
      <c r="F132" s="61">
        <v>0</v>
      </c>
      <c r="G132" s="61">
        <v>28304</v>
      </c>
      <c r="H132" s="60">
        <v>8589.84</v>
      </c>
      <c r="I132" s="60">
        <v>8589.84</v>
      </c>
      <c r="J132" s="60">
        <v>19714.16</v>
      </c>
      <c r="K132" s="60">
        <v>0</v>
      </c>
      <c r="L132" s="60">
        <v>0</v>
      </c>
      <c r="M132" s="60">
        <v>1171505.3600000001</v>
      </c>
      <c r="N132" s="60">
        <v>0</v>
      </c>
      <c r="O132" s="63">
        <v>1171505.3600000001</v>
      </c>
    </row>
    <row r="133" spans="1:15" ht="11.1" customHeight="1" x14ac:dyDescent="0.25">
      <c r="A133" s="62">
        <v>116</v>
      </c>
      <c r="B133" s="74">
        <v>46112</v>
      </c>
      <c r="C133" s="58">
        <v>31</v>
      </c>
      <c r="D133" s="59">
        <v>9.4E-2</v>
      </c>
      <c r="E133" s="60">
        <v>1171505.3600000001</v>
      </c>
      <c r="F133" s="60">
        <v>0</v>
      </c>
      <c r="G133" s="60">
        <v>28304</v>
      </c>
      <c r="H133" s="60">
        <v>9352.7900000000009</v>
      </c>
      <c r="I133" s="60">
        <v>9352.7900000000009</v>
      </c>
      <c r="J133" s="60">
        <v>18951.21</v>
      </c>
      <c r="K133" s="60">
        <v>0</v>
      </c>
      <c r="L133" s="60">
        <v>0</v>
      </c>
      <c r="M133" s="60">
        <v>1152554.1500000001</v>
      </c>
      <c r="N133" s="60">
        <v>0</v>
      </c>
      <c r="O133" s="63">
        <v>1152554.1500000001</v>
      </c>
    </row>
    <row r="134" spans="1:15" ht="11.1" customHeight="1" x14ac:dyDescent="0.25">
      <c r="A134" s="62">
        <v>117</v>
      </c>
      <c r="B134" s="57">
        <v>46142</v>
      </c>
      <c r="C134" s="58">
        <v>30</v>
      </c>
      <c r="D134" s="59">
        <v>9.4E-2</v>
      </c>
      <c r="E134" s="60">
        <v>1152554.1500000001</v>
      </c>
      <c r="F134" s="61">
        <v>0</v>
      </c>
      <c r="G134" s="61">
        <v>28304</v>
      </c>
      <c r="H134" s="60">
        <v>8904.66</v>
      </c>
      <c r="I134" s="60">
        <v>8904.66</v>
      </c>
      <c r="J134" s="60">
        <v>19399.34</v>
      </c>
      <c r="K134" s="60">
        <v>0</v>
      </c>
      <c r="L134" s="60">
        <v>0</v>
      </c>
      <c r="M134" s="60">
        <v>1133154.81</v>
      </c>
      <c r="N134" s="60">
        <v>0</v>
      </c>
      <c r="O134" s="63">
        <v>1133154.81</v>
      </c>
    </row>
    <row r="135" spans="1:15" ht="11.1" customHeight="1" x14ac:dyDescent="0.25">
      <c r="A135" s="62">
        <v>118</v>
      </c>
      <c r="B135" s="74">
        <v>46173</v>
      </c>
      <c r="C135" s="58">
        <v>31</v>
      </c>
      <c r="D135" s="59">
        <v>9.4E-2</v>
      </c>
      <c r="E135" s="60">
        <v>1133154.81</v>
      </c>
      <c r="F135" s="60">
        <v>0</v>
      </c>
      <c r="G135" s="60">
        <v>28304</v>
      </c>
      <c r="H135" s="60">
        <v>9046.61</v>
      </c>
      <c r="I135" s="60">
        <v>9046.61</v>
      </c>
      <c r="J135" s="60">
        <v>19257.39</v>
      </c>
      <c r="K135" s="60">
        <v>0</v>
      </c>
      <c r="L135" s="60">
        <v>0</v>
      </c>
      <c r="M135" s="60">
        <v>1113897.42</v>
      </c>
      <c r="N135" s="60">
        <v>0</v>
      </c>
      <c r="O135" s="63">
        <v>1113897.42</v>
      </c>
    </row>
    <row r="136" spans="1:15" ht="11.1" customHeight="1" x14ac:dyDescent="0.25">
      <c r="A136" s="62">
        <v>119</v>
      </c>
      <c r="B136" s="57">
        <v>46203</v>
      </c>
      <c r="C136" s="58">
        <v>30</v>
      </c>
      <c r="D136" s="59">
        <v>9.4E-2</v>
      </c>
      <c r="E136" s="60">
        <v>1113897.42</v>
      </c>
      <c r="F136" s="61">
        <v>0</v>
      </c>
      <c r="G136" s="61">
        <v>28304</v>
      </c>
      <c r="H136" s="60">
        <v>8606</v>
      </c>
      <c r="I136" s="60">
        <v>8606</v>
      </c>
      <c r="J136" s="60">
        <v>19698</v>
      </c>
      <c r="K136" s="60">
        <v>0</v>
      </c>
      <c r="L136" s="60">
        <v>0</v>
      </c>
      <c r="M136" s="60">
        <v>1094199.42</v>
      </c>
      <c r="N136" s="60">
        <v>0</v>
      </c>
      <c r="O136" s="63">
        <v>1094199.42</v>
      </c>
    </row>
    <row r="137" spans="1:15" ht="11.1" customHeight="1" x14ac:dyDescent="0.25">
      <c r="A137" s="62">
        <v>120</v>
      </c>
      <c r="B137" s="74">
        <v>46234</v>
      </c>
      <c r="C137" s="58">
        <v>31</v>
      </c>
      <c r="D137" s="59">
        <v>9.4E-2</v>
      </c>
      <c r="E137" s="60">
        <v>1094199.42</v>
      </c>
      <c r="F137" s="60">
        <v>0</v>
      </c>
      <c r="G137" s="60">
        <v>28304</v>
      </c>
      <c r="H137" s="60">
        <v>8735.61</v>
      </c>
      <c r="I137" s="60">
        <v>8735.61</v>
      </c>
      <c r="J137" s="60">
        <v>19568.39</v>
      </c>
      <c r="K137" s="60">
        <v>0</v>
      </c>
      <c r="L137" s="60">
        <v>0</v>
      </c>
      <c r="M137" s="60">
        <v>1074631.03</v>
      </c>
      <c r="N137" s="60">
        <v>0</v>
      </c>
      <c r="O137" s="63">
        <v>1074631.03</v>
      </c>
    </row>
    <row r="138" spans="1:15" ht="11.1" customHeight="1" x14ac:dyDescent="0.25">
      <c r="A138" s="62">
        <v>121</v>
      </c>
      <c r="B138" s="57">
        <v>46265</v>
      </c>
      <c r="C138" s="58">
        <v>31</v>
      </c>
      <c r="D138" s="59">
        <v>9.4E-2</v>
      </c>
      <c r="E138" s="60">
        <v>1074631.03</v>
      </c>
      <c r="F138" s="61">
        <v>0</v>
      </c>
      <c r="G138" s="61">
        <v>28304</v>
      </c>
      <c r="H138" s="60">
        <v>8579.380000000001</v>
      </c>
      <c r="I138" s="60">
        <v>8579.380000000001</v>
      </c>
      <c r="J138" s="60">
        <v>19724.62</v>
      </c>
      <c r="K138" s="60">
        <v>0</v>
      </c>
      <c r="L138" s="60">
        <v>0</v>
      </c>
      <c r="M138" s="60">
        <v>1054906.4099999999</v>
      </c>
      <c r="N138" s="60">
        <v>0</v>
      </c>
      <c r="O138" s="63">
        <v>1054906.4099999999</v>
      </c>
    </row>
    <row r="139" spans="1:15" ht="11.1" customHeight="1" x14ac:dyDescent="0.25">
      <c r="A139" s="62">
        <v>122</v>
      </c>
      <c r="B139" s="74">
        <v>46295</v>
      </c>
      <c r="C139" s="58">
        <v>30</v>
      </c>
      <c r="D139" s="59">
        <v>9.4E-2</v>
      </c>
      <c r="E139" s="60">
        <v>1054906.4099999999</v>
      </c>
      <c r="F139" s="60">
        <v>0</v>
      </c>
      <c r="G139" s="60">
        <v>28304</v>
      </c>
      <c r="H139" s="60">
        <v>8150.24</v>
      </c>
      <c r="I139" s="60">
        <v>8150.24</v>
      </c>
      <c r="J139" s="60">
        <v>20153.760000000002</v>
      </c>
      <c r="K139" s="60">
        <v>0</v>
      </c>
      <c r="L139" s="60">
        <v>0</v>
      </c>
      <c r="M139" s="60">
        <v>1034752.65</v>
      </c>
      <c r="N139" s="60">
        <v>0</v>
      </c>
      <c r="O139" s="63">
        <v>1034752.65</v>
      </c>
    </row>
    <row r="140" spans="1:15" ht="11.1" customHeight="1" x14ac:dyDescent="0.25">
      <c r="A140" s="62">
        <v>123</v>
      </c>
      <c r="B140" s="57">
        <v>46326</v>
      </c>
      <c r="C140" s="58">
        <v>31</v>
      </c>
      <c r="D140" s="59">
        <v>9.4E-2</v>
      </c>
      <c r="E140" s="60">
        <v>1034752.65</v>
      </c>
      <c r="F140" s="61">
        <v>0</v>
      </c>
      <c r="G140" s="61">
        <v>28304</v>
      </c>
      <c r="H140" s="60">
        <v>8261.01</v>
      </c>
      <c r="I140" s="60">
        <v>8261.01</v>
      </c>
      <c r="J140" s="60">
        <v>20042.989999999998</v>
      </c>
      <c r="K140" s="60">
        <v>0</v>
      </c>
      <c r="L140" s="60">
        <v>0</v>
      </c>
      <c r="M140" s="60">
        <v>1014709.66</v>
      </c>
      <c r="N140" s="60">
        <v>0</v>
      </c>
      <c r="O140" s="63">
        <v>1014709.66</v>
      </c>
    </row>
    <row r="141" spans="1:15" ht="11.1" customHeight="1" x14ac:dyDescent="0.25">
      <c r="A141" s="62">
        <v>124</v>
      </c>
      <c r="B141" s="74">
        <v>46356</v>
      </c>
      <c r="C141" s="58">
        <v>30</v>
      </c>
      <c r="D141" s="59">
        <v>9.4E-2</v>
      </c>
      <c r="E141" s="60">
        <v>1014709.66</v>
      </c>
      <c r="F141" s="60">
        <v>0</v>
      </c>
      <c r="G141" s="60">
        <v>28304</v>
      </c>
      <c r="H141" s="60">
        <v>7839.67</v>
      </c>
      <c r="I141" s="60">
        <v>7839.67</v>
      </c>
      <c r="J141" s="60">
        <v>20464.330000000002</v>
      </c>
      <c r="K141" s="60">
        <v>0</v>
      </c>
      <c r="L141" s="60">
        <v>0</v>
      </c>
      <c r="M141" s="60">
        <v>994245.33000000007</v>
      </c>
      <c r="N141" s="60">
        <v>0</v>
      </c>
      <c r="O141" s="63">
        <v>994245.33000000007</v>
      </c>
    </row>
    <row r="142" spans="1:15" ht="11.1" customHeight="1" x14ac:dyDescent="0.25">
      <c r="A142" s="62">
        <v>125</v>
      </c>
      <c r="B142" s="57">
        <v>46387</v>
      </c>
      <c r="C142" s="58">
        <v>31</v>
      </c>
      <c r="D142" s="59">
        <v>9.4E-2</v>
      </c>
      <c r="E142" s="60">
        <v>994245.33000000007</v>
      </c>
      <c r="F142" s="61">
        <v>0</v>
      </c>
      <c r="G142" s="61">
        <v>28304</v>
      </c>
      <c r="H142" s="60">
        <v>7937.62</v>
      </c>
      <c r="I142" s="60">
        <v>7937.62</v>
      </c>
      <c r="J142" s="60">
        <v>20366.38</v>
      </c>
      <c r="K142" s="60">
        <v>0</v>
      </c>
      <c r="L142" s="60">
        <v>0</v>
      </c>
      <c r="M142" s="60">
        <v>973878.95000000007</v>
      </c>
      <c r="N142" s="60">
        <v>0</v>
      </c>
      <c r="O142" s="63">
        <v>973878.95000000007</v>
      </c>
    </row>
    <row r="143" spans="1:15" ht="11.1" customHeight="1" x14ac:dyDescent="0.25">
      <c r="A143" s="62">
        <v>126</v>
      </c>
      <c r="B143" s="74">
        <v>46418</v>
      </c>
      <c r="C143" s="58">
        <v>31</v>
      </c>
      <c r="D143" s="59">
        <v>9.4E-2</v>
      </c>
      <c r="E143" s="60">
        <v>973878.95000000007</v>
      </c>
      <c r="F143" s="60">
        <v>0</v>
      </c>
      <c r="G143" s="60">
        <v>28304</v>
      </c>
      <c r="H143" s="60">
        <v>7775.02</v>
      </c>
      <c r="I143" s="60">
        <v>7775.02</v>
      </c>
      <c r="J143" s="60">
        <v>20528.98</v>
      </c>
      <c r="K143" s="60">
        <v>0</v>
      </c>
      <c r="L143" s="60">
        <v>0</v>
      </c>
      <c r="M143" s="60">
        <v>953349.97</v>
      </c>
      <c r="N143" s="60">
        <v>0</v>
      </c>
      <c r="O143" s="63">
        <v>953349.97</v>
      </c>
    </row>
    <row r="144" spans="1:15" ht="11.1" customHeight="1" x14ac:dyDescent="0.25">
      <c r="A144" s="62">
        <v>127</v>
      </c>
      <c r="B144" s="57">
        <v>46446</v>
      </c>
      <c r="C144" s="58">
        <v>28</v>
      </c>
      <c r="D144" s="59">
        <v>9.4E-2</v>
      </c>
      <c r="E144" s="60">
        <v>953349.97</v>
      </c>
      <c r="F144" s="61">
        <v>0</v>
      </c>
      <c r="G144" s="61">
        <v>28304</v>
      </c>
      <c r="H144" s="60">
        <v>6874.57</v>
      </c>
      <c r="I144" s="60">
        <v>6874.57</v>
      </c>
      <c r="J144" s="60">
        <v>21429.43</v>
      </c>
      <c r="K144" s="60">
        <v>0</v>
      </c>
      <c r="L144" s="60">
        <v>0</v>
      </c>
      <c r="M144" s="60">
        <v>931920.54</v>
      </c>
      <c r="N144" s="60">
        <v>0</v>
      </c>
      <c r="O144" s="63">
        <v>931920.54</v>
      </c>
    </row>
    <row r="145" spans="1:15" ht="11.1" customHeight="1" x14ac:dyDescent="0.25">
      <c r="A145" s="62">
        <v>128</v>
      </c>
      <c r="B145" s="74">
        <v>46477</v>
      </c>
      <c r="C145" s="58">
        <v>31</v>
      </c>
      <c r="D145" s="59">
        <v>9.4E-2</v>
      </c>
      <c r="E145" s="60">
        <v>931920.54</v>
      </c>
      <c r="F145" s="60">
        <v>0</v>
      </c>
      <c r="G145" s="60">
        <v>28304</v>
      </c>
      <c r="H145" s="60">
        <v>7440.05</v>
      </c>
      <c r="I145" s="60">
        <v>7440.05</v>
      </c>
      <c r="J145" s="60">
        <v>20863.95</v>
      </c>
      <c r="K145" s="60">
        <v>0</v>
      </c>
      <c r="L145" s="60">
        <v>0</v>
      </c>
      <c r="M145" s="60">
        <v>911056.59</v>
      </c>
      <c r="N145" s="60">
        <v>0</v>
      </c>
      <c r="O145" s="63">
        <v>911056.59</v>
      </c>
    </row>
    <row r="146" spans="1:15" ht="11.1" customHeight="1" x14ac:dyDescent="0.25">
      <c r="A146" s="62">
        <v>129</v>
      </c>
      <c r="B146" s="57">
        <v>46507</v>
      </c>
      <c r="C146" s="58">
        <v>30</v>
      </c>
      <c r="D146" s="59">
        <v>9.4E-2</v>
      </c>
      <c r="E146" s="60">
        <v>911056.59</v>
      </c>
      <c r="F146" s="61">
        <v>0</v>
      </c>
      <c r="G146" s="61">
        <v>28304</v>
      </c>
      <c r="H146" s="60">
        <v>7038.85</v>
      </c>
      <c r="I146" s="60">
        <v>7038.85</v>
      </c>
      <c r="J146" s="60">
        <v>21265.15</v>
      </c>
      <c r="K146" s="60">
        <v>0</v>
      </c>
      <c r="L146" s="60">
        <v>0</v>
      </c>
      <c r="M146" s="60">
        <v>889791.44000000006</v>
      </c>
      <c r="N146" s="60">
        <v>0</v>
      </c>
      <c r="O146" s="63">
        <v>889791.44000000006</v>
      </c>
    </row>
    <row r="147" spans="1:15" ht="11.1" customHeight="1" x14ac:dyDescent="0.25">
      <c r="A147" s="62">
        <v>130</v>
      </c>
      <c r="B147" s="74">
        <v>46538</v>
      </c>
      <c r="C147" s="58">
        <v>31</v>
      </c>
      <c r="D147" s="59">
        <v>9.4E-2</v>
      </c>
      <c r="E147" s="60">
        <v>889791.44000000006</v>
      </c>
      <c r="F147" s="60">
        <v>0</v>
      </c>
      <c r="G147" s="60">
        <v>28304</v>
      </c>
      <c r="H147" s="60">
        <v>7103.7</v>
      </c>
      <c r="I147" s="60">
        <v>7103.7</v>
      </c>
      <c r="J147" s="60">
        <v>21200.3</v>
      </c>
      <c r="K147" s="60">
        <v>0</v>
      </c>
      <c r="L147" s="60">
        <v>0</v>
      </c>
      <c r="M147" s="60">
        <v>868591.14</v>
      </c>
      <c r="N147" s="60">
        <v>0</v>
      </c>
      <c r="O147" s="63">
        <v>868591.14</v>
      </c>
    </row>
    <row r="148" spans="1:15" ht="11.1" customHeight="1" x14ac:dyDescent="0.25">
      <c r="A148" s="62">
        <v>131</v>
      </c>
      <c r="B148" s="57">
        <v>46568</v>
      </c>
      <c r="C148" s="58">
        <v>30</v>
      </c>
      <c r="D148" s="59">
        <v>9.4E-2</v>
      </c>
      <c r="E148" s="60">
        <v>868591.14</v>
      </c>
      <c r="F148" s="61">
        <v>0</v>
      </c>
      <c r="G148" s="61">
        <v>28304</v>
      </c>
      <c r="H148" s="60">
        <v>6710.76</v>
      </c>
      <c r="I148" s="60">
        <v>6710.76</v>
      </c>
      <c r="J148" s="60">
        <v>21593.239999999998</v>
      </c>
      <c r="K148" s="60">
        <v>0</v>
      </c>
      <c r="L148" s="60">
        <v>0</v>
      </c>
      <c r="M148" s="60">
        <v>846997.9</v>
      </c>
      <c r="N148" s="60">
        <v>0</v>
      </c>
      <c r="O148" s="63">
        <v>846997.9</v>
      </c>
    </row>
    <row r="149" spans="1:15" ht="11.1" customHeight="1" x14ac:dyDescent="0.25">
      <c r="A149" s="62">
        <v>132</v>
      </c>
      <c r="B149" s="74">
        <v>46599</v>
      </c>
      <c r="C149" s="58">
        <v>31</v>
      </c>
      <c r="D149" s="59">
        <v>9.4E-2</v>
      </c>
      <c r="E149" s="60">
        <v>846997.9</v>
      </c>
      <c r="F149" s="60">
        <v>0</v>
      </c>
      <c r="G149" s="60">
        <v>28304</v>
      </c>
      <c r="H149" s="60">
        <v>6762.06</v>
      </c>
      <c r="I149" s="60">
        <v>6762.06</v>
      </c>
      <c r="J149" s="60">
        <v>21541.94</v>
      </c>
      <c r="K149" s="60">
        <v>0</v>
      </c>
      <c r="L149" s="60">
        <v>0</v>
      </c>
      <c r="M149" s="60">
        <v>825455.96</v>
      </c>
      <c r="N149" s="60">
        <v>0</v>
      </c>
      <c r="O149" s="63">
        <v>825455.96</v>
      </c>
    </row>
    <row r="150" spans="1:15" ht="11.1" customHeight="1" x14ac:dyDescent="0.25">
      <c r="A150" s="62">
        <v>133</v>
      </c>
      <c r="B150" s="57">
        <v>46630</v>
      </c>
      <c r="C150" s="58">
        <v>31</v>
      </c>
      <c r="D150" s="59">
        <v>9.4E-2</v>
      </c>
      <c r="E150" s="60">
        <v>825455.96</v>
      </c>
      <c r="F150" s="61">
        <v>0</v>
      </c>
      <c r="G150" s="61">
        <v>28304</v>
      </c>
      <c r="H150" s="60">
        <v>6590.08</v>
      </c>
      <c r="I150" s="60">
        <v>6590.08</v>
      </c>
      <c r="J150" s="60">
        <v>21713.919999999998</v>
      </c>
      <c r="K150" s="60">
        <v>0</v>
      </c>
      <c r="L150" s="60">
        <v>0</v>
      </c>
      <c r="M150" s="60">
        <v>803742.04</v>
      </c>
      <c r="N150" s="60">
        <v>0</v>
      </c>
      <c r="O150" s="63">
        <v>803742.04</v>
      </c>
    </row>
    <row r="151" spans="1:15" ht="11.1" customHeight="1" x14ac:dyDescent="0.25">
      <c r="A151" s="62">
        <v>134</v>
      </c>
      <c r="B151" s="74">
        <v>46660</v>
      </c>
      <c r="C151" s="58">
        <v>30</v>
      </c>
      <c r="D151" s="59">
        <v>9.4E-2</v>
      </c>
      <c r="E151" s="60">
        <v>803742.04</v>
      </c>
      <c r="F151" s="60">
        <v>0</v>
      </c>
      <c r="G151" s="60">
        <v>28304</v>
      </c>
      <c r="H151" s="60">
        <v>6209.7300000000005</v>
      </c>
      <c r="I151" s="60">
        <v>6209.7300000000005</v>
      </c>
      <c r="J151" s="60">
        <v>22094.27</v>
      </c>
      <c r="K151" s="60">
        <v>0</v>
      </c>
      <c r="L151" s="60">
        <v>0</v>
      </c>
      <c r="M151" s="60">
        <v>781647.77</v>
      </c>
      <c r="N151" s="60">
        <v>0</v>
      </c>
      <c r="O151" s="63">
        <v>781647.77</v>
      </c>
    </row>
    <row r="152" spans="1:15" ht="11.1" customHeight="1" x14ac:dyDescent="0.25">
      <c r="A152" s="62">
        <v>135</v>
      </c>
      <c r="B152" s="57">
        <v>46691</v>
      </c>
      <c r="C152" s="58">
        <v>31</v>
      </c>
      <c r="D152" s="59">
        <v>9.4E-2</v>
      </c>
      <c r="E152" s="60">
        <v>781647.77</v>
      </c>
      <c r="F152" s="61">
        <v>0</v>
      </c>
      <c r="G152" s="61">
        <v>28304</v>
      </c>
      <c r="H152" s="60">
        <v>6240.33</v>
      </c>
      <c r="I152" s="60">
        <v>6240.33</v>
      </c>
      <c r="J152" s="60">
        <v>22063.67</v>
      </c>
      <c r="K152" s="60">
        <v>0</v>
      </c>
      <c r="L152" s="60">
        <v>0</v>
      </c>
      <c r="M152" s="60">
        <v>759584.1</v>
      </c>
      <c r="N152" s="60">
        <v>0</v>
      </c>
      <c r="O152" s="63">
        <v>759584.1</v>
      </c>
    </row>
    <row r="153" spans="1:15" ht="11.1" customHeight="1" x14ac:dyDescent="0.25">
      <c r="A153" s="62">
        <v>136</v>
      </c>
      <c r="B153" s="74">
        <v>46721</v>
      </c>
      <c r="C153" s="58">
        <v>30</v>
      </c>
      <c r="D153" s="59">
        <v>9.4E-2</v>
      </c>
      <c r="E153" s="60">
        <v>759584.1</v>
      </c>
      <c r="F153" s="60">
        <v>0</v>
      </c>
      <c r="G153" s="60">
        <v>28304</v>
      </c>
      <c r="H153" s="60">
        <v>5868.57</v>
      </c>
      <c r="I153" s="60">
        <v>5868.57</v>
      </c>
      <c r="J153" s="60">
        <v>22435.43</v>
      </c>
      <c r="K153" s="60">
        <v>0</v>
      </c>
      <c r="L153" s="60">
        <v>0</v>
      </c>
      <c r="M153" s="60">
        <v>737148.67</v>
      </c>
      <c r="N153" s="60">
        <v>0</v>
      </c>
      <c r="O153" s="63">
        <v>737148.67</v>
      </c>
    </row>
    <row r="154" spans="1:15" ht="11.1" customHeight="1" x14ac:dyDescent="0.25">
      <c r="A154" s="62">
        <v>137</v>
      </c>
      <c r="B154" s="57">
        <v>46752</v>
      </c>
      <c r="C154" s="58">
        <v>31</v>
      </c>
      <c r="D154" s="59">
        <v>9.4E-2</v>
      </c>
      <c r="E154" s="60">
        <v>737148.67</v>
      </c>
      <c r="F154" s="61">
        <v>0</v>
      </c>
      <c r="G154" s="61">
        <v>28304</v>
      </c>
      <c r="H154" s="60">
        <v>5885.07</v>
      </c>
      <c r="I154" s="60">
        <v>5885.07</v>
      </c>
      <c r="J154" s="60">
        <v>22418.93</v>
      </c>
      <c r="K154" s="60">
        <v>0</v>
      </c>
      <c r="L154" s="60">
        <v>0</v>
      </c>
      <c r="M154" s="60">
        <v>714729.74</v>
      </c>
      <c r="N154" s="60">
        <v>0</v>
      </c>
      <c r="O154" s="63">
        <v>714729.74</v>
      </c>
    </row>
    <row r="155" spans="1:15" ht="11.1" customHeight="1" x14ac:dyDescent="0.25">
      <c r="A155" s="62">
        <v>138</v>
      </c>
      <c r="B155" s="74">
        <v>46783</v>
      </c>
      <c r="C155" s="58">
        <v>31</v>
      </c>
      <c r="D155" s="59">
        <v>9.4E-2</v>
      </c>
      <c r="E155" s="60">
        <v>714729.74</v>
      </c>
      <c r="F155" s="60">
        <v>0</v>
      </c>
      <c r="G155" s="60">
        <v>28304</v>
      </c>
      <c r="H155" s="60">
        <v>5690.5</v>
      </c>
      <c r="I155" s="60">
        <v>5690.5</v>
      </c>
      <c r="J155" s="60">
        <v>22613.5</v>
      </c>
      <c r="K155" s="60">
        <v>0</v>
      </c>
      <c r="L155" s="60">
        <v>0</v>
      </c>
      <c r="M155" s="60">
        <v>692116.24</v>
      </c>
      <c r="N155" s="60">
        <v>0</v>
      </c>
      <c r="O155" s="63">
        <v>692116.24</v>
      </c>
    </row>
    <row r="156" spans="1:15" ht="11.1" customHeight="1" x14ac:dyDescent="0.25">
      <c r="A156" s="62">
        <v>139</v>
      </c>
      <c r="B156" s="57">
        <v>46812</v>
      </c>
      <c r="C156" s="58">
        <v>29</v>
      </c>
      <c r="D156" s="59">
        <v>9.4E-2</v>
      </c>
      <c r="E156" s="60">
        <v>692116.24</v>
      </c>
      <c r="F156" s="61">
        <v>0</v>
      </c>
      <c r="G156" s="61">
        <v>28304</v>
      </c>
      <c r="H156" s="60">
        <v>5154.9400000000005</v>
      </c>
      <c r="I156" s="60">
        <v>5154.9400000000005</v>
      </c>
      <c r="J156" s="60">
        <v>23149.059999999998</v>
      </c>
      <c r="K156" s="60">
        <v>0</v>
      </c>
      <c r="L156" s="60">
        <v>0</v>
      </c>
      <c r="M156" s="60">
        <v>668967.18000000005</v>
      </c>
      <c r="N156" s="60">
        <v>0</v>
      </c>
      <c r="O156" s="63">
        <v>668967.18000000005</v>
      </c>
    </row>
    <row r="157" spans="1:15" ht="11.1" customHeight="1" x14ac:dyDescent="0.25">
      <c r="A157" s="62">
        <v>140</v>
      </c>
      <c r="B157" s="74">
        <v>46843</v>
      </c>
      <c r="C157" s="58">
        <v>31</v>
      </c>
      <c r="D157" s="59">
        <v>9.4E-2</v>
      </c>
      <c r="E157" s="60">
        <v>668967.18000000005</v>
      </c>
      <c r="F157" s="60">
        <v>0</v>
      </c>
      <c r="G157" s="60">
        <v>28304</v>
      </c>
      <c r="H157" s="60">
        <v>5326.1500000000005</v>
      </c>
      <c r="I157" s="60">
        <v>5326.1500000000005</v>
      </c>
      <c r="J157" s="60">
        <v>22977.85</v>
      </c>
      <c r="K157" s="60">
        <v>0</v>
      </c>
      <c r="L157" s="60">
        <v>0</v>
      </c>
      <c r="M157" s="60">
        <v>645989.32999999996</v>
      </c>
      <c r="N157" s="60">
        <v>0</v>
      </c>
      <c r="O157" s="63">
        <v>645989.32999999996</v>
      </c>
    </row>
    <row r="158" spans="1:15" ht="11.1" customHeight="1" x14ac:dyDescent="0.25">
      <c r="A158" s="62">
        <v>141</v>
      </c>
      <c r="B158" s="57">
        <v>46873</v>
      </c>
      <c r="C158" s="58">
        <v>30</v>
      </c>
      <c r="D158" s="59">
        <v>9.4E-2</v>
      </c>
      <c r="E158" s="60">
        <v>645989.32999999996</v>
      </c>
      <c r="F158" s="61">
        <v>0</v>
      </c>
      <c r="G158" s="61">
        <v>28304</v>
      </c>
      <c r="H158" s="60">
        <v>4977.29</v>
      </c>
      <c r="I158" s="60">
        <v>4977.29</v>
      </c>
      <c r="J158" s="60">
        <v>23326.71</v>
      </c>
      <c r="K158" s="60">
        <v>0</v>
      </c>
      <c r="L158" s="60">
        <v>0</v>
      </c>
      <c r="M158" s="60">
        <v>622662.62</v>
      </c>
      <c r="N158" s="60">
        <v>0</v>
      </c>
      <c r="O158" s="63">
        <v>622662.62</v>
      </c>
    </row>
    <row r="159" spans="1:15" ht="11.1" customHeight="1" x14ac:dyDescent="0.25">
      <c r="A159" s="62">
        <v>142</v>
      </c>
      <c r="B159" s="74">
        <v>46904</v>
      </c>
      <c r="C159" s="58">
        <v>31</v>
      </c>
      <c r="D159" s="59">
        <v>9.4E-2</v>
      </c>
      <c r="E159" s="60">
        <v>622662.62</v>
      </c>
      <c r="F159" s="60">
        <v>0</v>
      </c>
      <c r="G159" s="60">
        <v>28304</v>
      </c>
      <c r="H159" s="60">
        <v>4957.4800000000005</v>
      </c>
      <c r="I159" s="60">
        <v>4957.4800000000005</v>
      </c>
      <c r="J159" s="60">
        <v>23346.52</v>
      </c>
      <c r="K159" s="60">
        <v>0</v>
      </c>
      <c r="L159" s="60">
        <v>0</v>
      </c>
      <c r="M159" s="60">
        <v>599316.1</v>
      </c>
      <c r="N159" s="60">
        <v>0</v>
      </c>
      <c r="O159" s="63">
        <v>599316.1</v>
      </c>
    </row>
    <row r="160" spans="1:15" ht="11.1" customHeight="1" x14ac:dyDescent="0.25">
      <c r="A160" s="62">
        <v>143</v>
      </c>
      <c r="B160" s="57">
        <v>46934</v>
      </c>
      <c r="C160" s="58">
        <v>30</v>
      </c>
      <c r="D160" s="59">
        <v>9.4E-2</v>
      </c>
      <c r="E160" s="60">
        <v>599316.1</v>
      </c>
      <c r="F160" s="61">
        <v>0</v>
      </c>
      <c r="G160" s="61">
        <v>28304</v>
      </c>
      <c r="H160" s="60">
        <v>4617.68</v>
      </c>
      <c r="I160" s="60">
        <v>4617.68</v>
      </c>
      <c r="J160" s="60">
        <v>23686.32</v>
      </c>
      <c r="K160" s="60">
        <v>0</v>
      </c>
      <c r="L160" s="60">
        <v>0</v>
      </c>
      <c r="M160" s="60">
        <v>575629.78</v>
      </c>
      <c r="N160" s="60">
        <v>0</v>
      </c>
      <c r="O160" s="63">
        <v>575629.78</v>
      </c>
    </row>
    <row r="161" spans="1:15" ht="11.1" customHeight="1" x14ac:dyDescent="0.25">
      <c r="A161" s="62">
        <v>144</v>
      </c>
      <c r="B161" s="74">
        <v>46965</v>
      </c>
      <c r="C161" s="58">
        <v>31</v>
      </c>
      <c r="D161" s="59">
        <v>9.4E-2</v>
      </c>
      <c r="E161" s="60">
        <v>575629.78</v>
      </c>
      <c r="F161" s="60">
        <v>0</v>
      </c>
      <c r="G161" s="60">
        <v>28304</v>
      </c>
      <c r="H161" s="60">
        <v>4583.0200000000004</v>
      </c>
      <c r="I161" s="60">
        <v>4583.0200000000004</v>
      </c>
      <c r="J161" s="60">
        <v>23720.98</v>
      </c>
      <c r="K161" s="60">
        <v>0</v>
      </c>
      <c r="L161" s="60">
        <v>0</v>
      </c>
      <c r="M161" s="60">
        <v>551908.80000000005</v>
      </c>
      <c r="N161" s="60">
        <v>0</v>
      </c>
      <c r="O161" s="63">
        <v>551908.80000000005</v>
      </c>
    </row>
    <row r="162" spans="1:15" ht="11.1" customHeight="1" x14ac:dyDescent="0.25">
      <c r="A162" s="62">
        <v>145</v>
      </c>
      <c r="B162" s="57">
        <v>46996</v>
      </c>
      <c r="C162" s="58">
        <v>31</v>
      </c>
      <c r="D162" s="59">
        <v>9.4E-2</v>
      </c>
      <c r="E162" s="60">
        <v>551908.80000000005</v>
      </c>
      <c r="F162" s="61">
        <v>0</v>
      </c>
      <c r="G162" s="61">
        <v>28304</v>
      </c>
      <c r="H162" s="60">
        <v>4394.16</v>
      </c>
      <c r="I162" s="60">
        <v>4394.16</v>
      </c>
      <c r="J162" s="60">
        <v>23909.84</v>
      </c>
      <c r="K162" s="60">
        <v>0</v>
      </c>
      <c r="L162" s="60">
        <v>0</v>
      </c>
      <c r="M162" s="60">
        <v>527998.96</v>
      </c>
      <c r="N162" s="60">
        <v>0</v>
      </c>
      <c r="O162" s="63">
        <v>527998.96</v>
      </c>
    </row>
    <row r="163" spans="1:15" ht="11.1" customHeight="1" x14ac:dyDescent="0.25">
      <c r="A163" s="62">
        <v>146</v>
      </c>
      <c r="B163" s="74">
        <v>47026</v>
      </c>
      <c r="C163" s="58">
        <v>30</v>
      </c>
      <c r="D163" s="59">
        <v>9.4E-2</v>
      </c>
      <c r="E163" s="60">
        <v>527998.96</v>
      </c>
      <c r="F163" s="60">
        <v>0</v>
      </c>
      <c r="G163" s="60">
        <v>28304</v>
      </c>
      <c r="H163" s="60">
        <v>4068.19</v>
      </c>
      <c r="I163" s="60">
        <v>4068.19</v>
      </c>
      <c r="J163" s="60">
        <v>24235.81</v>
      </c>
      <c r="K163" s="60">
        <v>0</v>
      </c>
      <c r="L163" s="60">
        <v>0</v>
      </c>
      <c r="M163" s="60">
        <v>503763.15</v>
      </c>
      <c r="N163" s="60">
        <v>0</v>
      </c>
      <c r="O163" s="63">
        <v>503763.15</v>
      </c>
    </row>
    <row r="164" spans="1:15" ht="11.1" customHeight="1" x14ac:dyDescent="0.25">
      <c r="A164" s="62">
        <v>147</v>
      </c>
      <c r="B164" s="57">
        <v>47057</v>
      </c>
      <c r="C164" s="58">
        <v>31</v>
      </c>
      <c r="D164" s="59">
        <v>9.4E-2</v>
      </c>
      <c r="E164" s="60">
        <v>503763.15</v>
      </c>
      <c r="F164" s="61">
        <v>0</v>
      </c>
      <c r="G164" s="61">
        <v>28304</v>
      </c>
      <c r="H164" s="60">
        <v>4010.84</v>
      </c>
      <c r="I164" s="60">
        <v>4010.84</v>
      </c>
      <c r="J164" s="60">
        <v>24293.16</v>
      </c>
      <c r="K164" s="60">
        <v>0</v>
      </c>
      <c r="L164" s="60">
        <v>0</v>
      </c>
      <c r="M164" s="60">
        <v>479469.99</v>
      </c>
      <c r="N164" s="60">
        <v>0</v>
      </c>
      <c r="O164" s="63">
        <v>479469.99</v>
      </c>
    </row>
    <row r="165" spans="1:15" ht="11.1" customHeight="1" x14ac:dyDescent="0.25">
      <c r="A165" s="62">
        <v>148</v>
      </c>
      <c r="B165" s="74">
        <v>47087</v>
      </c>
      <c r="C165" s="58">
        <v>30</v>
      </c>
      <c r="D165" s="59">
        <v>9.4E-2</v>
      </c>
      <c r="E165" s="60">
        <v>479469.99</v>
      </c>
      <c r="F165" s="60">
        <v>0</v>
      </c>
      <c r="G165" s="60">
        <v>28304</v>
      </c>
      <c r="H165" s="60">
        <v>3694.28</v>
      </c>
      <c r="I165" s="60">
        <v>3694.28</v>
      </c>
      <c r="J165" s="60">
        <v>24609.72</v>
      </c>
      <c r="K165" s="60">
        <v>0</v>
      </c>
      <c r="L165" s="60">
        <v>0</v>
      </c>
      <c r="M165" s="60">
        <v>454860.27</v>
      </c>
      <c r="N165" s="60">
        <v>0</v>
      </c>
      <c r="O165" s="63">
        <v>454860.27</v>
      </c>
    </row>
    <row r="166" spans="1:15" ht="11.1" customHeight="1" x14ac:dyDescent="0.25">
      <c r="A166" s="62">
        <v>149</v>
      </c>
      <c r="B166" s="57">
        <v>47118</v>
      </c>
      <c r="C166" s="58">
        <v>31</v>
      </c>
      <c r="D166" s="59">
        <v>9.4E-2</v>
      </c>
      <c r="E166" s="60">
        <v>454860.27</v>
      </c>
      <c r="F166" s="61">
        <v>0</v>
      </c>
      <c r="G166" s="61">
        <v>28304</v>
      </c>
      <c r="H166" s="60">
        <v>3621.48</v>
      </c>
      <c r="I166" s="60">
        <v>3621.48</v>
      </c>
      <c r="J166" s="60">
        <v>24682.52</v>
      </c>
      <c r="K166" s="60">
        <v>0</v>
      </c>
      <c r="L166" s="60">
        <v>0</v>
      </c>
      <c r="M166" s="60">
        <v>430177.75</v>
      </c>
      <c r="N166" s="60">
        <v>0</v>
      </c>
      <c r="O166" s="63">
        <v>430177.75</v>
      </c>
    </row>
    <row r="167" spans="1:15" ht="11.1" customHeight="1" x14ac:dyDescent="0.25">
      <c r="A167" s="62">
        <v>150</v>
      </c>
      <c r="B167" s="74">
        <v>47149</v>
      </c>
      <c r="C167" s="58">
        <v>31</v>
      </c>
      <c r="D167" s="59">
        <v>9.4E-2</v>
      </c>
      <c r="E167" s="60">
        <v>430177.75</v>
      </c>
      <c r="F167" s="60">
        <v>0</v>
      </c>
      <c r="G167" s="60">
        <v>28304</v>
      </c>
      <c r="H167" s="60">
        <v>3434.35</v>
      </c>
      <c r="I167" s="60">
        <v>3434.35</v>
      </c>
      <c r="J167" s="60">
        <v>24869.65</v>
      </c>
      <c r="K167" s="60">
        <v>0</v>
      </c>
      <c r="L167" s="60">
        <v>0</v>
      </c>
      <c r="M167" s="60">
        <v>405308.10000000003</v>
      </c>
      <c r="N167" s="60">
        <v>0</v>
      </c>
      <c r="O167" s="63">
        <v>405308.10000000003</v>
      </c>
    </row>
    <row r="168" spans="1:15" ht="11.1" customHeight="1" x14ac:dyDescent="0.25">
      <c r="A168" s="62">
        <v>151</v>
      </c>
      <c r="B168" s="57">
        <v>47177</v>
      </c>
      <c r="C168" s="58">
        <v>28</v>
      </c>
      <c r="D168" s="59">
        <v>9.4E-2</v>
      </c>
      <c r="E168" s="60">
        <v>405308.10000000003</v>
      </c>
      <c r="F168" s="61">
        <v>0</v>
      </c>
      <c r="G168" s="61">
        <v>28304</v>
      </c>
      <c r="H168" s="60">
        <v>2922.66</v>
      </c>
      <c r="I168" s="60">
        <v>2922.66</v>
      </c>
      <c r="J168" s="60">
        <v>25381.34</v>
      </c>
      <c r="K168" s="60">
        <v>0</v>
      </c>
      <c r="L168" s="60">
        <v>0</v>
      </c>
      <c r="M168" s="60">
        <v>379926.76</v>
      </c>
      <c r="N168" s="60">
        <v>0</v>
      </c>
      <c r="O168" s="63">
        <v>379926.76</v>
      </c>
    </row>
    <row r="169" spans="1:15" ht="11.1" customHeight="1" x14ac:dyDescent="0.25">
      <c r="A169" s="62">
        <v>152</v>
      </c>
      <c r="B169" s="74">
        <v>47208</v>
      </c>
      <c r="C169" s="58">
        <v>31</v>
      </c>
      <c r="D169" s="59">
        <v>9.4E-2</v>
      </c>
      <c r="E169" s="60">
        <v>379926.76</v>
      </c>
      <c r="F169" s="60">
        <v>0</v>
      </c>
      <c r="G169" s="60">
        <v>28304</v>
      </c>
      <c r="H169" s="60">
        <v>3033.17</v>
      </c>
      <c r="I169" s="60">
        <v>3033.17</v>
      </c>
      <c r="J169" s="60">
        <v>25270.83</v>
      </c>
      <c r="K169" s="60">
        <v>0</v>
      </c>
      <c r="L169" s="60">
        <v>0</v>
      </c>
      <c r="M169" s="60">
        <v>354655.93</v>
      </c>
      <c r="N169" s="60">
        <v>0</v>
      </c>
      <c r="O169" s="63">
        <v>354655.93</v>
      </c>
    </row>
    <row r="170" spans="1:15" ht="11.1" customHeight="1" x14ac:dyDescent="0.25">
      <c r="A170" s="62">
        <v>153</v>
      </c>
      <c r="B170" s="57">
        <v>47238</v>
      </c>
      <c r="C170" s="58">
        <v>30</v>
      </c>
      <c r="D170" s="59">
        <v>9.4E-2</v>
      </c>
      <c r="E170" s="60">
        <v>354655.93</v>
      </c>
      <c r="F170" s="61">
        <v>0</v>
      </c>
      <c r="G170" s="61">
        <v>28304</v>
      </c>
      <c r="H170" s="60">
        <v>2740.08</v>
      </c>
      <c r="I170" s="60">
        <v>2740.08</v>
      </c>
      <c r="J170" s="60">
        <v>25563.919999999998</v>
      </c>
      <c r="K170" s="60">
        <v>0</v>
      </c>
      <c r="L170" s="60">
        <v>0</v>
      </c>
      <c r="M170" s="60">
        <v>329092.01</v>
      </c>
      <c r="N170" s="60">
        <v>0</v>
      </c>
      <c r="O170" s="63">
        <v>329092.01</v>
      </c>
    </row>
    <row r="171" spans="1:15" ht="11.1" customHeight="1" x14ac:dyDescent="0.25">
      <c r="A171" s="62">
        <v>154</v>
      </c>
      <c r="B171" s="74">
        <v>47269</v>
      </c>
      <c r="C171" s="58">
        <v>31</v>
      </c>
      <c r="D171" s="59">
        <v>9.4E-2</v>
      </c>
      <c r="E171" s="60">
        <v>329092.01</v>
      </c>
      <c r="F171" s="60">
        <v>0</v>
      </c>
      <c r="G171" s="60">
        <v>28304</v>
      </c>
      <c r="H171" s="60">
        <v>2627.33</v>
      </c>
      <c r="I171" s="60">
        <v>2627.33</v>
      </c>
      <c r="J171" s="60">
        <v>25676.67</v>
      </c>
      <c r="K171" s="60">
        <v>0</v>
      </c>
      <c r="L171" s="60">
        <v>0</v>
      </c>
      <c r="M171" s="60">
        <v>303415.34000000003</v>
      </c>
      <c r="N171" s="60">
        <v>0</v>
      </c>
      <c r="O171" s="63">
        <v>303415.34000000003</v>
      </c>
    </row>
    <row r="172" spans="1:15" ht="11.1" customHeight="1" x14ac:dyDescent="0.25">
      <c r="A172" s="62">
        <v>155</v>
      </c>
      <c r="B172" s="57">
        <v>47299</v>
      </c>
      <c r="C172" s="58">
        <v>30</v>
      </c>
      <c r="D172" s="59">
        <v>9.4E-2</v>
      </c>
      <c r="E172" s="60">
        <v>303415.34000000003</v>
      </c>
      <c r="F172" s="61">
        <v>0</v>
      </c>
      <c r="G172" s="61">
        <v>28304</v>
      </c>
      <c r="H172" s="60">
        <v>2344.2000000000003</v>
      </c>
      <c r="I172" s="60">
        <v>2344.2000000000003</v>
      </c>
      <c r="J172" s="60">
        <v>25959.8</v>
      </c>
      <c r="K172" s="60">
        <v>0</v>
      </c>
      <c r="L172" s="60">
        <v>0</v>
      </c>
      <c r="M172" s="60">
        <v>277455.53999999998</v>
      </c>
      <c r="N172" s="60">
        <v>0</v>
      </c>
      <c r="O172" s="63">
        <v>277455.53999999998</v>
      </c>
    </row>
    <row r="173" spans="1:15" ht="11.1" customHeight="1" x14ac:dyDescent="0.25">
      <c r="A173" s="62">
        <v>156</v>
      </c>
      <c r="B173" s="74">
        <v>47330</v>
      </c>
      <c r="C173" s="58">
        <v>31</v>
      </c>
      <c r="D173" s="59">
        <v>9.4E-2</v>
      </c>
      <c r="E173" s="60">
        <v>277455.53999999998</v>
      </c>
      <c r="F173" s="60">
        <v>0</v>
      </c>
      <c r="G173" s="60">
        <v>28304</v>
      </c>
      <c r="H173" s="60">
        <v>2215.08</v>
      </c>
      <c r="I173" s="60">
        <v>2215.08</v>
      </c>
      <c r="J173" s="60">
        <v>26088.92</v>
      </c>
      <c r="K173" s="60">
        <v>0</v>
      </c>
      <c r="L173" s="60">
        <v>0</v>
      </c>
      <c r="M173" s="60">
        <v>251366.62</v>
      </c>
      <c r="N173" s="60">
        <v>0</v>
      </c>
      <c r="O173" s="63">
        <v>251366.62</v>
      </c>
    </row>
    <row r="174" spans="1:15" ht="11.1" customHeight="1" x14ac:dyDescent="0.25">
      <c r="A174" s="62">
        <v>157</v>
      </c>
      <c r="B174" s="57">
        <v>47361</v>
      </c>
      <c r="C174" s="58">
        <v>31</v>
      </c>
      <c r="D174" s="59">
        <v>9.4E-2</v>
      </c>
      <c r="E174" s="60">
        <v>251366.62</v>
      </c>
      <c r="F174" s="61">
        <v>0</v>
      </c>
      <c r="G174" s="61">
        <v>28304</v>
      </c>
      <c r="H174" s="60">
        <v>2006.8</v>
      </c>
      <c r="I174" s="60">
        <v>2006.8</v>
      </c>
      <c r="J174" s="60">
        <v>26297.200000000001</v>
      </c>
      <c r="K174" s="60">
        <v>0</v>
      </c>
      <c r="L174" s="60">
        <v>0</v>
      </c>
      <c r="M174" s="60">
        <v>225069.42</v>
      </c>
      <c r="N174" s="60">
        <v>0</v>
      </c>
      <c r="O174" s="63">
        <v>225069.42</v>
      </c>
    </row>
    <row r="175" spans="1:15" ht="11.1" customHeight="1" x14ac:dyDescent="0.25">
      <c r="A175" s="62">
        <v>158</v>
      </c>
      <c r="B175" s="74">
        <v>47391</v>
      </c>
      <c r="C175" s="58">
        <v>30</v>
      </c>
      <c r="D175" s="59">
        <v>9.4E-2</v>
      </c>
      <c r="E175" s="60">
        <v>225069.42</v>
      </c>
      <c r="F175" s="60">
        <v>0</v>
      </c>
      <c r="G175" s="60">
        <v>28304</v>
      </c>
      <c r="H175" s="60">
        <v>1738.89</v>
      </c>
      <c r="I175" s="60">
        <v>1738.89</v>
      </c>
      <c r="J175" s="60">
        <v>26565.11</v>
      </c>
      <c r="K175" s="60">
        <v>0</v>
      </c>
      <c r="L175" s="60">
        <v>0</v>
      </c>
      <c r="M175" s="60">
        <v>198504.31</v>
      </c>
      <c r="N175" s="60">
        <v>0</v>
      </c>
      <c r="O175" s="63">
        <v>198504.31</v>
      </c>
    </row>
    <row r="176" spans="1:15" ht="11.1" customHeight="1" x14ac:dyDescent="0.25">
      <c r="A176" s="62">
        <v>159</v>
      </c>
      <c r="B176" s="57">
        <v>47422</v>
      </c>
      <c r="C176" s="58">
        <v>31</v>
      </c>
      <c r="D176" s="59">
        <v>9.4E-2</v>
      </c>
      <c r="E176" s="60">
        <v>198504.31</v>
      </c>
      <c r="F176" s="61">
        <v>0</v>
      </c>
      <c r="G176" s="61">
        <v>28304</v>
      </c>
      <c r="H176" s="60">
        <v>1584.77</v>
      </c>
      <c r="I176" s="60">
        <v>1584.77</v>
      </c>
      <c r="J176" s="60">
        <v>26719.23</v>
      </c>
      <c r="K176" s="60">
        <v>0</v>
      </c>
      <c r="L176" s="60">
        <v>0</v>
      </c>
      <c r="M176" s="60">
        <v>171785.08000000002</v>
      </c>
      <c r="N176" s="60">
        <v>0</v>
      </c>
      <c r="O176" s="63">
        <v>171785.08000000002</v>
      </c>
    </row>
    <row r="177" spans="1:15" ht="11.1" customHeight="1" x14ac:dyDescent="0.25">
      <c r="A177" s="62">
        <v>160</v>
      </c>
      <c r="B177" s="74">
        <v>47452</v>
      </c>
      <c r="C177" s="58">
        <v>30</v>
      </c>
      <c r="D177" s="59">
        <v>9.4E-2</v>
      </c>
      <c r="E177" s="60">
        <v>171785.08000000002</v>
      </c>
      <c r="F177" s="60">
        <v>0</v>
      </c>
      <c r="G177" s="60">
        <v>28304</v>
      </c>
      <c r="H177" s="60">
        <v>1327.22</v>
      </c>
      <c r="I177" s="60">
        <v>1327.22</v>
      </c>
      <c r="J177" s="60">
        <v>26976.78</v>
      </c>
      <c r="K177" s="60">
        <v>0</v>
      </c>
      <c r="L177" s="60">
        <v>0</v>
      </c>
      <c r="M177" s="60">
        <v>144808.30000000002</v>
      </c>
      <c r="N177" s="60">
        <v>0</v>
      </c>
      <c r="O177" s="63">
        <v>144808.30000000002</v>
      </c>
    </row>
    <row r="178" spans="1:15" ht="11.1" customHeight="1" x14ac:dyDescent="0.25">
      <c r="A178" s="62">
        <v>161</v>
      </c>
      <c r="B178" s="57">
        <v>47483</v>
      </c>
      <c r="C178" s="58">
        <v>31</v>
      </c>
      <c r="D178" s="59">
        <v>9.4E-2</v>
      </c>
      <c r="E178" s="60">
        <v>144808.30000000002</v>
      </c>
      <c r="F178" s="61">
        <v>0</v>
      </c>
      <c r="G178" s="61">
        <v>28304</v>
      </c>
      <c r="H178" s="60">
        <v>1156.0899999999999</v>
      </c>
      <c r="I178" s="60">
        <v>1156.0899999999999</v>
      </c>
      <c r="J178" s="60">
        <v>27147.91</v>
      </c>
      <c r="K178" s="60">
        <v>0</v>
      </c>
      <c r="L178" s="60">
        <v>0</v>
      </c>
      <c r="M178" s="60">
        <v>117660.39</v>
      </c>
      <c r="N178" s="60">
        <v>0</v>
      </c>
      <c r="O178" s="63">
        <v>117660.39</v>
      </c>
    </row>
    <row r="179" spans="1:15" ht="11.1" customHeight="1" x14ac:dyDescent="0.25">
      <c r="A179" s="62">
        <v>162</v>
      </c>
      <c r="B179" s="74">
        <v>47514</v>
      </c>
      <c r="C179" s="58">
        <v>31</v>
      </c>
      <c r="D179" s="59">
        <v>9.4E-2</v>
      </c>
      <c r="E179" s="60">
        <v>117660.39</v>
      </c>
      <c r="F179" s="60">
        <v>0</v>
      </c>
      <c r="G179" s="60">
        <v>28304</v>
      </c>
      <c r="H179" s="60">
        <v>939.35</v>
      </c>
      <c r="I179" s="60">
        <v>939.35</v>
      </c>
      <c r="J179" s="60">
        <v>27364.65</v>
      </c>
      <c r="K179" s="60">
        <v>0</v>
      </c>
      <c r="L179" s="60">
        <v>0</v>
      </c>
      <c r="M179" s="60">
        <v>90295.74</v>
      </c>
      <c r="N179" s="60">
        <v>0</v>
      </c>
      <c r="O179" s="63">
        <v>90295.74</v>
      </c>
    </row>
    <row r="180" spans="1:15" ht="11.1" customHeight="1" x14ac:dyDescent="0.25">
      <c r="A180" s="62">
        <v>163</v>
      </c>
      <c r="B180" s="57">
        <v>47542</v>
      </c>
      <c r="C180" s="58">
        <v>28</v>
      </c>
      <c r="D180" s="59">
        <v>9.4E-2</v>
      </c>
      <c r="E180" s="60">
        <v>90295.74</v>
      </c>
      <c r="F180" s="61">
        <v>0</v>
      </c>
      <c r="G180" s="61">
        <v>28304</v>
      </c>
      <c r="H180" s="60">
        <v>651.12</v>
      </c>
      <c r="I180" s="60">
        <v>651.12</v>
      </c>
      <c r="J180" s="60">
        <v>27652.880000000001</v>
      </c>
      <c r="K180" s="60">
        <v>0</v>
      </c>
      <c r="L180" s="60">
        <v>0</v>
      </c>
      <c r="M180" s="60">
        <v>62642.86</v>
      </c>
      <c r="N180" s="60">
        <v>0</v>
      </c>
      <c r="O180" s="63">
        <v>62642.86</v>
      </c>
    </row>
    <row r="181" spans="1:15" ht="11.1" customHeight="1" x14ac:dyDescent="0.25">
      <c r="A181" s="62">
        <v>164</v>
      </c>
      <c r="B181" s="74">
        <v>47573</v>
      </c>
      <c r="C181" s="58">
        <v>31</v>
      </c>
      <c r="D181" s="59">
        <v>9.4E-2</v>
      </c>
      <c r="E181" s="60">
        <v>62642.86</v>
      </c>
      <c r="F181" s="60">
        <v>0</v>
      </c>
      <c r="G181" s="60">
        <v>28304</v>
      </c>
      <c r="H181" s="60">
        <v>500.11</v>
      </c>
      <c r="I181" s="60">
        <v>500.11</v>
      </c>
      <c r="J181" s="60">
        <v>27803.89</v>
      </c>
      <c r="K181" s="60">
        <v>0</v>
      </c>
      <c r="L181" s="60">
        <v>0</v>
      </c>
      <c r="M181" s="60">
        <v>34838.97</v>
      </c>
      <c r="N181" s="60">
        <v>0</v>
      </c>
      <c r="O181" s="63">
        <v>34838.97</v>
      </c>
    </row>
    <row r="182" spans="1:15" ht="11.1" customHeight="1" x14ac:dyDescent="0.25">
      <c r="A182" s="62">
        <v>165</v>
      </c>
      <c r="B182" s="57">
        <v>47603</v>
      </c>
      <c r="C182" s="58">
        <v>30</v>
      </c>
      <c r="D182" s="59">
        <v>9.4E-2</v>
      </c>
      <c r="E182" s="60">
        <v>34838.97</v>
      </c>
      <c r="F182" s="61">
        <v>0</v>
      </c>
      <c r="G182" s="61">
        <v>28304</v>
      </c>
      <c r="H182" s="60">
        <v>269.17</v>
      </c>
      <c r="I182" s="60">
        <v>269.17</v>
      </c>
      <c r="J182" s="60">
        <v>28034.83</v>
      </c>
      <c r="K182" s="60">
        <v>0</v>
      </c>
      <c r="L182" s="60">
        <v>0</v>
      </c>
      <c r="M182" s="60">
        <v>6804.14</v>
      </c>
      <c r="N182" s="60">
        <v>0</v>
      </c>
      <c r="O182" s="63">
        <v>6804.14</v>
      </c>
    </row>
    <row r="183" spans="1:15" ht="11.1" customHeight="1" thickBot="1" x14ac:dyDescent="0.3">
      <c r="A183" s="75">
        <v>166</v>
      </c>
      <c r="B183" s="76">
        <v>47634</v>
      </c>
      <c r="C183" s="77">
        <v>31</v>
      </c>
      <c r="D183" s="78">
        <v>9.4E-2</v>
      </c>
      <c r="E183" s="79">
        <v>6804.14</v>
      </c>
      <c r="F183" s="79">
        <v>0</v>
      </c>
      <c r="G183" s="79">
        <v>6858.46</v>
      </c>
      <c r="H183" s="79">
        <v>54.32</v>
      </c>
      <c r="I183" s="79">
        <v>54.32</v>
      </c>
      <c r="J183" s="79">
        <v>6804.14</v>
      </c>
      <c r="K183" s="79">
        <v>0</v>
      </c>
      <c r="L183" s="79">
        <v>0</v>
      </c>
      <c r="M183" s="79">
        <v>0</v>
      </c>
      <c r="N183" s="79">
        <v>0</v>
      </c>
      <c r="O183" s="80">
        <v>0</v>
      </c>
    </row>
    <row r="184" spans="1:15" ht="15" customHeight="1" x14ac:dyDescent="0.25">
      <c r="A184" s="20"/>
      <c r="B184" s="21"/>
      <c r="C184" s="20"/>
      <c r="D184" s="20"/>
      <c r="E184" s="20"/>
      <c r="F184" s="20"/>
      <c r="G184" s="20"/>
      <c r="H184" s="20"/>
      <c r="I184" s="20"/>
      <c r="J184" s="20"/>
      <c r="K184" s="22"/>
      <c r="L184" s="22"/>
      <c r="M184" s="22"/>
      <c r="N184" s="22"/>
      <c r="O184" s="22"/>
    </row>
    <row r="185" spans="1:15" ht="15" customHeight="1" x14ac:dyDescent="0.25">
      <c r="A185" s="20"/>
      <c r="B185" s="656" t="s">
        <v>31</v>
      </c>
      <c r="C185" s="656"/>
      <c r="D185" s="656"/>
      <c r="E185" s="656"/>
      <c r="F185" s="656"/>
      <c r="G185" s="656"/>
      <c r="H185" s="656"/>
      <c r="I185" s="656"/>
      <c r="J185" s="656"/>
      <c r="K185" s="656"/>
      <c r="L185" s="656"/>
      <c r="M185" s="656"/>
      <c r="N185" s="656"/>
      <c r="O185" s="656"/>
    </row>
    <row r="186" spans="1:15" ht="15" customHeight="1" x14ac:dyDescent="0.25">
      <c r="A186" s="20"/>
      <c r="B186" s="21"/>
      <c r="C186" s="20"/>
      <c r="D186" s="20"/>
      <c r="E186" s="20"/>
      <c r="F186" s="20"/>
      <c r="G186" s="20"/>
      <c r="H186" s="20"/>
      <c r="I186" s="20"/>
      <c r="J186" s="20"/>
      <c r="K186" s="22"/>
      <c r="L186" s="22"/>
      <c r="M186" s="22"/>
      <c r="N186" s="22"/>
      <c r="O186" s="22"/>
    </row>
    <row r="187" spans="1:15" ht="15" customHeight="1" x14ac:dyDescent="0.25">
      <c r="A187" s="20"/>
      <c r="B187" s="656" t="s">
        <v>28</v>
      </c>
      <c r="C187" s="656"/>
      <c r="D187" s="656"/>
      <c r="E187" s="656"/>
      <c r="F187" s="656"/>
      <c r="G187" s="656"/>
      <c r="H187" s="656"/>
      <c r="I187" s="656"/>
      <c r="J187" s="656"/>
      <c r="K187" s="656"/>
      <c r="L187" s="656"/>
      <c r="M187" s="656"/>
      <c r="N187" s="656"/>
      <c r="O187" s="656"/>
    </row>
    <row r="188" spans="1:15" ht="15" customHeight="1" x14ac:dyDescent="0.25">
      <c r="A188" s="20"/>
      <c r="B188" s="36"/>
      <c r="C188" s="37"/>
      <c r="D188" s="37"/>
      <c r="E188" s="37"/>
      <c r="F188" s="37"/>
      <c r="G188" s="37"/>
      <c r="H188" s="37"/>
      <c r="I188" s="37"/>
      <c r="J188" s="37"/>
      <c r="K188" s="38"/>
      <c r="L188" s="38"/>
      <c r="M188" s="38"/>
      <c r="N188" s="38"/>
      <c r="O188" s="38"/>
    </row>
    <row r="189" spans="1:15" ht="15" customHeight="1" x14ac:dyDescent="0.25">
      <c r="A189" s="20"/>
      <c r="B189" s="656" t="s">
        <v>32</v>
      </c>
      <c r="C189" s="656"/>
      <c r="D189" s="656"/>
      <c r="E189" s="656"/>
      <c r="F189" s="656"/>
      <c r="G189" s="656"/>
      <c r="H189" s="656"/>
      <c r="I189" s="656"/>
      <c r="J189" s="656"/>
      <c r="K189" s="656"/>
      <c r="L189" s="656"/>
      <c r="M189" s="656"/>
      <c r="N189" s="656"/>
      <c r="O189" s="656"/>
    </row>
    <row r="190" spans="1:15" ht="15" customHeight="1" x14ac:dyDescent="0.25">
      <c r="A190" s="71"/>
      <c r="B190" s="72"/>
      <c r="C190" s="71"/>
      <c r="D190" s="71"/>
      <c r="E190" s="71"/>
      <c r="F190" s="71"/>
      <c r="G190" s="71"/>
      <c r="H190" s="71"/>
      <c r="I190" s="71"/>
      <c r="J190" s="71"/>
      <c r="K190" s="73"/>
      <c r="L190" s="73"/>
      <c r="M190" s="73"/>
      <c r="N190" s="73"/>
      <c r="O190" s="73"/>
    </row>
    <row r="191" spans="1:15" x14ac:dyDescent="0.25">
      <c r="A191" s="71"/>
      <c r="B191" s="656" t="s">
        <v>35</v>
      </c>
      <c r="C191" s="656"/>
      <c r="D191" s="656"/>
      <c r="E191" s="656"/>
      <c r="F191" s="656"/>
      <c r="G191" s="656"/>
      <c r="H191" s="656"/>
      <c r="I191" s="656"/>
      <c r="J191" s="656"/>
      <c r="K191" s="656"/>
      <c r="L191" s="656"/>
      <c r="M191" s="656"/>
      <c r="N191" s="656"/>
      <c r="O191" s="656"/>
    </row>
  </sheetData>
  <customSheetViews>
    <customSheetView guid="{A6ED9047-BF5F-4715-989F-6B73F8A8D111}" scale="115" showGridLines="0" hiddenRows="1">
      <selection activeCell="O20" sqref="O20"/>
      <pageMargins left="0.70866141732283472" right="0.31496062992125984" top="0.36" bottom="0.22" header="0.31496062992125984" footer="0.19"/>
      <pageSetup paperSize="9" orientation="landscape" r:id="rId1"/>
    </customSheetView>
  </customSheetViews>
  <mergeCells count="37">
    <mergeCell ref="H15:H16"/>
    <mergeCell ref="F3:J3"/>
    <mergeCell ref="G15:G16"/>
    <mergeCell ref="D8:G8"/>
    <mergeCell ref="J15:K15"/>
    <mergeCell ref="D11:G11"/>
    <mergeCell ref="F4:J4"/>
    <mergeCell ref="D4:E4"/>
    <mergeCell ref="H12:I12"/>
    <mergeCell ref="D5:E5"/>
    <mergeCell ref="H9:I9"/>
    <mergeCell ref="D9:G9"/>
    <mergeCell ref="H11:I11"/>
    <mergeCell ref="H8:I8"/>
    <mergeCell ref="A1:M1"/>
    <mergeCell ref="D6:G6"/>
    <mergeCell ref="H6:I6"/>
    <mergeCell ref="D7:G7"/>
    <mergeCell ref="H7:I7"/>
    <mergeCell ref="F5:J5"/>
    <mergeCell ref="D3:E3"/>
    <mergeCell ref="B185:O185"/>
    <mergeCell ref="B187:O187"/>
    <mergeCell ref="B189:O189"/>
    <mergeCell ref="B191:O191"/>
    <mergeCell ref="D12:G12"/>
    <mergeCell ref="H13:I13"/>
    <mergeCell ref="B15:B16"/>
    <mergeCell ref="C15:C16"/>
    <mergeCell ref="D15:D16"/>
    <mergeCell ref="L15:L16"/>
    <mergeCell ref="D13:G13"/>
    <mergeCell ref="A14:O14"/>
    <mergeCell ref="A15:A16"/>
    <mergeCell ref="I15:I16"/>
    <mergeCell ref="M15:O15"/>
    <mergeCell ref="E15:F15"/>
  </mergeCells>
  <phoneticPr fontId="0" type="noConversion"/>
  <pageMargins left="0.70866141732283472" right="0.31496062992125984" top="0.36" bottom="0.22" header="0.31496062992125984" footer="0.19"/>
  <pageSetup paperSize="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B2:U427"/>
  <sheetViews>
    <sheetView workbookViewId="0">
      <selection activeCell="I12" sqref="I12"/>
    </sheetView>
  </sheetViews>
  <sheetFormatPr defaultColWidth="9.140625" defaultRowHeight="12.75" x14ac:dyDescent="0.2"/>
  <cols>
    <col min="1" max="1" width="2" style="144" customWidth="1"/>
    <col min="2" max="2" width="36.42578125" style="144" customWidth="1"/>
    <col min="3" max="3" width="1.42578125" style="144" customWidth="1"/>
    <col min="4" max="4" width="15" style="144" customWidth="1"/>
    <col min="5" max="5" width="2.42578125" style="144" customWidth="1"/>
    <col min="6" max="6" width="4" style="144" customWidth="1"/>
    <col min="7" max="7" width="15.5703125" style="144" customWidth="1"/>
    <col min="8" max="8" width="12.85546875" style="144" customWidth="1"/>
    <col min="9" max="9" width="11.85546875" style="144" customWidth="1"/>
    <col min="10" max="10" width="13.5703125" style="255" customWidth="1"/>
    <col min="11" max="11" width="14.42578125" style="145" customWidth="1"/>
    <col min="12" max="12" width="11.85546875" style="145" customWidth="1"/>
    <col min="13" max="13" width="13.5703125" style="145" customWidth="1"/>
    <col min="14" max="14" width="11.42578125" style="145" customWidth="1"/>
    <col min="15" max="15" width="11.5703125" style="145" customWidth="1"/>
    <col min="16" max="16" width="11.42578125" style="145" bestFit="1" customWidth="1"/>
    <col min="17" max="17" width="14" style="145" customWidth="1"/>
    <col min="18" max="18" width="15" style="145" customWidth="1"/>
    <col min="19" max="19" width="11.85546875" style="145" customWidth="1"/>
    <col min="20" max="20" width="15.42578125" style="145" customWidth="1"/>
    <col min="21" max="16384" width="9.140625" style="144"/>
  </cols>
  <sheetData>
    <row r="2" spans="2:21" ht="15" x14ac:dyDescent="0.25">
      <c r="B2" s="242" t="s">
        <v>301</v>
      </c>
      <c r="D2" s="242" t="s">
        <v>302</v>
      </c>
      <c r="J2" s="144"/>
      <c r="K2" s="243"/>
      <c r="L2" s="144"/>
      <c r="M2" s="144"/>
      <c r="N2" s="144"/>
      <c r="O2" s="144"/>
      <c r="P2" s="144"/>
      <c r="Q2" s="144"/>
      <c r="R2" s="144"/>
      <c r="S2" s="144"/>
      <c r="T2" s="144"/>
    </row>
    <row r="3" spans="2:21" x14ac:dyDescent="0.2">
      <c r="B3" s="158" t="s">
        <v>303</v>
      </c>
      <c r="D3" s="221">
        <f>'Калькулятор_от дохода'!$N$123</f>
        <v>3961359.9586900515</v>
      </c>
      <c r="E3" s="17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1" x14ac:dyDescent="0.2">
      <c r="B4" s="158" t="s">
        <v>304</v>
      </c>
      <c r="D4" s="221">
        <f>'Расчет по доходу заемщика'!$E$41</f>
        <v>178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1" x14ac:dyDescent="0.2">
      <c r="B5" s="158" t="s">
        <v>42</v>
      </c>
      <c r="D5" s="244">
        <f>'Калькулятор_от дохода'!$N$129</f>
        <v>60000.000000000007</v>
      </c>
      <c r="J5" s="144"/>
      <c r="K5" s="144"/>
      <c r="L5" s="144"/>
      <c r="M5" s="144"/>
      <c r="N5" s="144"/>
      <c r="O5" s="144"/>
      <c r="P5" s="144"/>
      <c r="Q5" s="144"/>
      <c r="R5" s="144"/>
      <c r="S5" s="245"/>
      <c r="T5" s="245"/>
      <c r="U5" s="245"/>
    </row>
    <row r="6" spans="2:21" x14ac:dyDescent="0.2">
      <c r="B6" s="158" t="s">
        <v>305</v>
      </c>
      <c r="D6" s="221">
        <f>MATCH(0,K12:K372,0)-1</f>
        <v>97</v>
      </c>
      <c r="F6" s="246"/>
      <c r="G6" s="246"/>
      <c r="H6" s="246"/>
      <c r="I6" s="24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2:21" x14ac:dyDescent="0.2">
      <c r="B7" s="158" t="s">
        <v>306</v>
      </c>
      <c r="D7" s="247">
        <f>VLOOKUP(D4+1,$F$12:$L$263,4)</f>
        <v>9.9900000000000003E-2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2:21" ht="15" x14ac:dyDescent="0.25">
      <c r="B8" s="224" t="s">
        <v>224</v>
      </c>
      <c r="D8" s="221">
        <f>SUM($J$12:$J$311)-D3</f>
        <v>1811961.7261661687</v>
      </c>
      <c r="J8" s="144"/>
      <c r="K8" s="144"/>
      <c r="L8" s="144"/>
      <c r="M8" s="248" t="s">
        <v>307</v>
      </c>
      <c r="N8" s="144"/>
      <c r="O8" s="144"/>
      <c r="P8" s="144"/>
      <c r="Q8" s="144"/>
      <c r="R8" s="144"/>
      <c r="S8" s="144"/>
      <c r="T8" s="144"/>
    </row>
    <row r="9" spans="2:21" ht="15" x14ac:dyDescent="0.25">
      <c r="B9" s="224" t="s">
        <v>308</v>
      </c>
      <c r="D9" s="249">
        <f>'Калькулятор_от дохода'!$V$114</f>
        <v>43647</v>
      </c>
      <c r="J9" s="144"/>
      <c r="K9" s="144"/>
      <c r="L9" s="144"/>
      <c r="M9" s="248"/>
      <c r="N9" s="144"/>
      <c r="O9" s="144"/>
      <c r="P9" s="144"/>
      <c r="Q9" s="144"/>
      <c r="R9" s="144"/>
      <c r="S9" s="144"/>
      <c r="T9" s="144"/>
    </row>
    <row r="10" spans="2:21" s="250" customFormat="1" ht="51" x14ac:dyDescent="0.2">
      <c r="B10" s="171"/>
      <c r="C10" s="171"/>
      <c r="D10" s="171"/>
      <c r="F10" s="251"/>
      <c r="G10" s="252" t="s">
        <v>0</v>
      </c>
      <c r="H10" s="252" t="s">
        <v>3</v>
      </c>
      <c r="I10" s="252" t="s">
        <v>309</v>
      </c>
      <c r="J10" s="252" t="s">
        <v>42</v>
      </c>
      <c r="K10" s="252" t="s">
        <v>310</v>
      </c>
      <c r="L10" s="252" t="s">
        <v>311</v>
      </c>
      <c r="M10" s="252" t="s">
        <v>312</v>
      </c>
      <c r="N10" s="252" t="s">
        <v>313</v>
      </c>
      <c r="O10" s="252" t="s">
        <v>314</v>
      </c>
      <c r="P10" s="252" t="s">
        <v>315</v>
      </c>
      <c r="Q10" s="252" t="s">
        <v>316</v>
      </c>
      <c r="R10" s="252" t="s">
        <v>317</v>
      </c>
      <c r="S10" s="252" t="s">
        <v>318</v>
      </c>
      <c r="T10" s="252" t="s">
        <v>319</v>
      </c>
    </row>
    <row r="11" spans="2:21" s="250" customFormat="1" x14ac:dyDescent="0.25">
      <c r="B11" s="253"/>
      <c r="D11" s="253"/>
      <c r="F11" s="251">
        <v>1</v>
      </c>
      <c r="G11" s="251">
        <v>2</v>
      </c>
      <c r="H11" s="251">
        <v>3</v>
      </c>
      <c r="I11" s="251">
        <v>2</v>
      </c>
      <c r="J11" s="251">
        <v>3</v>
      </c>
      <c r="K11" s="251">
        <v>4</v>
      </c>
      <c r="L11" s="251">
        <v>5</v>
      </c>
      <c r="M11" s="251">
        <v>6</v>
      </c>
      <c r="N11" s="251">
        <v>7</v>
      </c>
      <c r="O11" s="251">
        <v>8</v>
      </c>
      <c r="P11" s="251">
        <v>9</v>
      </c>
      <c r="Q11" s="251">
        <v>10</v>
      </c>
      <c r="R11" s="251">
        <v>11</v>
      </c>
      <c r="S11" s="251">
        <v>12</v>
      </c>
      <c r="T11" s="251">
        <v>13</v>
      </c>
    </row>
    <row r="12" spans="2:21" x14ac:dyDescent="0.2">
      <c r="B12" s="171"/>
      <c r="D12" s="171"/>
      <c r="F12" s="158">
        <v>1</v>
      </c>
      <c r="G12" s="249">
        <f>EOMONTH($D$9,F12-1)</f>
        <v>43677</v>
      </c>
      <c r="H12" s="158">
        <f>G12-D9</f>
        <v>30</v>
      </c>
      <c r="I12" s="254">
        <v>9.9900000000000003E-2</v>
      </c>
      <c r="J12" s="164">
        <f>IF(F12=$D$4,K12+N12,MIN($D$5,K12+N12))</f>
        <v>60000.000000000007</v>
      </c>
      <c r="K12" s="164">
        <f>L12+M12</f>
        <v>3961359.9586900515</v>
      </c>
      <c r="L12" s="164">
        <f>D3</f>
        <v>3961359.9586900515</v>
      </c>
      <c r="M12" s="164">
        <v>0</v>
      </c>
      <c r="N12" s="164">
        <f>L12*I12/365.25*H12</f>
        <v>32504.3006055964</v>
      </c>
      <c r="O12" s="164">
        <f t="shared" ref="O12:O75" si="0">MIN(J12-Q12-P12,L12)</f>
        <v>27495.699394403608</v>
      </c>
      <c r="P12" s="164">
        <f t="shared" ref="P12:P75" si="1">MIN(J12-Q12,N12)</f>
        <v>32504.3006055964</v>
      </c>
      <c r="Q12" s="164">
        <f t="shared" ref="Q12:Q75" si="2">MIN(J12,M12)</f>
        <v>0</v>
      </c>
      <c r="R12" s="164">
        <f>MAX(N12-P12,0)</f>
        <v>0</v>
      </c>
      <c r="S12" s="164">
        <f t="shared" ref="S12:S75" si="3">L12-O12</f>
        <v>3933864.259295648</v>
      </c>
      <c r="T12" s="164">
        <f t="shared" ref="T12:T75" si="4">M12+R12-Q12</f>
        <v>0</v>
      </c>
    </row>
    <row r="13" spans="2:21" x14ac:dyDescent="0.2">
      <c r="B13" s="171"/>
      <c r="D13" s="171"/>
      <c r="F13" s="158">
        <v>2</v>
      </c>
      <c r="G13" s="249">
        <f t="shared" ref="G13:G76" si="5">EOMONTH($D$9,F13-1)</f>
        <v>43708</v>
      </c>
      <c r="H13" s="158">
        <f>G13-G12</f>
        <v>31</v>
      </c>
      <c r="I13" s="254">
        <v>9.9900000000000003E-2</v>
      </c>
      <c r="J13" s="164">
        <f t="shared" ref="J13:J76" si="6">IF(F13=$D$4,K13+N13,MIN($D$5,K13+N13))</f>
        <v>60000.000000000007</v>
      </c>
      <c r="K13" s="164">
        <f t="shared" ref="K13:K76" si="7">L13+M13</f>
        <v>3933864.259295648</v>
      </c>
      <c r="L13" s="164">
        <f>S12</f>
        <v>3933864.259295648</v>
      </c>
      <c r="M13" s="164">
        <f>T12</f>
        <v>0</v>
      </c>
      <c r="N13" s="164">
        <f t="shared" ref="N13:N76" si="8">L13*I13/365.25*H13</f>
        <v>33354.645378816407</v>
      </c>
      <c r="O13" s="164">
        <f t="shared" si="0"/>
        <v>26645.3546211836</v>
      </c>
      <c r="P13" s="164">
        <f t="shared" si="1"/>
        <v>33354.645378816407</v>
      </c>
      <c r="Q13" s="164">
        <f t="shared" si="2"/>
        <v>0</v>
      </c>
      <c r="R13" s="164">
        <f>MAX(N13-P13,0)</f>
        <v>0</v>
      </c>
      <c r="S13" s="164">
        <f t="shared" si="3"/>
        <v>3907218.9046744644</v>
      </c>
      <c r="T13" s="164">
        <f t="shared" si="4"/>
        <v>0</v>
      </c>
    </row>
    <row r="14" spans="2:21" x14ac:dyDescent="0.2">
      <c r="B14" s="171"/>
      <c r="D14" s="171"/>
      <c r="F14" s="158">
        <v>3</v>
      </c>
      <c r="G14" s="249">
        <f t="shared" si="5"/>
        <v>43738</v>
      </c>
      <c r="H14" s="158">
        <f t="shared" ref="H14:H77" si="9">G14-G13</f>
        <v>30</v>
      </c>
      <c r="I14" s="254">
        <v>9.9900000000000003E-2</v>
      </c>
      <c r="J14" s="164">
        <f t="shared" si="6"/>
        <v>60000.000000000007</v>
      </c>
      <c r="K14" s="164">
        <f t="shared" si="7"/>
        <v>3907218.9046744644</v>
      </c>
      <c r="L14" s="164">
        <f t="shared" ref="L14:M77" si="10">S13</f>
        <v>3907218.9046744644</v>
      </c>
      <c r="M14" s="164">
        <f t="shared" si="10"/>
        <v>0</v>
      </c>
      <c r="N14" s="164">
        <f t="shared" si="8"/>
        <v>32060.054913920249</v>
      </c>
      <c r="O14" s="164">
        <f t="shared" si="0"/>
        <v>27939.945086079759</v>
      </c>
      <c r="P14" s="164">
        <f t="shared" si="1"/>
        <v>32060.054913920249</v>
      </c>
      <c r="Q14" s="164">
        <f t="shared" si="2"/>
        <v>0</v>
      </c>
      <c r="R14" s="164">
        <f t="shared" ref="R14:R77" si="11">MAX(N14-P14,0)</f>
        <v>0</v>
      </c>
      <c r="S14" s="164">
        <f t="shared" si="3"/>
        <v>3879278.9595883847</v>
      </c>
      <c r="T14" s="164">
        <f t="shared" si="4"/>
        <v>0</v>
      </c>
    </row>
    <row r="15" spans="2:21" x14ac:dyDescent="0.2">
      <c r="B15" s="171"/>
      <c r="D15" s="171"/>
      <c r="F15" s="158">
        <v>4</v>
      </c>
      <c r="G15" s="249">
        <f t="shared" si="5"/>
        <v>43769</v>
      </c>
      <c r="H15" s="158">
        <f t="shared" si="9"/>
        <v>31</v>
      </c>
      <c r="I15" s="254">
        <v>9.9900000000000003E-2</v>
      </c>
      <c r="J15" s="164">
        <f t="shared" si="6"/>
        <v>60000.000000000007</v>
      </c>
      <c r="K15" s="164">
        <f t="shared" si="7"/>
        <v>3879278.9595883847</v>
      </c>
      <c r="L15" s="164">
        <f t="shared" si="10"/>
        <v>3879278.9595883847</v>
      </c>
      <c r="M15" s="164">
        <f t="shared" si="10"/>
        <v>0</v>
      </c>
      <c r="N15" s="164">
        <f t="shared" si="8"/>
        <v>32891.824804789241</v>
      </c>
      <c r="O15" s="164">
        <f t="shared" si="0"/>
        <v>27108.175195210766</v>
      </c>
      <c r="P15" s="164">
        <f t="shared" si="1"/>
        <v>32891.824804789241</v>
      </c>
      <c r="Q15" s="164">
        <f t="shared" si="2"/>
        <v>0</v>
      </c>
      <c r="R15" s="164">
        <f t="shared" si="11"/>
        <v>0</v>
      </c>
      <c r="S15" s="164">
        <f t="shared" si="3"/>
        <v>3852170.7843931741</v>
      </c>
      <c r="T15" s="164">
        <f t="shared" si="4"/>
        <v>0</v>
      </c>
    </row>
    <row r="16" spans="2:21" x14ac:dyDescent="0.2">
      <c r="B16" s="171"/>
      <c r="D16" s="171"/>
      <c r="F16" s="158">
        <v>5</v>
      </c>
      <c r="G16" s="249">
        <f t="shared" si="5"/>
        <v>43799</v>
      </c>
      <c r="H16" s="158">
        <f t="shared" si="9"/>
        <v>30</v>
      </c>
      <c r="I16" s="254">
        <v>9.9900000000000003E-2</v>
      </c>
      <c r="J16" s="164">
        <f t="shared" si="6"/>
        <v>60000.000000000007</v>
      </c>
      <c r="K16" s="164">
        <f t="shared" si="7"/>
        <v>3852170.7843931741</v>
      </c>
      <c r="L16" s="164">
        <f t="shared" si="10"/>
        <v>3852170.7843931741</v>
      </c>
      <c r="M16" s="164">
        <f t="shared" si="10"/>
        <v>0</v>
      </c>
      <c r="N16" s="164">
        <f t="shared" si="8"/>
        <v>31608.366436211752</v>
      </c>
      <c r="O16" s="164">
        <f t="shared" si="0"/>
        <v>28391.633563788255</v>
      </c>
      <c r="P16" s="164">
        <f t="shared" si="1"/>
        <v>31608.366436211752</v>
      </c>
      <c r="Q16" s="164">
        <f t="shared" si="2"/>
        <v>0</v>
      </c>
      <c r="R16" s="164">
        <f t="shared" si="11"/>
        <v>0</v>
      </c>
      <c r="S16" s="164">
        <f t="shared" si="3"/>
        <v>3823779.150829386</v>
      </c>
      <c r="T16" s="164">
        <f t="shared" si="4"/>
        <v>0</v>
      </c>
    </row>
    <row r="17" spans="2:20" x14ac:dyDescent="0.2">
      <c r="B17" s="171"/>
      <c r="D17" s="171"/>
      <c r="F17" s="158">
        <v>6</v>
      </c>
      <c r="G17" s="249">
        <f t="shared" si="5"/>
        <v>43830</v>
      </c>
      <c r="H17" s="158">
        <f t="shared" si="9"/>
        <v>31</v>
      </c>
      <c r="I17" s="254">
        <v>9.9900000000000003E-2</v>
      </c>
      <c r="J17" s="164">
        <f t="shared" si="6"/>
        <v>60000.000000000007</v>
      </c>
      <c r="K17" s="164">
        <f t="shared" si="7"/>
        <v>3823779.150829386</v>
      </c>
      <c r="L17" s="164">
        <f t="shared" si="10"/>
        <v>3823779.150829386</v>
      </c>
      <c r="M17" s="164">
        <f t="shared" si="10"/>
        <v>0</v>
      </c>
      <c r="N17" s="164">
        <f t="shared" si="8"/>
        <v>32421.250245594863</v>
      </c>
      <c r="O17" s="164">
        <f t="shared" si="0"/>
        <v>27578.749754405144</v>
      </c>
      <c r="P17" s="164">
        <f t="shared" si="1"/>
        <v>32421.250245594863</v>
      </c>
      <c r="Q17" s="164">
        <f t="shared" si="2"/>
        <v>0</v>
      </c>
      <c r="R17" s="164">
        <f t="shared" si="11"/>
        <v>0</v>
      </c>
      <c r="S17" s="164">
        <f t="shared" si="3"/>
        <v>3796200.4010749809</v>
      </c>
      <c r="T17" s="164">
        <f t="shared" si="4"/>
        <v>0</v>
      </c>
    </row>
    <row r="18" spans="2:20" x14ac:dyDescent="0.2">
      <c r="B18" s="171"/>
      <c r="D18" s="171"/>
      <c r="F18" s="158">
        <v>7</v>
      </c>
      <c r="G18" s="249">
        <f t="shared" si="5"/>
        <v>43861</v>
      </c>
      <c r="H18" s="158">
        <f t="shared" si="9"/>
        <v>31</v>
      </c>
      <c r="I18" s="254">
        <v>9.9900000000000003E-2</v>
      </c>
      <c r="J18" s="164">
        <f t="shared" si="6"/>
        <v>60000.000000000007</v>
      </c>
      <c r="K18" s="164">
        <f t="shared" si="7"/>
        <v>3796200.4010749809</v>
      </c>
      <c r="L18" s="164">
        <f>S17</f>
        <v>3796200.4010749809</v>
      </c>
      <c r="M18" s="164">
        <f>T17</f>
        <v>0</v>
      </c>
      <c r="N18" s="164">
        <f t="shared" si="8"/>
        <v>32187.414160408236</v>
      </c>
      <c r="O18" s="164">
        <f t="shared" si="0"/>
        <v>27812.585839591771</v>
      </c>
      <c r="P18" s="164">
        <f t="shared" si="1"/>
        <v>32187.414160408236</v>
      </c>
      <c r="Q18" s="164">
        <f t="shared" si="2"/>
        <v>0</v>
      </c>
      <c r="R18" s="164">
        <f>MAX(N18-P18,0)</f>
        <v>0</v>
      </c>
      <c r="S18" s="164">
        <f t="shared" si="3"/>
        <v>3768387.8152353889</v>
      </c>
      <c r="T18" s="164">
        <f t="shared" si="4"/>
        <v>0</v>
      </c>
    </row>
    <row r="19" spans="2:20" x14ac:dyDescent="0.2">
      <c r="B19" s="171"/>
      <c r="D19" s="171"/>
      <c r="F19" s="158">
        <v>8</v>
      </c>
      <c r="G19" s="249">
        <f t="shared" si="5"/>
        <v>43890</v>
      </c>
      <c r="H19" s="158">
        <f t="shared" si="9"/>
        <v>29</v>
      </c>
      <c r="I19" s="254">
        <v>9.9900000000000003E-2</v>
      </c>
      <c r="J19" s="164">
        <f t="shared" si="6"/>
        <v>60000.000000000007</v>
      </c>
      <c r="K19" s="164">
        <f t="shared" si="7"/>
        <v>3768387.8152353889</v>
      </c>
      <c r="L19" s="164">
        <f>S18</f>
        <v>3768387.8152353889</v>
      </c>
      <c r="M19" s="164">
        <f>T18</f>
        <v>0</v>
      </c>
      <c r="N19" s="164">
        <f t="shared" si="8"/>
        <v>29890.202161583693</v>
      </c>
      <c r="O19" s="164">
        <f t="shared" si="0"/>
        <v>30109.797838416314</v>
      </c>
      <c r="P19" s="164">
        <f t="shared" si="1"/>
        <v>29890.202161583693</v>
      </c>
      <c r="Q19" s="164">
        <f t="shared" si="2"/>
        <v>0</v>
      </c>
      <c r="R19" s="164">
        <f t="shared" si="11"/>
        <v>0</v>
      </c>
      <c r="S19" s="164">
        <f t="shared" si="3"/>
        <v>3738278.0173969725</v>
      </c>
      <c r="T19" s="164">
        <f t="shared" si="4"/>
        <v>0</v>
      </c>
    </row>
    <row r="20" spans="2:20" x14ac:dyDescent="0.2">
      <c r="B20" s="171"/>
      <c r="D20" s="171"/>
      <c r="F20" s="158">
        <v>9</v>
      </c>
      <c r="G20" s="249">
        <f t="shared" si="5"/>
        <v>43921</v>
      </c>
      <c r="H20" s="158">
        <f t="shared" si="9"/>
        <v>31</v>
      </c>
      <c r="I20" s="254">
        <v>9.9900000000000003E-2</v>
      </c>
      <c r="J20" s="164">
        <f t="shared" si="6"/>
        <v>60000.000000000007</v>
      </c>
      <c r="K20" s="164">
        <f t="shared" si="7"/>
        <v>3738278.0173969725</v>
      </c>
      <c r="L20" s="164">
        <f t="shared" si="10"/>
        <v>3738278.0173969725</v>
      </c>
      <c r="M20" s="164">
        <f t="shared" si="10"/>
        <v>0</v>
      </c>
      <c r="N20" s="164">
        <f t="shared" si="8"/>
        <v>31696.298951613098</v>
      </c>
      <c r="O20" s="164">
        <f t="shared" si="0"/>
        <v>28303.701048386909</v>
      </c>
      <c r="P20" s="164">
        <f t="shared" si="1"/>
        <v>31696.298951613098</v>
      </c>
      <c r="Q20" s="164">
        <f t="shared" si="2"/>
        <v>0</v>
      </c>
      <c r="R20" s="164">
        <f t="shared" si="11"/>
        <v>0</v>
      </c>
      <c r="S20" s="164">
        <f t="shared" si="3"/>
        <v>3709974.3163485858</v>
      </c>
      <c r="T20" s="164">
        <f t="shared" si="4"/>
        <v>0</v>
      </c>
    </row>
    <row r="21" spans="2:20" x14ac:dyDescent="0.2">
      <c r="B21" s="171"/>
      <c r="D21" s="171"/>
      <c r="F21" s="158">
        <v>10</v>
      </c>
      <c r="G21" s="249">
        <f t="shared" si="5"/>
        <v>43951</v>
      </c>
      <c r="H21" s="158">
        <f t="shared" si="9"/>
        <v>30</v>
      </c>
      <c r="I21" s="254">
        <v>9.9900000000000003E-2</v>
      </c>
      <c r="J21" s="164">
        <f t="shared" si="6"/>
        <v>60000.000000000007</v>
      </c>
      <c r="K21" s="164">
        <f t="shared" si="7"/>
        <v>3709974.3163485858</v>
      </c>
      <c r="L21" s="164">
        <f t="shared" si="10"/>
        <v>3709974.3163485858</v>
      </c>
      <c r="M21" s="164">
        <f t="shared" si="10"/>
        <v>0</v>
      </c>
      <c r="N21" s="164">
        <f t="shared" si="8"/>
        <v>30441.596238457802</v>
      </c>
      <c r="O21" s="164">
        <f t="shared" si="0"/>
        <v>29558.403761542206</v>
      </c>
      <c r="P21" s="164">
        <f t="shared" si="1"/>
        <v>30441.596238457802</v>
      </c>
      <c r="Q21" s="164">
        <f t="shared" si="2"/>
        <v>0</v>
      </c>
      <c r="R21" s="164">
        <f t="shared" si="11"/>
        <v>0</v>
      </c>
      <c r="S21" s="164">
        <f t="shared" si="3"/>
        <v>3680415.9125870434</v>
      </c>
      <c r="T21" s="164">
        <f t="shared" si="4"/>
        <v>0</v>
      </c>
    </row>
    <row r="22" spans="2:20" x14ac:dyDescent="0.2">
      <c r="B22" s="171"/>
      <c r="D22" s="171"/>
      <c r="F22" s="158">
        <v>11</v>
      </c>
      <c r="G22" s="249">
        <f t="shared" si="5"/>
        <v>43982</v>
      </c>
      <c r="H22" s="158">
        <f t="shared" si="9"/>
        <v>31</v>
      </c>
      <c r="I22" s="254">
        <v>9.9900000000000003E-2</v>
      </c>
      <c r="J22" s="164">
        <f t="shared" si="6"/>
        <v>60000.000000000007</v>
      </c>
      <c r="K22" s="164">
        <f t="shared" si="7"/>
        <v>3680415.9125870434</v>
      </c>
      <c r="L22" s="164">
        <f t="shared" si="10"/>
        <v>3680415.9125870434</v>
      </c>
      <c r="M22" s="164">
        <f t="shared" si="10"/>
        <v>0</v>
      </c>
      <c r="N22" s="164">
        <f t="shared" si="8"/>
        <v>31205.694838304764</v>
      </c>
      <c r="O22" s="164">
        <f t="shared" si="0"/>
        <v>28794.305161695243</v>
      </c>
      <c r="P22" s="164">
        <f t="shared" si="1"/>
        <v>31205.694838304764</v>
      </c>
      <c r="Q22" s="164">
        <f t="shared" si="2"/>
        <v>0</v>
      </c>
      <c r="R22" s="164">
        <f t="shared" si="11"/>
        <v>0</v>
      </c>
      <c r="S22" s="164">
        <f t="shared" si="3"/>
        <v>3651621.6074253479</v>
      </c>
      <c r="T22" s="164">
        <f t="shared" si="4"/>
        <v>0</v>
      </c>
    </row>
    <row r="23" spans="2:20" x14ac:dyDescent="0.2">
      <c r="B23" s="171"/>
      <c r="D23" s="171"/>
      <c r="F23" s="158">
        <v>12</v>
      </c>
      <c r="G23" s="249">
        <f t="shared" si="5"/>
        <v>44012</v>
      </c>
      <c r="H23" s="158">
        <f t="shared" si="9"/>
        <v>30</v>
      </c>
      <c r="I23" s="254">
        <v>9.9900000000000003E-2</v>
      </c>
      <c r="J23" s="164">
        <f t="shared" si="6"/>
        <v>60000.000000000007</v>
      </c>
      <c r="K23" s="164">
        <f t="shared" si="7"/>
        <v>3651621.6074253479</v>
      </c>
      <c r="L23" s="164">
        <f t="shared" si="10"/>
        <v>3651621.6074253479</v>
      </c>
      <c r="M23" s="164">
        <f t="shared" si="10"/>
        <v>0</v>
      </c>
      <c r="N23" s="164">
        <f t="shared" si="8"/>
        <v>29962.792491317639</v>
      </c>
      <c r="O23" s="164">
        <f t="shared" si="0"/>
        <v>30037.207508682368</v>
      </c>
      <c r="P23" s="164">
        <f t="shared" si="1"/>
        <v>29962.792491317639</v>
      </c>
      <c r="Q23" s="164">
        <f t="shared" si="2"/>
        <v>0</v>
      </c>
      <c r="R23" s="164">
        <f t="shared" si="11"/>
        <v>0</v>
      </c>
      <c r="S23" s="164">
        <f t="shared" si="3"/>
        <v>3621584.3999166656</v>
      </c>
      <c r="T23" s="164">
        <f t="shared" si="4"/>
        <v>0</v>
      </c>
    </row>
    <row r="24" spans="2:20" x14ac:dyDescent="0.2">
      <c r="B24" s="171"/>
      <c r="D24" s="171"/>
      <c r="F24" s="158">
        <v>13</v>
      </c>
      <c r="G24" s="249">
        <f t="shared" si="5"/>
        <v>44043</v>
      </c>
      <c r="H24" s="158">
        <f t="shared" si="9"/>
        <v>31</v>
      </c>
      <c r="I24" s="254">
        <v>9.9900000000000003E-2</v>
      </c>
      <c r="J24" s="164">
        <f t="shared" si="6"/>
        <v>60000.000000000007</v>
      </c>
      <c r="K24" s="164">
        <f t="shared" si="7"/>
        <v>3621584.3999166656</v>
      </c>
      <c r="L24" s="164">
        <f>S23</f>
        <v>3621584.3999166656</v>
      </c>
      <c r="M24" s="164">
        <f>T23</f>
        <v>0</v>
      </c>
      <c r="N24" s="164">
        <f t="shared" si="8"/>
        <v>30706.871261059332</v>
      </c>
      <c r="O24" s="164">
        <f t="shared" si="0"/>
        <v>29293.128738940675</v>
      </c>
      <c r="P24" s="164">
        <f t="shared" si="1"/>
        <v>30706.871261059332</v>
      </c>
      <c r="Q24" s="164">
        <f t="shared" si="2"/>
        <v>0</v>
      </c>
      <c r="R24" s="164">
        <f t="shared" si="11"/>
        <v>0</v>
      </c>
      <c r="S24" s="164">
        <f t="shared" si="3"/>
        <v>3592291.2711777249</v>
      </c>
      <c r="T24" s="164">
        <f t="shared" si="4"/>
        <v>0</v>
      </c>
    </row>
    <row r="25" spans="2:20" x14ac:dyDescent="0.2">
      <c r="B25" s="171"/>
      <c r="D25" s="171"/>
      <c r="F25" s="158">
        <v>14</v>
      </c>
      <c r="G25" s="249">
        <f t="shared" si="5"/>
        <v>44074</v>
      </c>
      <c r="H25" s="158">
        <f t="shared" si="9"/>
        <v>31</v>
      </c>
      <c r="I25" s="254">
        <v>9.9900000000000003E-2</v>
      </c>
      <c r="J25" s="164">
        <f t="shared" si="6"/>
        <v>60000.000000000007</v>
      </c>
      <c r="K25" s="164">
        <f t="shared" si="7"/>
        <v>3592291.2711777249</v>
      </c>
      <c r="L25" s="164">
        <f t="shared" si="10"/>
        <v>3592291.2711777249</v>
      </c>
      <c r="M25" s="164">
        <f t="shared" si="10"/>
        <v>0</v>
      </c>
      <c r="N25" s="164">
        <f t="shared" si="8"/>
        <v>30458.499213443662</v>
      </c>
      <c r="O25" s="164">
        <f t="shared" si="0"/>
        <v>29541.500786556346</v>
      </c>
      <c r="P25" s="164">
        <f t="shared" si="1"/>
        <v>30458.499213443662</v>
      </c>
      <c r="Q25" s="164">
        <f t="shared" si="2"/>
        <v>0</v>
      </c>
      <c r="R25" s="164">
        <f t="shared" si="11"/>
        <v>0</v>
      </c>
      <c r="S25" s="164">
        <f t="shared" si="3"/>
        <v>3562749.7703911685</v>
      </c>
      <c r="T25" s="164">
        <f t="shared" si="4"/>
        <v>0</v>
      </c>
    </row>
    <row r="26" spans="2:20" x14ac:dyDescent="0.2">
      <c r="B26" s="171"/>
      <c r="D26" s="171"/>
      <c r="F26" s="158">
        <v>15</v>
      </c>
      <c r="G26" s="249">
        <f t="shared" si="5"/>
        <v>44104</v>
      </c>
      <c r="H26" s="158">
        <f t="shared" si="9"/>
        <v>30</v>
      </c>
      <c r="I26" s="254">
        <v>9.9900000000000003E-2</v>
      </c>
      <c r="J26" s="164">
        <f t="shared" si="6"/>
        <v>60000.000000000007</v>
      </c>
      <c r="K26" s="164">
        <f t="shared" si="7"/>
        <v>3562749.7703911685</v>
      </c>
      <c r="L26" s="164">
        <f t="shared" si="10"/>
        <v>3562749.7703911685</v>
      </c>
      <c r="M26" s="164">
        <f t="shared" si="10"/>
        <v>0</v>
      </c>
      <c r="N26" s="164">
        <f t="shared" si="8"/>
        <v>29233.568957870863</v>
      </c>
      <c r="O26" s="164">
        <f t="shared" si="0"/>
        <v>30766.431042129145</v>
      </c>
      <c r="P26" s="164">
        <f t="shared" si="1"/>
        <v>29233.568957870863</v>
      </c>
      <c r="Q26" s="164">
        <f t="shared" si="2"/>
        <v>0</v>
      </c>
      <c r="R26" s="164">
        <f t="shared" si="11"/>
        <v>0</v>
      </c>
      <c r="S26" s="164">
        <f t="shared" si="3"/>
        <v>3531983.3393490394</v>
      </c>
      <c r="T26" s="164">
        <f t="shared" si="4"/>
        <v>0</v>
      </c>
    </row>
    <row r="27" spans="2:20" x14ac:dyDescent="0.2">
      <c r="B27" s="171"/>
      <c r="D27" s="171"/>
      <c r="F27" s="158">
        <v>16</v>
      </c>
      <c r="G27" s="249">
        <f t="shared" si="5"/>
        <v>44135</v>
      </c>
      <c r="H27" s="158">
        <f t="shared" si="9"/>
        <v>31</v>
      </c>
      <c r="I27" s="254">
        <v>9.9900000000000003E-2</v>
      </c>
      <c r="J27" s="164">
        <f t="shared" si="6"/>
        <v>60000.000000000007</v>
      </c>
      <c r="K27" s="164">
        <f t="shared" si="7"/>
        <v>3531983.3393490394</v>
      </c>
      <c r="L27" s="164">
        <f t="shared" si="10"/>
        <v>3531983.3393490394</v>
      </c>
      <c r="M27" s="164">
        <f t="shared" si="10"/>
        <v>0</v>
      </c>
      <c r="N27" s="164">
        <f t="shared" si="8"/>
        <v>29947.157299466227</v>
      </c>
      <c r="O27" s="164">
        <f t="shared" si="0"/>
        <v>30052.84270053378</v>
      </c>
      <c r="P27" s="164">
        <f t="shared" si="1"/>
        <v>29947.157299466227</v>
      </c>
      <c r="Q27" s="164">
        <f t="shared" si="2"/>
        <v>0</v>
      </c>
      <c r="R27" s="164">
        <f t="shared" si="11"/>
        <v>0</v>
      </c>
      <c r="S27" s="164">
        <f t="shared" si="3"/>
        <v>3501930.4966485058</v>
      </c>
      <c r="T27" s="164">
        <f t="shared" si="4"/>
        <v>0</v>
      </c>
    </row>
    <row r="28" spans="2:20" x14ac:dyDescent="0.2">
      <c r="B28" s="171"/>
      <c r="D28" s="171"/>
      <c r="F28" s="158">
        <v>17</v>
      </c>
      <c r="G28" s="249">
        <f t="shared" si="5"/>
        <v>44165</v>
      </c>
      <c r="H28" s="158">
        <f t="shared" si="9"/>
        <v>30</v>
      </c>
      <c r="I28" s="254">
        <v>9.9900000000000003E-2</v>
      </c>
      <c r="J28" s="164">
        <f t="shared" si="6"/>
        <v>60000.000000000007</v>
      </c>
      <c r="K28" s="164">
        <f t="shared" si="7"/>
        <v>3501930.4966485058</v>
      </c>
      <c r="L28" s="164">
        <f t="shared" si="10"/>
        <v>3501930.4966485058</v>
      </c>
      <c r="M28" s="164">
        <f t="shared" si="10"/>
        <v>0</v>
      </c>
      <c r="N28" s="164">
        <f t="shared" si="8"/>
        <v>28734.526210692875</v>
      </c>
      <c r="O28" s="164">
        <f t="shared" si="0"/>
        <v>31265.473789307132</v>
      </c>
      <c r="P28" s="164">
        <f t="shared" si="1"/>
        <v>28734.526210692875</v>
      </c>
      <c r="Q28" s="164">
        <f t="shared" si="2"/>
        <v>0</v>
      </c>
      <c r="R28" s="164">
        <f t="shared" si="11"/>
        <v>0</v>
      </c>
      <c r="S28" s="164">
        <f t="shared" si="3"/>
        <v>3470665.0228591985</v>
      </c>
      <c r="T28" s="164">
        <f t="shared" si="4"/>
        <v>0</v>
      </c>
    </row>
    <row r="29" spans="2:20" x14ac:dyDescent="0.2">
      <c r="B29" s="171"/>
      <c r="D29" s="171"/>
      <c r="F29" s="158">
        <v>18</v>
      </c>
      <c r="G29" s="249">
        <f t="shared" si="5"/>
        <v>44196</v>
      </c>
      <c r="H29" s="158">
        <f t="shared" si="9"/>
        <v>31</v>
      </c>
      <c r="I29" s="254">
        <v>9.9900000000000003E-2</v>
      </c>
      <c r="J29" s="164">
        <f t="shared" si="6"/>
        <v>60000.000000000007</v>
      </c>
      <c r="K29" s="164">
        <f t="shared" si="7"/>
        <v>3470665.0228591985</v>
      </c>
      <c r="L29" s="164">
        <f t="shared" si="10"/>
        <v>3470665.0228591985</v>
      </c>
      <c r="M29" s="164">
        <f t="shared" si="10"/>
        <v>0</v>
      </c>
      <c r="N29" s="164">
        <f t="shared" si="8"/>
        <v>29427.248485400829</v>
      </c>
      <c r="O29" s="164">
        <f t="shared" si="0"/>
        <v>30572.751514599178</v>
      </c>
      <c r="P29" s="164">
        <f t="shared" si="1"/>
        <v>29427.248485400829</v>
      </c>
      <c r="Q29" s="164">
        <f t="shared" si="2"/>
        <v>0</v>
      </c>
      <c r="R29" s="164">
        <f t="shared" si="11"/>
        <v>0</v>
      </c>
      <c r="S29" s="164">
        <f t="shared" si="3"/>
        <v>3440092.2713445993</v>
      </c>
      <c r="T29" s="164">
        <f t="shared" si="4"/>
        <v>0</v>
      </c>
    </row>
    <row r="30" spans="2:20" x14ac:dyDescent="0.2">
      <c r="B30" s="171"/>
      <c r="D30" s="171"/>
      <c r="F30" s="158">
        <v>19</v>
      </c>
      <c r="G30" s="249">
        <f t="shared" si="5"/>
        <v>44227</v>
      </c>
      <c r="H30" s="158">
        <f t="shared" si="9"/>
        <v>31</v>
      </c>
      <c r="I30" s="254">
        <v>9.9900000000000003E-2</v>
      </c>
      <c r="J30" s="164">
        <f t="shared" si="6"/>
        <v>60000.000000000007</v>
      </c>
      <c r="K30" s="164">
        <f t="shared" si="7"/>
        <v>3440092.2713445993</v>
      </c>
      <c r="L30" s="164">
        <f t="shared" si="10"/>
        <v>3440092.2713445993</v>
      </c>
      <c r="M30" s="164">
        <f t="shared" si="10"/>
        <v>0</v>
      </c>
      <c r="N30" s="164">
        <f t="shared" si="8"/>
        <v>29168.026708082383</v>
      </c>
      <c r="O30" s="164">
        <f t="shared" si="0"/>
        <v>30831.973291917624</v>
      </c>
      <c r="P30" s="164">
        <f t="shared" si="1"/>
        <v>29168.026708082383</v>
      </c>
      <c r="Q30" s="164">
        <f t="shared" si="2"/>
        <v>0</v>
      </c>
      <c r="R30" s="164">
        <f t="shared" si="11"/>
        <v>0</v>
      </c>
      <c r="S30" s="164">
        <f t="shared" si="3"/>
        <v>3409260.2980526816</v>
      </c>
      <c r="T30" s="164">
        <f t="shared" si="4"/>
        <v>0</v>
      </c>
    </row>
    <row r="31" spans="2:20" x14ac:dyDescent="0.2">
      <c r="B31" s="171"/>
      <c r="D31" s="171"/>
      <c r="F31" s="158">
        <v>20</v>
      </c>
      <c r="G31" s="249">
        <f t="shared" si="5"/>
        <v>44255</v>
      </c>
      <c r="H31" s="158">
        <f t="shared" si="9"/>
        <v>28</v>
      </c>
      <c r="I31" s="254">
        <v>9.9900000000000003E-2</v>
      </c>
      <c r="J31" s="164">
        <f t="shared" si="6"/>
        <v>60000.000000000007</v>
      </c>
      <c r="K31" s="164">
        <f t="shared" si="7"/>
        <v>3409260.2980526816</v>
      </c>
      <c r="L31" s="164">
        <f t="shared" si="10"/>
        <v>3409260.2980526816</v>
      </c>
      <c r="M31" s="164">
        <f t="shared" si="10"/>
        <v>0</v>
      </c>
      <c r="N31" s="164">
        <f t="shared" si="8"/>
        <v>26109.193444799348</v>
      </c>
      <c r="O31" s="164">
        <f t="shared" si="0"/>
        <v>33890.806555200659</v>
      </c>
      <c r="P31" s="164">
        <f t="shared" si="1"/>
        <v>26109.193444799348</v>
      </c>
      <c r="Q31" s="164">
        <f t="shared" si="2"/>
        <v>0</v>
      </c>
      <c r="R31" s="164">
        <f t="shared" si="11"/>
        <v>0</v>
      </c>
      <c r="S31" s="164">
        <f t="shared" si="3"/>
        <v>3375369.4914974808</v>
      </c>
      <c r="T31" s="164">
        <f t="shared" si="4"/>
        <v>0</v>
      </c>
    </row>
    <row r="32" spans="2:20" x14ac:dyDescent="0.2">
      <c r="B32" s="171"/>
      <c r="D32" s="171"/>
      <c r="F32" s="158">
        <v>21</v>
      </c>
      <c r="G32" s="249">
        <f t="shared" si="5"/>
        <v>44286</v>
      </c>
      <c r="H32" s="158">
        <f t="shared" si="9"/>
        <v>31</v>
      </c>
      <c r="I32" s="254">
        <v>9.9900000000000003E-2</v>
      </c>
      <c r="J32" s="164">
        <f t="shared" si="6"/>
        <v>60000.000000000007</v>
      </c>
      <c r="K32" s="164">
        <f t="shared" si="7"/>
        <v>3375369.4914974808</v>
      </c>
      <c r="L32" s="164">
        <f t="shared" si="10"/>
        <v>3375369.4914974808</v>
      </c>
      <c r="M32" s="164">
        <f t="shared" si="10"/>
        <v>0</v>
      </c>
      <c r="N32" s="164">
        <f t="shared" si="8"/>
        <v>28619.251959530589</v>
      </c>
      <c r="O32" s="164">
        <f t="shared" si="0"/>
        <v>31380.748040469418</v>
      </c>
      <c r="P32" s="164">
        <f t="shared" si="1"/>
        <v>28619.251959530589</v>
      </c>
      <c r="Q32" s="164">
        <f t="shared" si="2"/>
        <v>0</v>
      </c>
      <c r="R32" s="164">
        <f t="shared" si="11"/>
        <v>0</v>
      </c>
      <c r="S32" s="164">
        <f t="shared" si="3"/>
        <v>3343988.7434570114</v>
      </c>
      <c r="T32" s="164">
        <f t="shared" si="4"/>
        <v>0</v>
      </c>
    </row>
    <row r="33" spans="2:20" x14ac:dyDescent="0.2">
      <c r="B33" s="171"/>
      <c r="D33" s="171"/>
      <c r="F33" s="158">
        <v>22</v>
      </c>
      <c r="G33" s="249">
        <f t="shared" si="5"/>
        <v>44316</v>
      </c>
      <c r="H33" s="158">
        <f t="shared" si="9"/>
        <v>30</v>
      </c>
      <c r="I33" s="254">
        <v>9.9900000000000003E-2</v>
      </c>
      <c r="J33" s="164">
        <f t="shared" si="6"/>
        <v>60000.000000000007</v>
      </c>
      <c r="K33" s="164">
        <f t="shared" si="7"/>
        <v>3343988.7434570114</v>
      </c>
      <c r="L33" s="164">
        <f t="shared" si="10"/>
        <v>3343988.7434570114</v>
      </c>
      <c r="M33" s="164">
        <f t="shared" si="10"/>
        <v>0</v>
      </c>
      <c r="N33" s="164">
        <f t="shared" si="8"/>
        <v>27438.560613663689</v>
      </c>
      <c r="O33" s="164">
        <f t="shared" si="0"/>
        <v>32561.439386336318</v>
      </c>
      <c r="P33" s="164">
        <f t="shared" si="1"/>
        <v>27438.560613663689</v>
      </c>
      <c r="Q33" s="164">
        <f t="shared" si="2"/>
        <v>0</v>
      </c>
      <c r="R33" s="164">
        <f t="shared" si="11"/>
        <v>0</v>
      </c>
      <c r="S33" s="164">
        <f t="shared" si="3"/>
        <v>3311427.3040706753</v>
      </c>
      <c r="T33" s="164">
        <f t="shared" si="4"/>
        <v>0</v>
      </c>
    </row>
    <row r="34" spans="2:20" x14ac:dyDescent="0.2">
      <c r="B34" s="171"/>
      <c r="D34" s="171"/>
      <c r="F34" s="158">
        <v>23</v>
      </c>
      <c r="G34" s="249">
        <f t="shared" si="5"/>
        <v>44347</v>
      </c>
      <c r="H34" s="158">
        <f t="shared" si="9"/>
        <v>31</v>
      </c>
      <c r="I34" s="254">
        <v>9.9900000000000003E-2</v>
      </c>
      <c r="J34" s="164">
        <f t="shared" si="6"/>
        <v>60000.000000000007</v>
      </c>
      <c r="K34" s="164">
        <f t="shared" si="7"/>
        <v>3311427.3040706753</v>
      </c>
      <c r="L34" s="164">
        <f t="shared" si="10"/>
        <v>3311427.3040706753</v>
      </c>
      <c r="M34" s="164">
        <f t="shared" si="10"/>
        <v>0</v>
      </c>
      <c r="N34" s="164">
        <f t="shared" si="8"/>
        <v>28077.095737101914</v>
      </c>
      <c r="O34" s="164">
        <f t="shared" si="0"/>
        <v>31922.904262898093</v>
      </c>
      <c r="P34" s="164">
        <f t="shared" si="1"/>
        <v>28077.095737101914</v>
      </c>
      <c r="Q34" s="164">
        <f t="shared" si="2"/>
        <v>0</v>
      </c>
      <c r="R34" s="164">
        <f t="shared" si="11"/>
        <v>0</v>
      </c>
      <c r="S34" s="164">
        <f t="shared" si="3"/>
        <v>3279504.3998077773</v>
      </c>
      <c r="T34" s="164">
        <f t="shared" si="4"/>
        <v>0</v>
      </c>
    </row>
    <row r="35" spans="2:20" x14ac:dyDescent="0.2">
      <c r="B35" s="171"/>
      <c r="D35" s="171"/>
      <c r="F35" s="158">
        <v>24</v>
      </c>
      <c r="G35" s="249">
        <f t="shared" si="5"/>
        <v>44377</v>
      </c>
      <c r="H35" s="158">
        <f t="shared" si="9"/>
        <v>30</v>
      </c>
      <c r="I35" s="254">
        <v>9.9900000000000003E-2</v>
      </c>
      <c r="J35" s="164">
        <f t="shared" si="6"/>
        <v>60000.000000000007</v>
      </c>
      <c r="K35" s="164">
        <f t="shared" si="7"/>
        <v>3279504.3998077773</v>
      </c>
      <c r="L35" s="164">
        <f t="shared" si="10"/>
        <v>3279504.3998077773</v>
      </c>
      <c r="M35" s="164">
        <f t="shared" si="10"/>
        <v>0</v>
      </c>
      <c r="N35" s="164">
        <f t="shared" si="8"/>
        <v>26909.444726143491</v>
      </c>
      <c r="O35" s="164">
        <f t="shared" si="0"/>
        <v>33090.555273856517</v>
      </c>
      <c r="P35" s="164">
        <f t="shared" si="1"/>
        <v>26909.444726143491</v>
      </c>
      <c r="Q35" s="164">
        <f t="shared" si="2"/>
        <v>0</v>
      </c>
      <c r="R35" s="164">
        <f t="shared" si="11"/>
        <v>0</v>
      </c>
      <c r="S35" s="164">
        <f t="shared" si="3"/>
        <v>3246413.8445339208</v>
      </c>
      <c r="T35" s="164">
        <f t="shared" si="4"/>
        <v>0</v>
      </c>
    </row>
    <row r="36" spans="2:20" x14ac:dyDescent="0.2">
      <c r="B36" s="171"/>
      <c r="D36" s="171"/>
      <c r="F36" s="158">
        <v>25</v>
      </c>
      <c r="G36" s="249">
        <f t="shared" si="5"/>
        <v>44408</v>
      </c>
      <c r="H36" s="158">
        <f t="shared" si="9"/>
        <v>31</v>
      </c>
      <c r="I36" s="254">
        <v>9.9900000000000003E-2</v>
      </c>
      <c r="J36" s="164">
        <f t="shared" si="6"/>
        <v>60000.000000000007</v>
      </c>
      <c r="K36" s="164">
        <f t="shared" si="7"/>
        <v>3246413.8445339208</v>
      </c>
      <c r="L36" s="164">
        <f t="shared" si="10"/>
        <v>3246413.8445339208</v>
      </c>
      <c r="M36" s="164">
        <f t="shared" si="10"/>
        <v>0</v>
      </c>
      <c r="N36" s="164">
        <f t="shared" si="8"/>
        <v>27525.856359033809</v>
      </c>
      <c r="O36" s="164">
        <f t="shared" si="0"/>
        <v>32474.143640966198</v>
      </c>
      <c r="P36" s="164">
        <f t="shared" si="1"/>
        <v>27525.856359033809</v>
      </c>
      <c r="Q36" s="164">
        <f t="shared" si="2"/>
        <v>0</v>
      </c>
      <c r="R36" s="164">
        <f t="shared" si="11"/>
        <v>0</v>
      </c>
      <c r="S36" s="164">
        <f t="shared" si="3"/>
        <v>3213939.7008929546</v>
      </c>
      <c r="T36" s="164">
        <f t="shared" si="4"/>
        <v>0</v>
      </c>
    </row>
    <row r="37" spans="2:20" x14ac:dyDescent="0.2">
      <c r="B37" s="171"/>
      <c r="D37" s="171"/>
      <c r="F37" s="158">
        <v>26</v>
      </c>
      <c r="G37" s="249">
        <f t="shared" si="5"/>
        <v>44439</v>
      </c>
      <c r="H37" s="158">
        <f t="shared" si="9"/>
        <v>31</v>
      </c>
      <c r="I37" s="254">
        <v>9.9900000000000003E-2</v>
      </c>
      <c r="J37" s="164">
        <f t="shared" si="6"/>
        <v>60000.000000000007</v>
      </c>
      <c r="K37" s="164">
        <f t="shared" si="7"/>
        <v>3213939.7008929546</v>
      </c>
      <c r="L37" s="164">
        <f t="shared" si="10"/>
        <v>3213939.7008929546</v>
      </c>
      <c r="M37" s="164">
        <f t="shared" si="10"/>
        <v>0</v>
      </c>
      <c r="N37" s="164">
        <f t="shared" si="8"/>
        <v>27250.512962889501</v>
      </c>
      <c r="O37" s="164">
        <f t="shared" si="0"/>
        <v>32749.487037110506</v>
      </c>
      <c r="P37" s="164">
        <f t="shared" si="1"/>
        <v>27250.512962889501</v>
      </c>
      <c r="Q37" s="164">
        <f t="shared" si="2"/>
        <v>0</v>
      </c>
      <c r="R37" s="164">
        <f t="shared" si="11"/>
        <v>0</v>
      </c>
      <c r="S37" s="164">
        <f t="shared" si="3"/>
        <v>3181190.213855844</v>
      </c>
      <c r="T37" s="164">
        <f t="shared" si="4"/>
        <v>0</v>
      </c>
    </row>
    <row r="38" spans="2:20" x14ac:dyDescent="0.2">
      <c r="B38" s="171"/>
      <c r="D38" s="171"/>
      <c r="F38" s="158">
        <v>27</v>
      </c>
      <c r="G38" s="249">
        <f t="shared" si="5"/>
        <v>44469</v>
      </c>
      <c r="H38" s="158">
        <f t="shared" si="9"/>
        <v>30</v>
      </c>
      <c r="I38" s="254">
        <v>9.9900000000000003E-2</v>
      </c>
      <c r="J38" s="164">
        <f t="shared" si="6"/>
        <v>60000.000000000007</v>
      </c>
      <c r="K38" s="164">
        <f t="shared" si="7"/>
        <v>3181190.213855844</v>
      </c>
      <c r="L38" s="164">
        <f t="shared" si="10"/>
        <v>3181190.213855844</v>
      </c>
      <c r="M38" s="164">
        <f t="shared" si="10"/>
        <v>0</v>
      </c>
      <c r="N38" s="164">
        <f t="shared" si="8"/>
        <v>26102.743520673415</v>
      </c>
      <c r="O38" s="164">
        <f t="shared" si="0"/>
        <v>33897.256479326592</v>
      </c>
      <c r="P38" s="164">
        <f t="shared" si="1"/>
        <v>26102.743520673415</v>
      </c>
      <c r="Q38" s="164">
        <f t="shared" si="2"/>
        <v>0</v>
      </c>
      <c r="R38" s="164">
        <f t="shared" si="11"/>
        <v>0</v>
      </c>
      <c r="S38" s="164">
        <f t="shared" si="3"/>
        <v>3147292.9573765174</v>
      </c>
      <c r="T38" s="164">
        <f t="shared" si="4"/>
        <v>0</v>
      </c>
    </row>
    <row r="39" spans="2:20" x14ac:dyDescent="0.2">
      <c r="B39" s="171"/>
      <c r="D39" s="171"/>
      <c r="F39" s="158">
        <v>28</v>
      </c>
      <c r="G39" s="249">
        <f t="shared" si="5"/>
        <v>44500</v>
      </c>
      <c r="H39" s="158">
        <f t="shared" si="9"/>
        <v>31</v>
      </c>
      <c r="I39" s="254">
        <v>9.9900000000000003E-2</v>
      </c>
      <c r="J39" s="164">
        <f t="shared" si="6"/>
        <v>60000.000000000007</v>
      </c>
      <c r="K39" s="164">
        <f t="shared" si="7"/>
        <v>3147292.9573765174</v>
      </c>
      <c r="L39" s="164">
        <f t="shared" si="10"/>
        <v>3147292.9573765174</v>
      </c>
      <c r="M39" s="164">
        <f t="shared" si="10"/>
        <v>0</v>
      </c>
      <c r="N39" s="164">
        <f t="shared" si="8"/>
        <v>26685.425214782575</v>
      </c>
      <c r="O39" s="164">
        <f t="shared" si="0"/>
        <v>33314.574785217432</v>
      </c>
      <c r="P39" s="164">
        <f t="shared" si="1"/>
        <v>26685.425214782575</v>
      </c>
      <c r="Q39" s="164">
        <f t="shared" si="2"/>
        <v>0</v>
      </c>
      <c r="R39" s="164">
        <f t="shared" si="11"/>
        <v>0</v>
      </c>
      <c r="S39" s="164">
        <f t="shared" si="3"/>
        <v>3113978.3825912997</v>
      </c>
      <c r="T39" s="164">
        <f t="shared" si="4"/>
        <v>0</v>
      </c>
    </row>
    <row r="40" spans="2:20" x14ac:dyDescent="0.2">
      <c r="B40" s="171"/>
      <c r="D40" s="171"/>
      <c r="F40" s="158">
        <v>29</v>
      </c>
      <c r="G40" s="249">
        <f t="shared" si="5"/>
        <v>44530</v>
      </c>
      <c r="H40" s="158">
        <f t="shared" si="9"/>
        <v>30</v>
      </c>
      <c r="I40" s="254">
        <v>9.9900000000000003E-2</v>
      </c>
      <c r="J40" s="164">
        <f t="shared" si="6"/>
        <v>60000.000000000007</v>
      </c>
      <c r="K40" s="164">
        <f t="shared" si="7"/>
        <v>3113978.3825912997</v>
      </c>
      <c r="L40" s="164">
        <f t="shared" si="10"/>
        <v>3113978.3825912997</v>
      </c>
      <c r="M40" s="164">
        <f t="shared" si="10"/>
        <v>0</v>
      </c>
      <c r="N40" s="164">
        <f t="shared" si="8"/>
        <v>25551.247673172144</v>
      </c>
      <c r="O40" s="164">
        <f t="shared" si="0"/>
        <v>34448.75232682786</v>
      </c>
      <c r="P40" s="164">
        <f t="shared" si="1"/>
        <v>25551.247673172144</v>
      </c>
      <c r="Q40" s="164">
        <f t="shared" si="2"/>
        <v>0</v>
      </c>
      <c r="R40" s="164">
        <f t="shared" si="11"/>
        <v>0</v>
      </c>
      <c r="S40" s="164">
        <f t="shared" si="3"/>
        <v>3079529.6302644718</v>
      </c>
      <c r="T40" s="164">
        <f t="shared" si="4"/>
        <v>0</v>
      </c>
    </row>
    <row r="41" spans="2:20" x14ac:dyDescent="0.2">
      <c r="B41" s="171"/>
      <c r="D41" s="171"/>
      <c r="F41" s="158">
        <v>30</v>
      </c>
      <c r="G41" s="249">
        <f t="shared" si="5"/>
        <v>44561</v>
      </c>
      <c r="H41" s="158">
        <f t="shared" si="9"/>
        <v>31</v>
      </c>
      <c r="I41" s="254">
        <v>9.9900000000000003E-2</v>
      </c>
      <c r="J41" s="164">
        <f t="shared" si="6"/>
        <v>60000.000000000007</v>
      </c>
      <c r="K41" s="164">
        <f t="shared" si="7"/>
        <v>3079529.6302644718</v>
      </c>
      <c r="L41" s="164">
        <f t="shared" si="10"/>
        <v>3079529.6302644718</v>
      </c>
      <c r="M41" s="164">
        <f t="shared" si="10"/>
        <v>0</v>
      </c>
      <c r="N41" s="164">
        <f t="shared" si="8"/>
        <v>26110.870121741391</v>
      </c>
      <c r="O41" s="164">
        <f t="shared" si="0"/>
        <v>33889.129878258616</v>
      </c>
      <c r="P41" s="164">
        <f t="shared" si="1"/>
        <v>26110.870121741391</v>
      </c>
      <c r="Q41" s="164">
        <f t="shared" si="2"/>
        <v>0</v>
      </c>
      <c r="R41" s="164">
        <f t="shared" si="11"/>
        <v>0</v>
      </c>
      <c r="S41" s="164">
        <f t="shared" si="3"/>
        <v>3045640.500386213</v>
      </c>
      <c r="T41" s="164">
        <f t="shared" si="4"/>
        <v>0</v>
      </c>
    </row>
    <row r="42" spans="2:20" x14ac:dyDescent="0.2">
      <c r="B42" s="171"/>
      <c r="D42" s="171"/>
      <c r="F42" s="158">
        <v>31</v>
      </c>
      <c r="G42" s="249">
        <f t="shared" si="5"/>
        <v>44592</v>
      </c>
      <c r="H42" s="158">
        <f t="shared" si="9"/>
        <v>31</v>
      </c>
      <c r="I42" s="254">
        <v>9.9900000000000003E-2</v>
      </c>
      <c r="J42" s="164">
        <f t="shared" si="6"/>
        <v>60000.000000000007</v>
      </c>
      <c r="K42" s="164">
        <f t="shared" si="7"/>
        <v>3045640.500386213</v>
      </c>
      <c r="L42" s="164">
        <f t="shared" si="10"/>
        <v>3045640.500386213</v>
      </c>
      <c r="M42" s="164">
        <f t="shared" si="10"/>
        <v>0</v>
      </c>
      <c r="N42" s="164">
        <f t="shared" si="8"/>
        <v>25823.529269393737</v>
      </c>
      <c r="O42" s="164">
        <f t="shared" si="0"/>
        <v>34176.47073060627</v>
      </c>
      <c r="P42" s="164">
        <f t="shared" si="1"/>
        <v>25823.529269393737</v>
      </c>
      <c r="Q42" s="164">
        <f t="shared" si="2"/>
        <v>0</v>
      </c>
      <c r="R42" s="164">
        <f t="shared" si="11"/>
        <v>0</v>
      </c>
      <c r="S42" s="164">
        <f t="shared" si="3"/>
        <v>3011464.0296556065</v>
      </c>
      <c r="T42" s="164">
        <f t="shared" si="4"/>
        <v>0</v>
      </c>
    </row>
    <row r="43" spans="2:20" x14ac:dyDescent="0.2">
      <c r="B43" s="171"/>
      <c r="D43" s="171"/>
      <c r="F43" s="158">
        <v>32</v>
      </c>
      <c r="G43" s="249">
        <f t="shared" si="5"/>
        <v>44620</v>
      </c>
      <c r="H43" s="158">
        <f t="shared" si="9"/>
        <v>28</v>
      </c>
      <c r="I43" s="254">
        <v>9.9900000000000003E-2</v>
      </c>
      <c r="J43" s="164">
        <f t="shared" si="6"/>
        <v>60000.000000000007</v>
      </c>
      <c r="K43" s="164">
        <f t="shared" si="7"/>
        <v>3011464.0296556065</v>
      </c>
      <c r="L43" s="164">
        <f t="shared" si="10"/>
        <v>3011464.0296556065</v>
      </c>
      <c r="M43" s="164">
        <f t="shared" si="10"/>
        <v>0</v>
      </c>
      <c r="N43" s="164">
        <f t="shared" si="8"/>
        <v>23062.743829576077</v>
      </c>
      <c r="O43" s="164">
        <f t="shared" si="0"/>
        <v>36937.256170423934</v>
      </c>
      <c r="P43" s="164">
        <f t="shared" si="1"/>
        <v>23062.743829576077</v>
      </c>
      <c r="Q43" s="164">
        <f t="shared" si="2"/>
        <v>0</v>
      </c>
      <c r="R43" s="164">
        <f t="shared" si="11"/>
        <v>0</v>
      </c>
      <c r="S43" s="164">
        <f t="shared" si="3"/>
        <v>2974526.7734851828</v>
      </c>
      <c r="T43" s="164">
        <f t="shared" si="4"/>
        <v>0</v>
      </c>
    </row>
    <row r="44" spans="2:20" x14ac:dyDescent="0.2">
      <c r="B44" s="171"/>
      <c r="D44" s="171"/>
      <c r="F44" s="158">
        <v>33</v>
      </c>
      <c r="G44" s="249">
        <f t="shared" si="5"/>
        <v>44651</v>
      </c>
      <c r="H44" s="158">
        <f t="shared" si="9"/>
        <v>31</v>
      </c>
      <c r="I44" s="254">
        <v>9.9900000000000003E-2</v>
      </c>
      <c r="J44" s="164">
        <f t="shared" si="6"/>
        <v>60000.000000000007</v>
      </c>
      <c r="K44" s="164">
        <f t="shared" si="7"/>
        <v>2974526.7734851828</v>
      </c>
      <c r="L44" s="164">
        <f t="shared" si="10"/>
        <v>2974526.7734851828</v>
      </c>
      <c r="M44" s="164">
        <f t="shared" si="10"/>
        <v>0</v>
      </c>
      <c r="N44" s="164">
        <f t="shared" si="8"/>
        <v>25220.566638757737</v>
      </c>
      <c r="O44" s="164">
        <f t="shared" si="0"/>
        <v>34779.433361242271</v>
      </c>
      <c r="P44" s="164">
        <f t="shared" si="1"/>
        <v>25220.566638757737</v>
      </c>
      <c r="Q44" s="164">
        <f t="shared" si="2"/>
        <v>0</v>
      </c>
      <c r="R44" s="164">
        <f t="shared" si="11"/>
        <v>0</v>
      </c>
      <c r="S44" s="164">
        <f t="shared" si="3"/>
        <v>2939747.3401239407</v>
      </c>
      <c r="T44" s="164">
        <f t="shared" si="4"/>
        <v>0</v>
      </c>
    </row>
    <row r="45" spans="2:20" x14ac:dyDescent="0.2">
      <c r="B45" s="171"/>
      <c r="D45" s="171"/>
      <c r="F45" s="158">
        <v>34</v>
      </c>
      <c r="G45" s="249">
        <f t="shared" si="5"/>
        <v>44681</v>
      </c>
      <c r="H45" s="158">
        <f t="shared" si="9"/>
        <v>30</v>
      </c>
      <c r="I45" s="254">
        <v>9.9900000000000003E-2</v>
      </c>
      <c r="J45" s="164">
        <f t="shared" si="6"/>
        <v>60000.000000000007</v>
      </c>
      <c r="K45" s="164">
        <f t="shared" si="7"/>
        <v>2939747.3401239407</v>
      </c>
      <c r="L45" s="164">
        <f t="shared" si="10"/>
        <v>2939747.3401239407</v>
      </c>
      <c r="M45" s="164">
        <f t="shared" si="10"/>
        <v>0</v>
      </c>
      <c r="N45" s="164">
        <f t="shared" si="8"/>
        <v>24121.622938676115</v>
      </c>
      <c r="O45" s="164">
        <f t="shared" si="0"/>
        <v>35878.377061323888</v>
      </c>
      <c r="P45" s="164">
        <f t="shared" si="1"/>
        <v>24121.622938676115</v>
      </c>
      <c r="Q45" s="164">
        <f t="shared" si="2"/>
        <v>0</v>
      </c>
      <c r="R45" s="164">
        <f t="shared" si="11"/>
        <v>0</v>
      </c>
      <c r="S45" s="164">
        <f t="shared" si="3"/>
        <v>2903868.963062617</v>
      </c>
      <c r="T45" s="164">
        <f t="shared" si="4"/>
        <v>0</v>
      </c>
    </row>
    <row r="46" spans="2:20" x14ac:dyDescent="0.2">
      <c r="B46" s="171"/>
      <c r="D46" s="171"/>
      <c r="F46" s="158">
        <v>35</v>
      </c>
      <c r="G46" s="249">
        <f t="shared" si="5"/>
        <v>44712</v>
      </c>
      <c r="H46" s="158">
        <f t="shared" si="9"/>
        <v>31</v>
      </c>
      <c r="I46" s="254">
        <v>9.9900000000000003E-2</v>
      </c>
      <c r="J46" s="164">
        <f t="shared" si="6"/>
        <v>60000.000000000007</v>
      </c>
      <c r="K46" s="164">
        <f t="shared" si="7"/>
        <v>2903868.963062617</v>
      </c>
      <c r="L46" s="164">
        <f t="shared" si="10"/>
        <v>2903868.963062617</v>
      </c>
      <c r="M46" s="164">
        <f t="shared" si="10"/>
        <v>0</v>
      </c>
      <c r="N46" s="164">
        <f t="shared" si="8"/>
        <v>24621.46965560197</v>
      </c>
      <c r="O46" s="164">
        <f t="shared" si="0"/>
        <v>35378.530344398037</v>
      </c>
      <c r="P46" s="164">
        <f t="shared" si="1"/>
        <v>24621.46965560197</v>
      </c>
      <c r="Q46" s="164">
        <f t="shared" si="2"/>
        <v>0</v>
      </c>
      <c r="R46" s="164">
        <f t="shared" si="11"/>
        <v>0</v>
      </c>
      <c r="S46" s="164">
        <f t="shared" si="3"/>
        <v>2868490.4327182188</v>
      </c>
      <c r="T46" s="164">
        <f t="shared" si="4"/>
        <v>0</v>
      </c>
    </row>
    <row r="47" spans="2:20" x14ac:dyDescent="0.2">
      <c r="B47" s="171"/>
      <c r="D47" s="171"/>
      <c r="F47" s="158">
        <v>36</v>
      </c>
      <c r="G47" s="249">
        <f t="shared" si="5"/>
        <v>44742</v>
      </c>
      <c r="H47" s="158">
        <f t="shared" si="9"/>
        <v>30</v>
      </c>
      <c r="I47" s="254">
        <v>9.9900000000000003E-2</v>
      </c>
      <c r="J47" s="164">
        <f t="shared" si="6"/>
        <v>60000.000000000007</v>
      </c>
      <c r="K47" s="164">
        <f t="shared" si="7"/>
        <v>2868490.4327182188</v>
      </c>
      <c r="L47" s="164">
        <f t="shared" si="10"/>
        <v>2868490.4327182188</v>
      </c>
      <c r="M47" s="164">
        <f t="shared" si="10"/>
        <v>0</v>
      </c>
      <c r="N47" s="164">
        <f t="shared" si="8"/>
        <v>23536.935870928137</v>
      </c>
      <c r="O47" s="164">
        <f t="shared" si="0"/>
        <v>36463.06412907187</v>
      </c>
      <c r="P47" s="164">
        <f t="shared" si="1"/>
        <v>23536.935870928137</v>
      </c>
      <c r="Q47" s="164">
        <f t="shared" si="2"/>
        <v>0</v>
      </c>
      <c r="R47" s="164">
        <f t="shared" si="11"/>
        <v>0</v>
      </c>
      <c r="S47" s="164">
        <f t="shared" si="3"/>
        <v>2832027.368589147</v>
      </c>
      <c r="T47" s="164">
        <f t="shared" si="4"/>
        <v>0</v>
      </c>
    </row>
    <row r="48" spans="2:20" x14ac:dyDescent="0.2">
      <c r="B48" s="171"/>
      <c r="D48" s="171"/>
      <c r="F48" s="158">
        <v>37</v>
      </c>
      <c r="G48" s="249">
        <f t="shared" si="5"/>
        <v>44773</v>
      </c>
      <c r="H48" s="158">
        <f t="shared" si="9"/>
        <v>31</v>
      </c>
      <c r="I48" s="254">
        <v>9.9900000000000003E-2</v>
      </c>
      <c r="J48" s="164">
        <f t="shared" si="6"/>
        <v>60000.000000000007</v>
      </c>
      <c r="K48" s="164">
        <f t="shared" si="7"/>
        <v>2832027.368589147</v>
      </c>
      <c r="L48" s="164">
        <f t="shared" si="10"/>
        <v>2832027.368589147</v>
      </c>
      <c r="M48" s="164">
        <f t="shared" si="10"/>
        <v>0</v>
      </c>
      <c r="N48" s="164">
        <f t="shared" si="8"/>
        <v>24012.335544924656</v>
      </c>
      <c r="O48" s="164">
        <f t="shared" si="0"/>
        <v>35987.664455075355</v>
      </c>
      <c r="P48" s="164">
        <f t="shared" si="1"/>
        <v>24012.335544924656</v>
      </c>
      <c r="Q48" s="164">
        <f t="shared" si="2"/>
        <v>0</v>
      </c>
      <c r="R48" s="164">
        <f t="shared" si="11"/>
        <v>0</v>
      </c>
      <c r="S48" s="164">
        <f t="shared" si="3"/>
        <v>2796039.7041340717</v>
      </c>
      <c r="T48" s="164">
        <f t="shared" si="4"/>
        <v>0</v>
      </c>
    </row>
    <row r="49" spans="2:20" x14ac:dyDescent="0.2">
      <c r="B49" s="171"/>
      <c r="D49" s="171"/>
      <c r="F49" s="158">
        <v>38</v>
      </c>
      <c r="G49" s="249">
        <f t="shared" si="5"/>
        <v>44804</v>
      </c>
      <c r="H49" s="158">
        <f t="shared" si="9"/>
        <v>31</v>
      </c>
      <c r="I49" s="254">
        <v>9.9900000000000003E-2</v>
      </c>
      <c r="J49" s="164">
        <f t="shared" si="6"/>
        <v>60000.000000000007</v>
      </c>
      <c r="K49" s="164">
        <f t="shared" si="7"/>
        <v>2796039.7041340717</v>
      </c>
      <c r="L49" s="164">
        <f t="shared" si="10"/>
        <v>2796039.7041340717</v>
      </c>
      <c r="M49" s="164">
        <f t="shared" si="10"/>
        <v>0</v>
      </c>
      <c r="N49" s="164">
        <f t="shared" si="8"/>
        <v>23707.201532464904</v>
      </c>
      <c r="O49" s="164">
        <f t="shared" si="0"/>
        <v>36292.798467535104</v>
      </c>
      <c r="P49" s="164">
        <f t="shared" si="1"/>
        <v>23707.201532464904</v>
      </c>
      <c r="Q49" s="164">
        <f t="shared" si="2"/>
        <v>0</v>
      </c>
      <c r="R49" s="164">
        <f t="shared" si="11"/>
        <v>0</v>
      </c>
      <c r="S49" s="164">
        <f t="shared" si="3"/>
        <v>2759746.9056665367</v>
      </c>
      <c r="T49" s="164">
        <f t="shared" si="4"/>
        <v>0</v>
      </c>
    </row>
    <row r="50" spans="2:20" x14ac:dyDescent="0.2">
      <c r="B50" s="171"/>
      <c r="D50" s="171"/>
      <c r="F50" s="158">
        <v>39</v>
      </c>
      <c r="G50" s="249">
        <f t="shared" si="5"/>
        <v>44834</v>
      </c>
      <c r="H50" s="158">
        <f t="shared" si="9"/>
        <v>30</v>
      </c>
      <c r="I50" s="254">
        <v>9.9900000000000003E-2</v>
      </c>
      <c r="J50" s="164">
        <f t="shared" si="6"/>
        <v>60000.000000000007</v>
      </c>
      <c r="K50" s="164">
        <f t="shared" si="7"/>
        <v>2759746.9056665367</v>
      </c>
      <c r="L50" s="164">
        <f t="shared" si="10"/>
        <v>2759746.9056665367</v>
      </c>
      <c r="M50" s="164">
        <f t="shared" si="10"/>
        <v>0</v>
      </c>
      <c r="N50" s="164">
        <f t="shared" si="8"/>
        <v>22644.658388179632</v>
      </c>
      <c r="O50" s="164">
        <f t="shared" si="0"/>
        <v>37355.341611820375</v>
      </c>
      <c r="P50" s="164">
        <f t="shared" si="1"/>
        <v>22644.658388179632</v>
      </c>
      <c r="Q50" s="164">
        <f t="shared" si="2"/>
        <v>0</v>
      </c>
      <c r="R50" s="164">
        <f t="shared" si="11"/>
        <v>0</v>
      </c>
      <c r="S50" s="164">
        <f t="shared" si="3"/>
        <v>2722391.5640547164</v>
      </c>
      <c r="T50" s="164">
        <f t="shared" si="4"/>
        <v>0</v>
      </c>
    </row>
    <row r="51" spans="2:20" x14ac:dyDescent="0.2">
      <c r="B51" s="171"/>
      <c r="D51" s="171"/>
      <c r="F51" s="158">
        <v>40</v>
      </c>
      <c r="G51" s="249">
        <f t="shared" si="5"/>
        <v>44865</v>
      </c>
      <c r="H51" s="158">
        <f t="shared" si="9"/>
        <v>31</v>
      </c>
      <c r="I51" s="254">
        <v>9.9900000000000003E-2</v>
      </c>
      <c r="J51" s="164">
        <f t="shared" si="6"/>
        <v>60000.000000000007</v>
      </c>
      <c r="K51" s="164">
        <f t="shared" si="7"/>
        <v>2722391.5640547164</v>
      </c>
      <c r="L51" s="164">
        <f t="shared" si="10"/>
        <v>2722391.5640547164</v>
      </c>
      <c r="M51" s="164">
        <f t="shared" si="10"/>
        <v>0</v>
      </c>
      <c r="N51" s="164">
        <f t="shared" si="8"/>
        <v>23082.749992391655</v>
      </c>
      <c r="O51" s="164">
        <f t="shared" si="0"/>
        <v>36917.250007608352</v>
      </c>
      <c r="P51" s="164">
        <f t="shared" si="1"/>
        <v>23082.749992391655</v>
      </c>
      <c r="Q51" s="164">
        <f t="shared" si="2"/>
        <v>0</v>
      </c>
      <c r="R51" s="164">
        <f t="shared" si="11"/>
        <v>0</v>
      </c>
      <c r="S51" s="164">
        <f t="shared" si="3"/>
        <v>2685474.3140471079</v>
      </c>
      <c r="T51" s="164">
        <f t="shared" si="4"/>
        <v>0</v>
      </c>
    </row>
    <row r="52" spans="2:20" x14ac:dyDescent="0.2">
      <c r="B52" s="171"/>
      <c r="D52" s="171"/>
      <c r="F52" s="158">
        <v>41</v>
      </c>
      <c r="G52" s="249">
        <f t="shared" si="5"/>
        <v>44895</v>
      </c>
      <c r="H52" s="158">
        <f t="shared" si="9"/>
        <v>30</v>
      </c>
      <c r="I52" s="254">
        <v>9.9900000000000003E-2</v>
      </c>
      <c r="J52" s="164">
        <f t="shared" si="6"/>
        <v>60000.000000000007</v>
      </c>
      <c r="K52" s="164">
        <f t="shared" si="7"/>
        <v>2685474.3140471079</v>
      </c>
      <c r="L52" s="164">
        <f t="shared" si="10"/>
        <v>2685474.3140471079</v>
      </c>
      <c r="M52" s="164">
        <f t="shared" si="10"/>
        <v>0</v>
      </c>
      <c r="N52" s="164">
        <f t="shared" si="8"/>
        <v>22035.22660971713</v>
      </c>
      <c r="O52" s="164">
        <f t="shared" si="0"/>
        <v>37964.773390282877</v>
      </c>
      <c r="P52" s="164">
        <f t="shared" si="1"/>
        <v>22035.22660971713</v>
      </c>
      <c r="Q52" s="164">
        <f t="shared" si="2"/>
        <v>0</v>
      </c>
      <c r="R52" s="164">
        <f t="shared" si="11"/>
        <v>0</v>
      </c>
      <c r="S52" s="164">
        <f t="shared" si="3"/>
        <v>2647509.5406568251</v>
      </c>
      <c r="T52" s="164">
        <f t="shared" si="4"/>
        <v>0</v>
      </c>
    </row>
    <row r="53" spans="2:20" x14ac:dyDescent="0.2">
      <c r="B53" s="171"/>
      <c r="D53" s="171"/>
      <c r="F53" s="158">
        <v>42</v>
      </c>
      <c r="G53" s="249">
        <f t="shared" si="5"/>
        <v>44926</v>
      </c>
      <c r="H53" s="158">
        <f t="shared" si="9"/>
        <v>31</v>
      </c>
      <c r="I53" s="254">
        <v>9.9900000000000003E-2</v>
      </c>
      <c r="J53" s="164">
        <f t="shared" si="6"/>
        <v>60000.000000000007</v>
      </c>
      <c r="K53" s="164">
        <f t="shared" si="7"/>
        <v>2647509.5406568251</v>
      </c>
      <c r="L53" s="164">
        <f t="shared" si="10"/>
        <v>2647509.5406568251</v>
      </c>
      <c r="M53" s="164">
        <f t="shared" si="10"/>
        <v>0</v>
      </c>
      <c r="N53" s="164">
        <f t="shared" si="8"/>
        <v>22447.83654061635</v>
      </c>
      <c r="O53" s="164">
        <f t="shared" si="0"/>
        <v>37552.163459383657</v>
      </c>
      <c r="P53" s="164">
        <f t="shared" si="1"/>
        <v>22447.83654061635</v>
      </c>
      <c r="Q53" s="164">
        <f t="shared" si="2"/>
        <v>0</v>
      </c>
      <c r="R53" s="164">
        <f t="shared" si="11"/>
        <v>0</v>
      </c>
      <c r="S53" s="164">
        <f t="shared" si="3"/>
        <v>2609957.3771974412</v>
      </c>
      <c r="T53" s="164">
        <f t="shared" si="4"/>
        <v>0</v>
      </c>
    </row>
    <row r="54" spans="2:20" x14ac:dyDescent="0.2">
      <c r="B54" s="171"/>
      <c r="D54" s="171"/>
      <c r="F54" s="158">
        <v>43</v>
      </c>
      <c r="G54" s="249">
        <f t="shared" si="5"/>
        <v>44957</v>
      </c>
      <c r="H54" s="158">
        <f t="shared" si="9"/>
        <v>31</v>
      </c>
      <c r="I54" s="254">
        <v>9.9900000000000003E-2</v>
      </c>
      <c r="J54" s="164">
        <f t="shared" si="6"/>
        <v>60000.000000000007</v>
      </c>
      <c r="K54" s="164">
        <f t="shared" si="7"/>
        <v>2609957.3771974412</v>
      </c>
      <c r="L54" s="164">
        <f t="shared" si="10"/>
        <v>2609957.3771974412</v>
      </c>
      <c r="M54" s="164">
        <f t="shared" si="10"/>
        <v>0</v>
      </c>
      <c r="N54" s="164">
        <f t="shared" si="8"/>
        <v>22129.437375613292</v>
      </c>
      <c r="O54" s="164">
        <f t="shared" si="0"/>
        <v>37870.562624386715</v>
      </c>
      <c r="P54" s="164">
        <f t="shared" si="1"/>
        <v>22129.437375613292</v>
      </c>
      <c r="Q54" s="164">
        <f t="shared" si="2"/>
        <v>0</v>
      </c>
      <c r="R54" s="164">
        <f t="shared" si="11"/>
        <v>0</v>
      </c>
      <c r="S54" s="164">
        <f t="shared" si="3"/>
        <v>2572086.8145730547</v>
      </c>
      <c r="T54" s="164">
        <f t="shared" si="4"/>
        <v>0</v>
      </c>
    </row>
    <row r="55" spans="2:20" x14ac:dyDescent="0.2">
      <c r="B55" s="171"/>
      <c r="D55" s="171"/>
      <c r="F55" s="158">
        <v>44</v>
      </c>
      <c r="G55" s="249">
        <f t="shared" si="5"/>
        <v>44985</v>
      </c>
      <c r="H55" s="158">
        <f t="shared" si="9"/>
        <v>28</v>
      </c>
      <c r="I55" s="254">
        <v>9.9900000000000003E-2</v>
      </c>
      <c r="J55" s="164">
        <f t="shared" si="6"/>
        <v>60000.000000000007</v>
      </c>
      <c r="K55" s="164">
        <f t="shared" si="7"/>
        <v>2572086.8145730547</v>
      </c>
      <c r="L55" s="164">
        <f t="shared" si="10"/>
        <v>2572086.8145730547</v>
      </c>
      <c r="M55" s="164">
        <f t="shared" si="10"/>
        <v>0</v>
      </c>
      <c r="N55" s="164">
        <f t="shared" si="8"/>
        <v>19697.85417583504</v>
      </c>
      <c r="O55" s="164">
        <f t="shared" si="0"/>
        <v>40302.145824164967</v>
      </c>
      <c r="P55" s="164">
        <f t="shared" si="1"/>
        <v>19697.85417583504</v>
      </c>
      <c r="Q55" s="164">
        <f t="shared" si="2"/>
        <v>0</v>
      </c>
      <c r="R55" s="164">
        <f t="shared" si="11"/>
        <v>0</v>
      </c>
      <c r="S55" s="164">
        <f t="shared" si="3"/>
        <v>2531784.6687488896</v>
      </c>
      <c r="T55" s="164">
        <f t="shared" si="4"/>
        <v>0</v>
      </c>
    </row>
    <row r="56" spans="2:20" x14ac:dyDescent="0.2">
      <c r="B56" s="171"/>
      <c r="D56" s="171"/>
      <c r="F56" s="158">
        <v>45</v>
      </c>
      <c r="G56" s="249">
        <f t="shared" si="5"/>
        <v>45016</v>
      </c>
      <c r="H56" s="158">
        <f t="shared" si="9"/>
        <v>31</v>
      </c>
      <c r="I56" s="254">
        <v>9.9900000000000003E-2</v>
      </c>
      <c r="J56" s="164">
        <f t="shared" si="6"/>
        <v>60000.000000000007</v>
      </c>
      <c r="K56" s="164">
        <f t="shared" si="7"/>
        <v>2531784.6687488896</v>
      </c>
      <c r="L56" s="164">
        <f t="shared" si="10"/>
        <v>2531784.6687488896</v>
      </c>
      <c r="M56" s="164">
        <f t="shared" si="10"/>
        <v>0</v>
      </c>
      <c r="N56" s="164">
        <f t="shared" si="8"/>
        <v>21466.622698558349</v>
      </c>
      <c r="O56" s="164">
        <f t="shared" si="0"/>
        <v>38533.377301441658</v>
      </c>
      <c r="P56" s="164">
        <f t="shared" si="1"/>
        <v>21466.622698558349</v>
      </c>
      <c r="Q56" s="164">
        <f t="shared" si="2"/>
        <v>0</v>
      </c>
      <c r="R56" s="164">
        <f t="shared" si="11"/>
        <v>0</v>
      </c>
      <c r="S56" s="164">
        <f t="shared" si="3"/>
        <v>2493251.2914474481</v>
      </c>
      <c r="T56" s="164">
        <f t="shared" si="4"/>
        <v>0</v>
      </c>
    </row>
    <row r="57" spans="2:20" x14ac:dyDescent="0.2">
      <c r="B57" s="171"/>
      <c r="D57" s="171"/>
      <c r="F57" s="158">
        <v>46</v>
      </c>
      <c r="G57" s="249">
        <f t="shared" si="5"/>
        <v>45046</v>
      </c>
      <c r="H57" s="158">
        <f t="shared" si="9"/>
        <v>30</v>
      </c>
      <c r="I57" s="254">
        <v>9.9900000000000003E-2</v>
      </c>
      <c r="J57" s="164">
        <f t="shared" si="6"/>
        <v>60000.000000000007</v>
      </c>
      <c r="K57" s="164">
        <f t="shared" si="7"/>
        <v>2493251.2914474481</v>
      </c>
      <c r="L57" s="164">
        <f t="shared" si="10"/>
        <v>2493251.2914474481</v>
      </c>
      <c r="M57" s="164">
        <f t="shared" si="10"/>
        <v>0</v>
      </c>
      <c r="N57" s="164">
        <f t="shared" si="8"/>
        <v>20457.97158239015</v>
      </c>
      <c r="O57" s="164">
        <f t="shared" si="0"/>
        <v>39542.028417609858</v>
      </c>
      <c r="P57" s="164">
        <f t="shared" si="1"/>
        <v>20457.97158239015</v>
      </c>
      <c r="Q57" s="164">
        <f t="shared" si="2"/>
        <v>0</v>
      </c>
      <c r="R57" s="164">
        <f t="shared" si="11"/>
        <v>0</v>
      </c>
      <c r="S57" s="164">
        <f t="shared" si="3"/>
        <v>2453709.2630298384</v>
      </c>
      <c r="T57" s="164">
        <f t="shared" si="4"/>
        <v>0</v>
      </c>
    </row>
    <row r="58" spans="2:20" x14ac:dyDescent="0.2">
      <c r="B58" s="171"/>
      <c r="D58" s="171"/>
      <c r="F58" s="158">
        <v>47</v>
      </c>
      <c r="G58" s="249">
        <f t="shared" si="5"/>
        <v>45077</v>
      </c>
      <c r="H58" s="158">
        <f t="shared" si="9"/>
        <v>31</v>
      </c>
      <c r="I58" s="254">
        <v>9.9900000000000003E-2</v>
      </c>
      <c r="J58" s="164">
        <f t="shared" si="6"/>
        <v>60000.000000000007</v>
      </c>
      <c r="K58" s="164">
        <f t="shared" si="7"/>
        <v>2453709.2630298384</v>
      </c>
      <c r="L58" s="164">
        <f t="shared" si="10"/>
        <v>2453709.2630298384</v>
      </c>
      <c r="M58" s="164">
        <f t="shared" si="10"/>
        <v>0</v>
      </c>
      <c r="N58" s="164">
        <f t="shared" si="8"/>
        <v>20804.633036761414</v>
      </c>
      <c r="O58" s="164">
        <f t="shared" si="0"/>
        <v>39195.366963238594</v>
      </c>
      <c r="P58" s="164">
        <f t="shared" si="1"/>
        <v>20804.633036761414</v>
      </c>
      <c r="Q58" s="164">
        <f t="shared" si="2"/>
        <v>0</v>
      </c>
      <c r="R58" s="164">
        <f t="shared" si="11"/>
        <v>0</v>
      </c>
      <c r="S58" s="164">
        <f t="shared" si="3"/>
        <v>2414513.8960666</v>
      </c>
      <c r="T58" s="164">
        <f t="shared" si="4"/>
        <v>0</v>
      </c>
    </row>
    <row r="59" spans="2:20" x14ac:dyDescent="0.2">
      <c r="B59" s="171"/>
      <c r="D59" s="171"/>
      <c r="F59" s="158">
        <v>48</v>
      </c>
      <c r="G59" s="249">
        <f t="shared" si="5"/>
        <v>45107</v>
      </c>
      <c r="H59" s="158">
        <f t="shared" si="9"/>
        <v>30</v>
      </c>
      <c r="I59" s="254">
        <v>9.9900000000000003E-2</v>
      </c>
      <c r="J59" s="164">
        <f t="shared" si="6"/>
        <v>60000.000000000007</v>
      </c>
      <c r="K59" s="164">
        <f t="shared" si="7"/>
        <v>2414513.8960666</v>
      </c>
      <c r="L59" s="164">
        <f t="shared" si="10"/>
        <v>2414513.8960666</v>
      </c>
      <c r="M59" s="164">
        <f t="shared" si="10"/>
        <v>0</v>
      </c>
      <c r="N59" s="164">
        <f t="shared" si="8"/>
        <v>19811.904576349352</v>
      </c>
      <c r="O59" s="164">
        <f t="shared" si="0"/>
        <v>40188.095423650651</v>
      </c>
      <c r="P59" s="164">
        <f t="shared" si="1"/>
        <v>19811.904576349352</v>
      </c>
      <c r="Q59" s="164">
        <f t="shared" si="2"/>
        <v>0</v>
      </c>
      <c r="R59" s="164">
        <f t="shared" si="11"/>
        <v>0</v>
      </c>
      <c r="S59" s="164">
        <f t="shared" si="3"/>
        <v>2374325.8006429495</v>
      </c>
      <c r="T59" s="164">
        <f t="shared" si="4"/>
        <v>0</v>
      </c>
    </row>
    <row r="60" spans="2:20" x14ac:dyDescent="0.2">
      <c r="B60" s="171"/>
      <c r="D60" s="171"/>
      <c r="F60" s="158">
        <v>49</v>
      </c>
      <c r="G60" s="249">
        <f t="shared" si="5"/>
        <v>45138</v>
      </c>
      <c r="H60" s="158">
        <f t="shared" si="9"/>
        <v>31</v>
      </c>
      <c r="I60" s="254">
        <v>9.9900000000000003E-2</v>
      </c>
      <c r="J60" s="164">
        <f t="shared" si="6"/>
        <v>60000.000000000007</v>
      </c>
      <c r="K60" s="164">
        <f t="shared" si="7"/>
        <v>2374325.8006429495</v>
      </c>
      <c r="L60" s="164">
        <f t="shared" si="10"/>
        <v>2374325.8006429495</v>
      </c>
      <c r="M60" s="164">
        <f t="shared" si="10"/>
        <v>0</v>
      </c>
      <c r="N60" s="164">
        <f t="shared" si="8"/>
        <v>20131.552558552092</v>
      </c>
      <c r="O60" s="164">
        <f t="shared" si="0"/>
        <v>39868.447441447919</v>
      </c>
      <c r="P60" s="164">
        <f t="shared" si="1"/>
        <v>20131.552558552092</v>
      </c>
      <c r="Q60" s="164">
        <f t="shared" si="2"/>
        <v>0</v>
      </c>
      <c r="R60" s="164">
        <f t="shared" si="11"/>
        <v>0</v>
      </c>
      <c r="S60" s="164">
        <f t="shared" si="3"/>
        <v>2334457.3532015015</v>
      </c>
      <c r="T60" s="164">
        <f t="shared" si="4"/>
        <v>0</v>
      </c>
    </row>
    <row r="61" spans="2:20" x14ac:dyDescent="0.2">
      <c r="B61" s="171"/>
      <c r="D61" s="171"/>
      <c r="F61" s="158">
        <v>50</v>
      </c>
      <c r="G61" s="249">
        <f t="shared" si="5"/>
        <v>45169</v>
      </c>
      <c r="H61" s="158">
        <f t="shared" si="9"/>
        <v>31</v>
      </c>
      <c r="I61" s="254">
        <v>9.9900000000000003E-2</v>
      </c>
      <c r="J61" s="164">
        <f t="shared" si="6"/>
        <v>60000.000000000007</v>
      </c>
      <c r="K61" s="164">
        <f t="shared" si="7"/>
        <v>2334457.3532015015</v>
      </c>
      <c r="L61" s="164">
        <f t="shared" si="10"/>
        <v>2334457.3532015015</v>
      </c>
      <c r="M61" s="164">
        <f t="shared" si="10"/>
        <v>0</v>
      </c>
      <c r="N61" s="164">
        <f t="shared" si="8"/>
        <v>19793.513968869898</v>
      </c>
      <c r="O61" s="164">
        <f t="shared" si="0"/>
        <v>40206.486031130109</v>
      </c>
      <c r="P61" s="164">
        <f t="shared" si="1"/>
        <v>19793.513968869898</v>
      </c>
      <c r="Q61" s="164">
        <f t="shared" si="2"/>
        <v>0</v>
      </c>
      <c r="R61" s="164">
        <f t="shared" si="11"/>
        <v>0</v>
      </c>
      <c r="S61" s="164">
        <f t="shared" si="3"/>
        <v>2294250.8671703716</v>
      </c>
      <c r="T61" s="164">
        <f t="shared" si="4"/>
        <v>0</v>
      </c>
    </row>
    <row r="62" spans="2:20" x14ac:dyDescent="0.2">
      <c r="B62" s="171"/>
      <c r="D62" s="171"/>
      <c r="F62" s="158">
        <v>51</v>
      </c>
      <c r="G62" s="249">
        <f t="shared" si="5"/>
        <v>45199</v>
      </c>
      <c r="H62" s="158">
        <f t="shared" si="9"/>
        <v>30</v>
      </c>
      <c r="I62" s="254">
        <v>9.9900000000000003E-2</v>
      </c>
      <c r="J62" s="164">
        <f t="shared" si="6"/>
        <v>60000.000000000007</v>
      </c>
      <c r="K62" s="164">
        <f t="shared" si="7"/>
        <v>2294250.8671703716</v>
      </c>
      <c r="L62" s="164">
        <f t="shared" si="10"/>
        <v>2294250.8671703716</v>
      </c>
      <c r="M62" s="164">
        <f t="shared" si="10"/>
        <v>0</v>
      </c>
      <c r="N62" s="164">
        <f t="shared" si="8"/>
        <v>18825.105678055039</v>
      </c>
      <c r="O62" s="164">
        <f t="shared" si="0"/>
        <v>41174.894321944972</v>
      </c>
      <c r="P62" s="164">
        <f t="shared" si="1"/>
        <v>18825.105678055039</v>
      </c>
      <c r="Q62" s="164">
        <f t="shared" si="2"/>
        <v>0</v>
      </c>
      <c r="R62" s="164">
        <f t="shared" si="11"/>
        <v>0</v>
      </c>
      <c r="S62" s="164">
        <f t="shared" si="3"/>
        <v>2253075.9728484266</v>
      </c>
      <c r="T62" s="164">
        <f t="shared" si="4"/>
        <v>0</v>
      </c>
    </row>
    <row r="63" spans="2:20" x14ac:dyDescent="0.2">
      <c r="B63" s="171"/>
      <c r="D63" s="171"/>
      <c r="F63" s="158">
        <v>52</v>
      </c>
      <c r="G63" s="249">
        <f t="shared" si="5"/>
        <v>45230</v>
      </c>
      <c r="H63" s="158">
        <f t="shared" si="9"/>
        <v>31</v>
      </c>
      <c r="I63" s="254">
        <v>9.9900000000000003E-2</v>
      </c>
      <c r="J63" s="164">
        <f t="shared" si="6"/>
        <v>60000.000000000007</v>
      </c>
      <c r="K63" s="164">
        <f t="shared" si="7"/>
        <v>2253075.9728484266</v>
      </c>
      <c r="L63" s="164">
        <f t="shared" si="10"/>
        <v>2253075.9728484266</v>
      </c>
      <c r="M63" s="164">
        <f t="shared" si="10"/>
        <v>0</v>
      </c>
      <c r="N63" s="164">
        <f t="shared" si="8"/>
        <v>19103.493443707848</v>
      </c>
      <c r="O63" s="164">
        <f t="shared" si="0"/>
        <v>40896.506556292159</v>
      </c>
      <c r="P63" s="164">
        <f t="shared" si="1"/>
        <v>19103.493443707848</v>
      </c>
      <c r="Q63" s="164">
        <f t="shared" si="2"/>
        <v>0</v>
      </c>
      <c r="R63" s="164">
        <f t="shared" si="11"/>
        <v>0</v>
      </c>
      <c r="S63" s="164">
        <f t="shared" si="3"/>
        <v>2212179.4662921345</v>
      </c>
      <c r="T63" s="164">
        <f t="shared" si="4"/>
        <v>0</v>
      </c>
    </row>
    <row r="64" spans="2:20" x14ac:dyDescent="0.2">
      <c r="B64" s="171"/>
      <c r="D64" s="171"/>
      <c r="F64" s="158">
        <v>53</v>
      </c>
      <c r="G64" s="249">
        <f t="shared" si="5"/>
        <v>45260</v>
      </c>
      <c r="H64" s="158">
        <f t="shared" si="9"/>
        <v>30</v>
      </c>
      <c r="I64" s="254">
        <v>9.9900000000000003E-2</v>
      </c>
      <c r="J64" s="164">
        <f t="shared" si="6"/>
        <v>60000.000000000007</v>
      </c>
      <c r="K64" s="164">
        <f t="shared" si="7"/>
        <v>2212179.4662921345</v>
      </c>
      <c r="L64" s="164">
        <f t="shared" si="10"/>
        <v>2212179.4662921345</v>
      </c>
      <c r="M64" s="164">
        <f t="shared" si="10"/>
        <v>0</v>
      </c>
      <c r="N64" s="164">
        <f t="shared" si="8"/>
        <v>18151.682027316983</v>
      </c>
      <c r="O64" s="164">
        <f t="shared" si="0"/>
        <v>41848.317972683028</v>
      </c>
      <c r="P64" s="164">
        <f t="shared" si="1"/>
        <v>18151.682027316983</v>
      </c>
      <c r="Q64" s="164">
        <f t="shared" si="2"/>
        <v>0</v>
      </c>
      <c r="R64" s="164">
        <f t="shared" si="11"/>
        <v>0</v>
      </c>
      <c r="S64" s="164">
        <f t="shared" si="3"/>
        <v>2170331.1483194516</v>
      </c>
      <c r="T64" s="164">
        <f t="shared" si="4"/>
        <v>0</v>
      </c>
    </row>
    <row r="65" spans="2:20" x14ac:dyDescent="0.2">
      <c r="B65" s="171"/>
      <c r="D65" s="171"/>
      <c r="F65" s="158">
        <v>54</v>
      </c>
      <c r="G65" s="249">
        <f t="shared" si="5"/>
        <v>45291</v>
      </c>
      <c r="H65" s="158">
        <f t="shared" si="9"/>
        <v>31</v>
      </c>
      <c r="I65" s="254">
        <v>9.9900000000000003E-2</v>
      </c>
      <c r="J65" s="164">
        <f t="shared" si="6"/>
        <v>60000.000000000007</v>
      </c>
      <c r="K65" s="164">
        <f t="shared" si="7"/>
        <v>2170331.1483194516</v>
      </c>
      <c r="L65" s="164">
        <f t="shared" si="10"/>
        <v>2170331.1483194516</v>
      </c>
      <c r="M65" s="164">
        <f t="shared" si="10"/>
        <v>0</v>
      </c>
      <c r="N65" s="164">
        <f t="shared" si="8"/>
        <v>18401.912479754988</v>
      </c>
      <c r="O65" s="164">
        <f t="shared" si="0"/>
        <v>41598.087520245019</v>
      </c>
      <c r="P65" s="164">
        <f t="shared" si="1"/>
        <v>18401.912479754988</v>
      </c>
      <c r="Q65" s="164">
        <f t="shared" si="2"/>
        <v>0</v>
      </c>
      <c r="R65" s="164">
        <f t="shared" si="11"/>
        <v>0</v>
      </c>
      <c r="S65" s="164">
        <f t="shared" si="3"/>
        <v>2128733.0607992066</v>
      </c>
      <c r="T65" s="164">
        <f t="shared" si="4"/>
        <v>0</v>
      </c>
    </row>
    <row r="66" spans="2:20" x14ac:dyDescent="0.2">
      <c r="B66" s="171"/>
      <c r="D66" s="171"/>
      <c r="F66" s="158">
        <v>55</v>
      </c>
      <c r="G66" s="249">
        <f t="shared" si="5"/>
        <v>45322</v>
      </c>
      <c r="H66" s="158">
        <f t="shared" si="9"/>
        <v>31</v>
      </c>
      <c r="I66" s="254">
        <v>9.9900000000000003E-2</v>
      </c>
      <c r="J66" s="164">
        <f t="shared" si="6"/>
        <v>60000.000000000007</v>
      </c>
      <c r="K66" s="164">
        <f t="shared" si="7"/>
        <v>2128733.0607992066</v>
      </c>
      <c r="L66" s="164">
        <f t="shared" si="10"/>
        <v>2128733.0607992066</v>
      </c>
      <c r="M66" s="164">
        <f t="shared" si="10"/>
        <v>0</v>
      </c>
      <c r="N66" s="164">
        <f t="shared" si="8"/>
        <v>18049.208531113109</v>
      </c>
      <c r="O66" s="164">
        <f t="shared" si="0"/>
        <v>41950.791468886899</v>
      </c>
      <c r="P66" s="164">
        <f t="shared" si="1"/>
        <v>18049.208531113109</v>
      </c>
      <c r="Q66" s="164">
        <f t="shared" si="2"/>
        <v>0</v>
      </c>
      <c r="R66" s="164">
        <f t="shared" si="11"/>
        <v>0</v>
      </c>
      <c r="S66" s="164">
        <f t="shared" si="3"/>
        <v>2086782.2693303197</v>
      </c>
      <c r="T66" s="164">
        <f t="shared" si="4"/>
        <v>0</v>
      </c>
    </row>
    <row r="67" spans="2:20" x14ac:dyDescent="0.2">
      <c r="B67" s="171"/>
      <c r="D67" s="171"/>
      <c r="F67" s="158">
        <v>56</v>
      </c>
      <c r="G67" s="249">
        <f t="shared" si="5"/>
        <v>45351</v>
      </c>
      <c r="H67" s="158">
        <f t="shared" si="9"/>
        <v>29</v>
      </c>
      <c r="I67" s="254">
        <v>9.9900000000000003E-2</v>
      </c>
      <c r="J67" s="164">
        <f t="shared" si="6"/>
        <v>60000.000000000007</v>
      </c>
      <c r="K67" s="164">
        <f t="shared" si="7"/>
        <v>2086782.2693303197</v>
      </c>
      <c r="L67" s="164">
        <f t="shared" si="10"/>
        <v>2086782.2693303197</v>
      </c>
      <c r="M67" s="164">
        <f t="shared" si="10"/>
        <v>0</v>
      </c>
      <c r="N67" s="164">
        <f t="shared" si="8"/>
        <v>16551.997022523941</v>
      </c>
      <c r="O67" s="164">
        <f t="shared" si="0"/>
        <v>43448.002977476062</v>
      </c>
      <c r="P67" s="164">
        <f t="shared" si="1"/>
        <v>16551.997022523941</v>
      </c>
      <c r="Q67" s="164">
        <f t="shared" si="2"/>
        <v>0</v>
      </c>
      <c r="R67" s="164">
        <f t="shared" si="11"/>
        <v>0</v>
      </c>
      <c r="S67" s="164">
        <f t="shared" si="3"/>
        <v>2043334.2663528437</v>
      </c>
      <c r="T67" s="164">
        <f t="shared" si="4"/>
        <v>0</v>
      </c>
    </row>
    <row r="68" spans="2:20" x14ac:dyDescent="0.2">
      <c r="B68" s="171"/>
      <c r="D68" s="171"/>
      <c r="F68" s="158">
        <v>57</v>
      </c>
      <c r="G68" s="249">
        <f t="shared" si="5"/>
        <v>45382</v>
      </c>
      <c r="H68" s="158">
        <f t="shared" si="9"/>
        <v>31</v>
      </c>
      <c r="I68" s="254">
        <v>9.9900000000000003E-2</v>
      </c>
      <c r="J68" s="164">
        <f t="shared" si="6"/>
        <v>60000.000000000007</v>
      </c>
      <c r="K68" s="164">
        <f t="shared" si="7"/>
        <v>2043334.2663528437</v>
      </c>
      <c r="L68" s="164">
        <f t="shared" si="10"/>
        <v>2043334.2663528437</v>
      </c>
      <c r="M68" s="164">
        <f t="shared" si="10"/>
        <v>0</v>
      </c>
      <c r="N68" s="164">
        <f t="shared" si="8"/>
        <v>17325.124954053721</v>
      </c>
      <c r="O68" s="164">
        <f t="shared" si="0"/>
        <v>42674.87504594629</v>
      </c>
      <c r="P68" s="164">
        <f t="shared" si="1"/>
        <v>17325.124954053721</v>
      </c>
      <c r="Q68" s="164">
        <f t="shared" si="2"/>
        <v>0</v>
      </c>
      <c r="R68" s="164">
        <f t="shared" si="11"/>
        <v>0</v>
      </c>
      <c r="S68" s="164">
        <f t="shared" si="3"/>
        <v>2000659.3913068974</v>
      </c>
      <c r="T68" s="164">
        <f t="shared" si="4"/>
        <v>0</v>
      </c>
    </row>
    <row r="69" spans="2:20" x14ac:dyDescent="0.2">
      <c r="B69" s="171"/>
      <c r="D69" s="171"/>
      <c r="F69" s="158">
        <v>58</v>
      </c>
      <c r="G69" s="249">
        <f t="shared" si="5"/>
        <v>45412</v>
      </c>
      <c r="H69" s="158">
        <f t="shared" si="9"/>
        <v>30</v>
      </c>
      <c r="I69" s="254">
        <v>9.9900000000000003E-2</v>
      </c>
      <c r="J69" s="164">
        <f t="shared" si="6"/>
        <v>60000.000000000007</v>
      </c>
      <c r="K69" s="164">
        <f t="shared" si="7"/>
        <v>2000659.3913068974</v>
      </c>
      <c r="L69" s="164">
        <f t="shared" si="10"/>
        <v>2000659.3913068974</v>
      </c>
      <c r="M69" s="164">
        <f t="shared" si="10"/>
        <v>0</v>
      </c>
      <c r="N69" s="164">
        <f t="shared" si="8"/>
        <v>16416.08814715064</v>
      </c>
      <c r="O69" s="164">
        <f t="shared" si="0"/>
        <v>43583.911852849371</v>
      </c>
      <c r="P69" s="164">
        <f t="shared" si="1"/>
        <v>16416.08814715064</v>
      </c>
      <c r="Q69" s="164">
        <f t="shared" si="2"/>
        <v>0</v>
      </c>
      <c r="R69" s="164">
        <f t="shared" si="11"/>
        <v>0</v>
      </c>
      <c r="S69" s="164">
        <f t="shared" si="3"/>
        <v>1957075.479454048</v>
      </c>
      <c r="T69" s="164">
        <f t="shared" si="4"/>
        <v>0</v>
      </c>
    </row>
    <row r="70" spans="2:20" x14ac:dyDescent="0.2">
      <c r="B70" s="171"/>
      <c r="D70" s="171"/>
      <c r="F70" s="158">
        <v>59</v>
      </c>
      <c r="G70" s="249">
        <f t="shared" si="5"/>
        <v>45443</v>
      </c>
      <c r="H70" s="158">
        <f t="shared" si="9"/>
        <v>31</v>
      </c>
      <c r="I70" s="254">
        <v>9.9900000000000003E-2</v>
      </c>
      <c r="J70" s="164">
        <f t="shared" si="6"/>
        <v>60000.000000000007</v>
      </c>
      <c r="K70" s="164">
        <f t="shared" si="7"/>
        <v>1957075.479454048</v>
      </c>
      <c r="L70" s="164">
        <f t="shared" si="10"/>
        <v>1957075.479454048</v>
      </c>
      <c r="M70" s="164">
        <f t="shared" si="10"/>
        <v>0</v>
      </c>
      <c r="N70" s="164">
        <f t="shared" si="8"/>
        <v>16593.749629900729</v>
      </c>
      <c r="O70" s="164">
        <f t="shared" si="0"/>
        <v>43406.250370099282</v>
      </c>
      <c r="P70" s="164">
        <f t="shared" si="1"/>
        <v>16593.749629900729</v>
      </c>
      <c r="Q70" s="164">
        <f t="shared" si="2"/>
        <v>0</v>
      </c>
      <c r="R70" s="164">
        <f t="shared" si="11"/>
        <v>0</v>
      </c>
      <c r="S70" s="164">
        <f t="shared" si="3"/>
        <v>1913669.2290839488</v>
      </c>
      <c r="T70" s="164">
        <f t="shared" si="4"/>
        <v>0</v>
      </c>
    </row>
    <row r="71" spans="2:20" x14ac:dyDescent="0.2">
      <c r="B71" s="171"/>
      <c r="D71" s="171"/>
      <c r="F71" s="158">
        <v>60</v>
      </c>
      <c r="G71" s="249">
        <f t="shared" si="5"/>
        <v>45473</v>
      </c>
      <c r="H71" s="158">
        <f t="shared" si="9"/>
        <v>30</v>
      </c>
      <c r="I71" s="254">
        <v>9.9900000000000003E-2</v>
      </c>
      <c r="J71" s="164">
        <f t="shared" si="6"/>
        <v>60000.000000000007</v>
      </c>
      <c r="K71" s="164">
        <f t="shared" si="7"/>
        <v>1913669.2290839488</v>
      </c>
      <c r="L71" s="164">
        <f t="shared" si="10"/>
        <v>1913669.2290839488</v>
      </c>
      <c r="M71" s="164">
        <f t="shared" si="10"/>
        <v>0</v>
      </c>
      <c r="N71" s="164">
        <f t="shared" si="8"/>
        <v>15702.304393058437</v>
      </c>
      <c r="O71" s="164">
        <f t="shared" si="0"/>
        <v>44297.695606941568</v>
      </c>
      <c r="P71" s="164">
        <f t="shared" si="1"/>
        <v>15702.304393058437</v>
      </c>
      <c r="Q71" s="164">
        <f t="shared" si="2"/>
        <v>0</v>
      </c>
      <c r="R71" s="164">
        <f t="shared" si="11"/>
        <v>0</v>
      </c>
      <c r="S71" s="164">
        <f t="shared" si="3"/>
        <v>1869371.5334770072</v>
      </c>
      <c r="T71" s="164">
        <f t="shared" si="4"/>
        <v>0</v>
      </c>
    </row>
    <row r="72" spans="2:20" x14ac:dyDescent="0.2">
      <c r="B72" s="171"/>
      <c r="D72" s="171"/>
      <c r="F72" s="158">
        <v>61</v>
      </c>
      <c r="G72" s="249">
        <f t="shared" si="5"/>
        <v>45504</v>
      </c>
      <c r="H72" s="158">
        <f t="shared" si="9"/>
        <v>31</v>
      </c>
      <c r="I72" s="254">
        <v>9.9900000000000003E-2</v>
      </c>
      <c r="J72" s="164">
        <f t="shared" si="6"/>
        <v>60000.000000000007</v>
      </c>
      <c r="K72" s="164">
        <f t="shared" si="7"/>
        <v>1869371.5334770072</v>
      </c>
      <c r="L72" s="164">
        <f t="shared" si="10"/>
        <v>1869371.5334770072</v>
      </c>
      <c r="M72" s="164">
        <f t="shared" si="10"/>
        <v>0</v>
      </c>
      <c r="N72" s="164">
        <f t="shared" si="8"/>
        <v>15850.121018548783</v>
      </c>
      <c r="O72" s="164">
        <f t="shared" si="0"/>
        <v>44149.878981451227</v>
      </c>
      <c r="P72" s="164">
        <f t="shared" si="1"/>
        <v>15850.121018548783</v>
      </c>
      <c r="Q72" s="164">
        <f t="shared" si="2"/>
        <v>0</v>
      </c>
      <c r="R72" s="164">
        <f t="shared" si="11"/>
        <v>0</v>
      </c>
      <c r="S72" s="164">
        <f t="shared" si="3"/>
        <v>1825221.6544955559</v>
      </c>
      <c r="T72" s="164">
        <f t="shared" si="4"/>
        <v>0</v>
      </c>
    </row>
    <row r="73" spans="2:20" x14ac:dyDescent="0.2">
      <c r="B73" s="171"/>
      <c r="D73" s="171"/>
      <c r="F73" s="158">
        <v>62</v>
      </c>
      <c r="G73" s="249">
        <f t="shared" si="5"/>
        <v>45535</v>
      </c>
      <c r="H73" s="158">
        <f t="shared" si="9"/>
        <v>31</v>
      </c>
      <c r="I73" s="254">
        <v>9.9900000000000003E-2</v>
      </c>
      <c r="J73" s="164">
        <f t="shared" si="6"/>
        <v>60000.000000000007</v>
      </c>
      <c r="K73" s="164">
        <f t="shared" si="7"/>
        <v>1825221.6544955559</v>
      </c>
      <c r="L73" s="164">
        <f t="shared" si="10"/>
        <v>1825221.6544955559</v>
      </c>
      <c r="M73" s="164">
        <f t="shared" si="10"/>
        <v>0</v>
      </c>
      <c r="N73" s="164">
        <f t="shared" si="8"/>
        <v>15475.780812614066</v>
      </c>
      <c r="O73" s="164">
        <f t="shared" si="0"/>
        <v>44524.219187385941</v>
      </c>
      <c r="P73" s="164">
        <f t="shared" si="1"/>
        <v>15475.780812614066</v>
      </c>
      <c r="Q73" s="164">
        <f t="shared" si="2"/>
        <v>0</v>
      </c>
      <c r="R73" s="164">
        <f t="shared" si="11"/>
        <v>0</v>
      </c>
      <c r="S73" s="164">
        <f t="shared" si="3"/>
        <v>1780697.43530817</v>
      </c>
      <c r="T73" s="164">
        <f t="shared" si="4"/>
        <v>0</v>
      </c>
    </row>
    <row r="74" spans="2:20" x14ac:dyDescent="0.2">
      <c r="B74" s="171"/>
      <c r="D74" s="171"/>
      <c r="F74" s="158">
        <v>63</v>
      </c>
      <c r="G74" s="249">
        <f t="shared" si="5"/>
        <v>45565</v>
      </c>
      <c r="H74" s="158">
        <f t="shared" si="9"/>
        <v>30</v>
      </c>
      <c r="I74" s="254">
        <v>9.9900000000000003E-2</v>
      </c>
      <c r="J74" s="164">
        <f t="shared" si="6"/>
        <v>60000.000000000007</v>
      </c>
      <c r="K74" s="164">
        <f t="shared" si="7"/>
        <v>1780697.43530817</v>
      </c>
      <c r="L74" s="164">
        <f t="shared" si="10"/>
        <v>1780697.43530817</v>
      </c>
      <c r="M74" s="164">
        <f t="shared" si="10"/>
        <v>0</v>
      </c>
      <c r="N74" s="164">
        <f t="shared" si="8"/>
        <v>14611.225773083055</v>
      </c>
      <c r="O74" s="164">
        <f t="shared" si="0"/>
        <v>45388.774226916954</v>
      </c>
      <c r="P74" s="164">
        <f t="shared" si="1"/>
        <v>14611.225773083055</v>
      </c>
      <c r="Q74" s="164">
        <f t="shared" si="2"/>
        <v>0</v>
      </c>
      <c r="R74" s="164">
        <f t="shared" si="11"/>
        <v>0</v>
      </c>
      <c r="S74" s="164">
        <f t="shared" si="3"/>
        <v>1735308.6610812531</v>
      </c>
      <c r="T74" s="164">
        <f t="shared" si="4"/>
        <v>0</v>
      </c>
    </row>
    <row r="75" spans="2:20" x14ac:dyDescent="0.2">
      <c r="B75" s="171"/>
      <c r="D75" s="171"/>
      <c r="F75" s="158">
        <v>64</v>
      </c>
      <c r="G75" s="249">
        <f t="shared" si="5"/>
        <v>45596</v>
      </c>
      <c r="H75" s="158">
        <f t="shared" si="9"/>
        <v>31</v>
      </c>
      <c r="I75" s="254">
        <v>9.9900000000000003E-2</v>
      </c>
      <c r="J75" s="164">
        <f t="shared" si="6"/>
        <v>60000.000000000007</v>
      </c>
      <c r="K75" s="164">
        <f t="shared" si="7"/>
        <v>1735308.6610812531</v>
      </c>
      <c r="L75" s="164">
        <f t="shared" si="10"/>
        <v>1735308.6610812531</v>
      </c>
      <c r="M75" s="164">
        <f t="shared" si="10"/>
        <v>0</v>
      </c>
      <c r="N75" s="164">
        <f t="shared" si="8"/>
        <v>14713.42201917189</v>
      </c>
      <c r="O75" s="164">
        <f t="shared" si="0"/>
        <v>45286.577980828115</v>
      </c>
      <c r="P75" s="164">
        <f t="shared" si="1"/>
        <v>14713.42201917189</v>
      </c>
      <c r="Q75" s="164">
        <f t="shared" si="2"/>
        <v>0</v>
      </c>
      <c r="R75" s="164">
        <f t="shared" si="11"/>
        <v>0</v>
      </c>
      <c r="S75" s="164">
        <f t="shared" si="3"/>
        <v>1690022.0831004251</v>
      </c>
      <c r="T75" s="164">
        <f t="shared" si="4"/>
        <v>0</v>
      </c>
    </row>
    <row r="76" spans="2:20" x14ac:dyDescent="0.2">
      <c r="B76" s="171"/>
      <c r="D76" s="171"/>
      <c r="F76" s="158">
        <v>65</v>
      </c>
      <c r="G76" s="249">
        <f t="shared" si="5"/>
        <v>45626</v>
      </c>
      <c r="H76" s="158">
        <f t="shared" si="9"/>
        <v>30</v>
      </c>
      <c r="I76" s="254">
        <v>9.9900000000000003E-2</v>
      </c>
      <c r="J76" s="164">
        <f t="shared" si="6"/>
        <v>60000.000000000007</v>
      </c>
      <c r="K76" s="164">
        <f t="shared" si="7"/>
        <v>1690022.0831004251</v>
      </c>
      <c r="L76" s="164">
        <f t="shared" si="10"/>
        <v>1690022.0831004251</v>
      </c>
      <c r="M76" s="164">
        <f t="shared" si="10"/>
        <v>0</v>
      </c>
      <c r="N76" s="164">
        <f t="shared" si="8"/>
        <v>13867.203786589936</v>
      </c>
      <c r="O76" s="164">
        <f t="shared" ref="O76:O139" si="12">MIN(J76-Q76-P76,L76)</f>
        <v>46132.796213410067</v>
      </c>
      <c r="P76" s="164">
        <f t="shared" ref="P76:P139" si="13">MIN(J76-Q76,N76)</f>
        <v>13867.203786589936</v>
      </c>
      <c r="Q76" s="164">
        <f t="shared" ref="Q76:Q139" si="14">MIN(J76,M76)</f>
        <v>0</v>
      </c>
      <c r="R76" s="164">
        <f t="shared" si="11"/>
        <v>0</v>
      </c>
      <c r="S76" s="164">
        <f t="shared" ref="S76:S139" si="15">L76-O76</f>
        <v>1643889.286887015</v>
      </c>
      <c r="T76" s="164">
        <f t="shared" ref="T76:T139" si="16">M76+R76-Q76</f>
        <v>0</v>
      </c>
    </row>
    <row r="77" spans="2:20" x14ac:dyDescent="0.2">
      <c r="B77" s="171"/>
      <c r="D77" s="171"/>
      <c r="F77" s="158">
        <v>66</v>
      </c>
      <c r="G77" s="249">
        <f t="shared" ref="G77:G140" si="17">EOMONTH($D$9,F77-1)</f>
        <v>45657</v>
      </c>
      <c r="H77" s="158">
        <f t="shared" si="9"/>
        <v>31</v>
      </c>
      <c r="I77" s="254">
        <v>9.9900000000000003E-2</v>
      </c>
      <c r="J77" s="164">
        <f t="shared" ref="J77:J140" si="18">IF(F77=$D$4,K77+N77,MIN($D$5,K77+N77))</f>
        <v>60000.000000000007</v>
      </c>
      <c r="K77" s="164">
        <f t="shared" ref="K77:K140" si="19">L77+M77</f>
        <v>1643889.286887015</v>
      </c>
      <c r="L77" s="164">
        <f t="shared" si="10"/>
        <v>1643889.286887015</v>
      </c>
      <c r="M77" s="164">
        <f t="shared" si="10"/>
        <v>0</v>
      </c>
      <c r="N77" s="164">
        <f t="shared" ref="N77:N140" si="20">L77*I77/365.25*H77</f>
        <v>13938.2908488991</v>
      </c>
      <c r="O77" s="164">
        <f t="shared" si="12"/>
        <v>46061.709151100906</v>
      </c>
      <c r="P77" s="164">
        <f t="shared" si="13"/>
        <v>13938.2908488991</v>
      </c>
      <c r="Q77" s="164">
        <f t="shared" si="14"/>
        <v>0</v>
      </c>
      <c r="R77" s="164">
        <f t="shared" si="11"/>
        <v>0</v>
      </c>
      <c r="S77" s="164">
        <f t="shared" si="15"/>
        <v>1597827.5777359142</v>
      </c>
      <c r="T77" s="164">
        <f t="shared" si="16"/>
        <v>0</v>
      </c>
    </row>
    <row r="78" spans="2:20" x14ac:dyDescent="0.2">
      <c r="B78" s="171"/>
      <c r="D78" s="171"/>
      <c r="F78" s="158">
        <v>67</v>
      </c>
      <c r="G78" s="249">
        <f t="shared" si="17"/>
        <v>45688</v>
      </c>
      <c r="H78" s="158">
        <f t="shared" ref="H78:H141" si="21">G78-G77</f>
        <v>31</v>
      </c>
      <c r="I78" s="254">
        <v>9.9900000000000003E-2</v>
      </c>
      <c r="J78" s="164">
        <f t="shared" si="18"/>
        <v>60000.000000000007</v>
      </c>
      <c r="K78" s="164">
        <f t="shared" si="19"/>
        <v>1597827.5777359142</v>
      </c>
      <c r="L78" s="164">
        <f t="shared" ref="L78:M141" si="22">S77</f>
        <v>1597827.5777359142</v>
      </c>
      <c r="M78" s="164">
        <f t="shared" si="22"/>
        <v>0</v>
      </c>
      <c r="N78" s="164">
        <f t="shared" si="20"/>
        <v>13547.740521534161</v>
      </c>
      <c r="O78" s="164">
        <f t="shared" si="12"/>
        <v>46452.259478465843</v>
      </c>
      <c r="P78" s="164">
        <f t="shared" si="13"/>
        <v>13547.740521534161</v>
      </c>
      <c r="Q78" s="164">
        <f t="shared" si="14"/>
        <v>0</v>
      </c>
      <c r="R78" s="164">
        <f t="shared" ref="R78:R141" si="23">MAX(N78-P78,0)</f>
        <v>0</v>
      </c>
      <c r="S78" s="164">
        <f t="shared" si="15"/>
        <v>1551375.3182574483</v>
      </c>
      <c r="T78" s="164">
        <f t="shared" si="16"/>
        <v>0</v>
      </c>
    </row>
    <row r="79" spans="2:20" x14ac:dyDescent="0.2">
      <c r="B79" s="171"/>
      <c r="D79" s="171"/>
      <c r="F79" s="158">
        <v>68</v>
      </c>
      <c r="G79" s="249">
        <f t="shared" si="17"/>
        <v>45716</v>
      </c>
      <c r="H79" s="158">
        <f t="shared" si="21"/>
        <v>28</v>
      </c>
      <c r="I79" s="254">
        <v>9.9900000000000003E-2</v>
      </c>
      <c r="J79" s="164">
        <f t="shared" si="18"/>
        <v>60000.000000000007</v>
      </c>
      <c r="K79" s="164">
        <f t="shared" si="19"/>
        <v>1551375.3182574483</v>
      </c>
      <c r="L79" s="164">
        <f t="shared" si="22"/>
        <v>1551375.3182574483</v>
      </c>
      <c r="M79" s="164">
        <f t="shared" si="22"/>
        <v>0</v>
      </c>
      <c r="N79" s="164">
        <f t="shared" si="20"/>
        <v>11880.922765858275</v>
      </c>
      <c r="O79" s="164">
        <f t="shared" si="12"/>
        <v>48119.077234141732</v>
      </c>
      <c r="P79" s="164">
        <f t="shared" si="13"/>
        <v>11880.922765858275</v>
      </c>
      <c r="Q79" s="164">
        <f t="shared" si="14"/>
        <v>0</v>
      </c>
      <c r="R79" s="164">
        <f t="shared" si="23"/>
        <v>0</v>
      </c>
      <c r="S79" s="164">
        <f t="shared" si="15"/>
        <v>1503256.2410233065</v>
      </c>
      <c r="T79" s="164">
        <f t="shared" si="16"/>
        <v>0</v>
      </c>
    </row>
    <row r="80" spans="2:20" x14ac:dyDescent="0.2">
      <c r="B80" s="171"/>
      <c r="D80" s="171"/>
      <c r="F80" s="158">
        <v>69</v>
      </c>
      <c r="G80" s="249">
        <f t="shared" si="17"/>
        <v>45747</v>
      </c>
      <c r="H80" s="158">
        <f t="shared" si="21"/>
        <v>31</v>
      </c>
      <c r="I80" s="254">
        <v>9.9900000000000003E-2</v>
      </c>
      <c r="J80" s="164">
        <f t="shared" si="18"/>
        <v>60000.000000000007</v>
      </c>
      <c r="K80" s="164">
        <f t="shared" si="19"/>
        <v>1503256.2410233065</v>
      </c>
      <c r="L80" s="164">
        <f t="shared" si="22"/>
        <v>1503256.2410233065</v>
      </c>
      <c r="M80" s="164">
        <f t="shared" si="22"/>
        <v>0</v>
      </c>
      <c r="N80" s="164">
        <f t="shared" si="20"/>
        <v>12745.884333538886</v>
      </c>
      <c r="O80" s="164">
        <f t="shared" si="12"/>
        <v>47254.115666461119</v>
      </c>
      <c r="P80" s="164">
        <f t="shared" si="13"/>
        <v>12745.884333538886</v>
      </c>
      <c r="Q80" s="164">
        <f t="shared" si="14"/>
        <v>0</v>
      </c>
      <c r="R80" s="164">
        <f t="shared" si="23"/>
        <v>0</v>
      </c>
      <c r="S80" s="164">
        <f t="shared" si="15"/>
        <v>1456002.1253568453</v>
      </c>
      <c r="T80" s="164">
        <f t="shared" si="16"/>
        <v>0</v>
      </c>
    </row>
    <row r="81" spans="2:20" x14ac:dyDescent="0.2">
      <c r="B81" s="171"/>
      <c r="D81" s="171"/>
      <c r="F81" s="158">
        <v>70</v>
      </c>
      <c r="G81" s="249">
        <f t="shared" si="17"/>
        <v>45777</v>
      </c>
      <c r="H81" s="158">
        <f t="shared" si="21"/>
        <v>30</v>
      </c>
      <c r="I81" s="254">
        <v>9.9900000000000003E-2</v>
      </c>
      <c r="J81" s="164">
        <f t="shared" si="18"/>
        <v>60000.000000000007</v>
      </c>
      <c r="K81" s="164">
        <f t="shared" si="19"/>
        <v>1456002.1253568453</v>
      </c>
      <c r="L81" s="164">
        <f t="shared" si="22"/>
        <v>1456002.1253568453</v>
      </c>
      <c r="M81" s="164">
        <f t="shared" si="22"/>
        <v>0</v>
      </c>
      <c r="N81" s="164">
        <f t="shared" si="20"/>
        <v>11946.990745227831</v>
      </c>
      <c r="O81" s="164">
        <f t="shared" si="12"/>
        <v>48053.009254772172</v>
      </c>
      <c r="P81" s="164">
        <f t="shared" si="13"/>
        <v>11946.990745227831</v>
      </c>
      <c r="Q81" s="164">
        <f t="shared" si="14"/>
        <v>0</v>
      </c>
      <c r="R81" s="164">
        <f t="shared" si="23"/>
        <v>0</v>
      </c>
      <c r="S81" s="164">
        <f t="shared" si="15"/>
        <v>1407949.1161020731</v>
      </c>
      <c r="T81" s="164">
        <f t="shared" si="16"/>
        <v>0</v>
      </c>
    </row>
    <row r="82" spans="2:20" x14ac:dyDescent="0.2">
      <c r="B82" s="171"/>
      <c r="D82" s="171"/>
      <c r="F82" s="158">
        <v>71</v>
      </c>
      <c r="G82" s="249">
        <f t="shared" si="17"/>
        <v>45808</v>
      </c>
      <c r="H82" s="158">
        <f t="shared" si="21"/>
        <v>31</v>
      </c>
      <c r="I82" s="254">
        <v>9.9900000000000003E-2</v>
      </c>
      <c r="J82" s="164">
        <f t="shared" si="18"/>
        <v>60000.000000000007</v>
      </c>
      <c r="K82" s="164">
        <f t="shared" si="19"/>
        <v>1407949.1161020731</v>
      </c>
      <c r="L82" s="164">
        <f t="shared" si="22"/>
        <v>1407949.1161020731</v>
      </c>
      <c r="M82" s="164">
        <f t="shared" si="22"/>
        <v>0</v>
      </c>
      <c r="N82" s="164">
        <f t="shared" si="20"/>
        <v>11937.789507615362</v>
      </c>
      <c r="O82" s="164">
        <f t="shared" si="12"/>
        <v>48062.210492384649</v>
      </c>
      <c r="P82" s="164">
        <f t="shared" si="13"/>
        <v>11937.789507615362</v>
      </c>
      <c r="Q82" s="164">
        <f t="shared" si="14"/>
        <v>0</v>
      </c>
      <c r="R82" s="164">
        <f t="shared" si="23"/>
        <v>0</v>
      </c>
      <c r="S82" s="164">
        <f t="shared" si="15"/>
        <v>1359886.9056096885</v>
      </c>
      <c r="T82" s="164">
        <f t="shared" si="16"/>
        <v>0</v>
      </c>
    </row>
    <row r="83" spans="2:20" x14ac:dyDescent="0.2">
      <c r="B83" s="171"/>
      <c r="D83" s="171"/>
      <c r="F83" s="158">
        <v>72</v>
      </c>
      <c r="G83" s="249">
        <f t="shared" si="17"/>
        <v>45838</v>
      </c>
      <c r="H83" s="158">
        <f t="shared" si="21"/>
        <v>30</v>
      </c>
      <c r="I83" s="254">
        <v>9.9900000000000003E-2</v>
      </c>
      <c r="J83" s="164">
        <f t="shared" si="18"/>
        <v>60000.000000000007</v>
      </c>
      <c r="K83" s="164">
        <f t="shared" si="19"/>
        <v>1359886.9056096885</v>
      </c>
      <c r="L83" s="164">
        <f t="shared" si="22"/>
        <v>1359886.9056096885</v>
      </c>
      <c r="M83" s="164">
        <f t="shared" si="22"/>
        <v>0</v>
      </c>
      <c r="N83" s="164">
        <f t="shared" si="20"/>
        <v>11158.332802497567</v>
      </c>
      <c r="O83" s="164">
        <f t="shared" si="12"/>
        <v>48841.667197502436</v>
      </c>
      <c r="P83" s="164">
        <f t="shared" si="13"/>
        <v>11158.332802497567</v>
      </c>
      <c r="Q83" s="164">
        <f t="shared" si="14"/>
        <v>0</v>
      </c>
      <c r="R83" s="164">
        <f t="shared" si="23"/>
        <v>0</v>
      </c>
      <c r="S83" s="164">
        <f t="shared" si="15"/>
        <v>1311045.238412186</v>
      </c>
      <c r="T83" s="164">
        <f t="shared" si="16"/>
        <v>0</v>
      </c>
    </row>
    <row r="84" spans="2:20" x14ac:dyDescent="0.2">
      <c r="B84" s="171"/>
      <c r="D84" s="171"/>
      <c r="F84" s="158">
        <v>73</v>
      </c>
      <c r="G84" s="249">
        <f t="shared" si="17"/>
        <v>45869</v>
      </c>
      <c r="H84" s="158">
        <f t="shared" si="21"/>
        <v>31</v>
      </c>
      <c r="I84" s="254">
        <v>9.9900000000000003E-2</v>
      </c>
      <c r="J84" s="164">
        <f t="shared" si="18"/>
        <v>60000.000000000007</v>
      </c>
      <c r="K84" s="164">
        <f t="shared" si="19"/>
        <v>1311045.238412186</v>
      </c>
      <c r="L84" s="164">
        <f t="shared" si="22"/>
        <v>1311045.238412186</v>
      </c>
      <c r="M84" s="164">
        <f t="shared" si="22"/>
        <v>0</v>
      </c>
      <c r="N84" s="164">
        <f t="shared" si="20"/>
        <v>11116.156054315397</v>
      </c>
      <c r="O84" s="164">
        <f t="shared" si="12"/>
        <v>48883.84394568461</v>
      </c>
      <c r="P84" s="164">
        <f t="shared" si="13"/>
        <v>11116.156054315397</v>
      </c>
      <c r="Q84" s="164">
        <f t="shared" si="14"/>
        <v>0</v>
      </c>
      <c r="R84" s="164">
        <f t="shared" si="23"/>
        <v>0</v>
      </c>
      <c r="S84" s="164">
        <f t="shared" si="15"/>
        <v>1262161.3944665014</v>
      </c>
      <c r="T84" s="164">
        <f t="shared" si="16"/>
        <v>0</v>
      </c>
    </row>
    <row r="85" spans="2:20" x14ac:dyDescent="0.2">
      <c r="B85" s="171"/>
      <c r="D85" s="171"/>
      <c r="F85" s="158">
        <v>74</v>
      </c>
      <c r="G85" s="249">
        <f t="shared" si="17"/>
        <v>45900</v>
      </c>
      <c r="H85" s="158">
        <f t="shared" si="21"/>
        <v>31</v>
      </c>
      <c r="I85" s="254">
        <v>9.9900000000000003E-2</v>
      </c>
      <c r="J85" s="164">
        <f t="shared" si="18"/>
        <v>60000.000000000007</v>
      </c>
      <c r="K85" s="164">
        <f t="shared" si="19"/>
        <v>1262161.3944665014</v>
      </c>
      <c r="L85" s="164">
        <f t="shared" si="22"/>
        <v>1262161.3944665014</v>
      </c>
      <c r="M85" s="164">
        <f t="shared" si="22"/>
        <v>0</v>
      </c>
      <c r="N85" s="164">
        <f t="shared" si="20"/>
        <v>10701.677269057654</v>
      </c>
      <c r="O85" s="164">
        <f t="shared" si="12"/>
        <v>49298.322730942353</v>
      </c>
      <c r="P85" s="164">
        <f t="shared" si="13"/>
        <v>10701.677269057654</v>
      </c>
      <c r="Q85" s="164">
        <f t="shared" si="14"/>
        <v>0</v>
      </c>
      <c r="R85" s="164">
        <f t="shared" si="23"/>
        <v>0</v>
      </c>
      <c r="S85" s="164">
        <f t="shared" si="15"/>
        <v>1212863.071735559</v>
      </c>
      <c r="T85" s="164">
        <f t="shared" si="16"/>
        <v>0</v>
      </c>
    </row>
    <row r="86" spans="2:20" x14ac:dyDescent="0.2">
      <c r="B86" s="171"/>
      <c r="D86" s="171"/>
      <c r="F86" s="158">
        <v>75</v>
      </c>
      <c r="G86" s="249">
        <f t="shared" si="17"/>
        <v>45930</v>
      </c>
      <c r="H86" s="158">
        <f t="shared" si="21"/>
        <v>30</v>
      </c>
      <c r="I86" s="254">
        <v>9.9900000000000003E-2</v>
      </c>
      <c r="J86" s="164">
        <f t="shared" si="18"/>
        <v>60000.000000000007</v>
      </c>
      <c r="K86" s="164">
        <f t="shared" si="19"/>
        <v>1212863.071735559</v>
      </c>
      <c r="L86" s="164">
        <f t="shared" si="22"/>
        <v>1212863.071735559</v>
      </c>
      <c r="M86" s="164">
        <f t="shared" si="22"/>
        <v>0</v>
      </c>
      <c r="N86" s="164">
        <f t="shared" si="20"/>
        <v>9951.952432557071</v>
      </c>
      <c r="O86" s="164">
        <f t="shared" si="12"/>
        <v>50048.047567442933</v>
      </c>
      <c r="P86" s="164">
        <f t="shared" si="13"/>
        <v>9951.952432557071</v>
      </c>
      <c r="Q86" s="164">
        <f t="shared" si="14"/>
        <v>0</v>
      </c>
      <c r="R86" s="164">
        <f t="shared" si="23"/>
        <v>0</v>
      </c>
      <c r="S86" s="164">
        <f t="shared" si="15"/>
        <v>1162815.024168116</v>
      </c>
      <c r="T86" s="164">
        <f t="shared" si="16"/>
        <v>0</v>
      </c>
    </row>
    <row r="87" spans="2:20" x14ac:dyDescent="0.2">
      <c r="B87" s="171"/>
      <c r="D87" s="171"/>
      <c r="F87" s="158">
        <v>76</v>
      </c>
      <c r="G87" s="249">
        <f t="shared" si="17"/>
        <v>45961</v>
      </c>
      <c r="H87" s="158">
        <f t="shared" si="21"/>
        <v>31</v>
      </c>
      <c r="I87" s="254">
        <v>9.9900000000000003E-2</v>
      </c>
      <c r="J87" s="164">
        <f t="shared" si="18"/>
        <v>60000.000000000007</v>
      </c>
      <c r="K87" s="164">
        <f t="shared" si="19"/>
        <v>1162815.024168116</v>
      </c>
      <c r="L87" s="164">
        <f t="shared" si="22"/>
        <v>1162815.024168116</v>
      </c>
      <c r="M87" s="164">
        <f t="shared" si="22"/>
        <v>0</v>
      </c>
      <c r="N87" s="164">
        <f t="shared" si="20"/>
        <v>9859.3342870533561</v>
      </c>
      <c r="O87" s="164">
        <f t="shared" si="12"/>
        <v>50140.665712946648</v>
      </c>
      <c r="P87" s="164">
        <f t="shared" si="13"/>
        <v>9859.3342870533561</v>
      </c>
      <c r="Q87" s="164">
        <f t="shared" si="14"/>
        <v>0</v>
      </c>
      <c r="R87" s="164">
        <f t="shared" si="23"/>
        <v>0</v>
      </c>
      <c r="S87" s="164">
        <f t="shared" si="15"/>
        <v>1112674.3584551695</v>
      </c>
      <c r="T87" s="164">
        <f t="shared" si="16"/>
        <v>0</v>
      </c>
    </row>
    <row r="88" spans="2:20" x14ac:dyDescent="0.2">
      <c r="B88" s="171"/>
      <c r="D88" s="171"/>
      <c r="F88" s="158">
        <v>77</v>
      </c>
      <c r="G88" s="249">
        <f t="shared" si="17"/>
        <v>45991</v>
      </c>
      <c r="H88" s="158">
        <f t="shared" si="21"/>
        <v>30</v>
      </c>
      <c r="I88" s="254">
        <v>9.9900000000000003E-2</v>
      </c>
      <c r="J88" s="164">
        <f t="shared" si="18"/>
        <v>60000.000000000007</v>
      </c>
      <c r="K88" s="164">
        <f t="shared" si="19"/>
        <v>1112674.3584551695</v>
      </c>
      <c r="L88" s="164">
        <f t="shared" si="22"/>
        <v>1112674.3584551695</v>
      </c>
      <c r="M88" s="164">
        <f t="shared" si="22"/>
        <v>0</v>
      </c>
      <c r="N88" s="164">
        <f t="shared" si="20"/>
        <v>9129.8700952502204</v>
      </c>
      <c r="O88" s="164">
        <f t="shared" si="12"/>
        <v>50870.129904749789</v>
      </c>
      <c r="P88" s="164">
        <f t="shared" si="13"/>
        <v>9129.8700952502204</v>
      </c>
      <c r="Q88" s="164">
        <f t="shared" si="14"/>
        <v>0</v>
      </c>
      <c r="R88" s="164">
        <f t="shared" si="23"/>
        <v>0</v>
      </c>
      <c r="S88" s="164">
        <f t="shared" si="15"/>
        <v>1061804.2285504197</v>
      </c>
      <c r="T88" s="164">
        <f t="shared" si="16"/>
        <v>0</v>
      </c>
    </row>
    <row r="89" spans="2:20" x14ac:dyDescent="0.2">
      <c r="B89" s="171"/>
      <c r="D89" s="171"/>
      <c r="F89" s="158">
        <v>78</v>
      </c>
      <c r="G89" s="249">
        <f t="shared" si="17"/>
        <v>46022</v>
      </c>
      <c r="H89" s="158">
        <f t="shared" si="21"/>
        <v>31</v>
      </c>
      <c r="I89" s="254">
        <v>9.9900000000000003E-2</v>
      </c>
      <c r="J89" s="164">
        <f t="shared" si="18"/>
        <v>60000.000000000007</v>
      </c>
      <c r="K89" s="164">
        <f t="shared" si="19"/>
        <v>1061804.2285504197</v>
      </c>
      <c r="L89" s="164">
        <f t="shared" si="22"/>
        <v>1061804.2285504197</v>
      </c>
      <c r="M89" s="164">
        <f t="shared" si="22"/>
        <v>0</v>
      </c>
      <c r="N89" s="164">
        <f t="shared" si="20"/>
        <v>9002.878892259534</v>
      </c>
      <c r="O89" s="164">
        <f t="shared" si="12"/>
        <v>50997.121107740473</v>
      </c>
      <c r="P89" s="164">
        <f t="shared" si="13"/>
        <v>9002.878892259534</v>
      </c>
      <c r="Q89" s="164">
        <f t="shared" si="14"/>
        <v>0</v>
      </c>
      <c r="R89" s="164">
        <f t="shared" si="23"/>
        <v>0</v>
      </c>
      <c r="S89" s="164">
        <f t="shared" si="15"/>
        <v>1010807.1074426792</v>
      </c>
      <c r="T89" s="164">
        <f t="shared" si="16"/>
        <v>0</v>
      </c>
    </row>
    <row r="90" spans="2:20" x14ac:dyDescent="0.2">
      <c r="B90" s="171"/>
      <c r="D90" s="171"/>
      <c r="F90" s="158">
        <v>79</v>
      </c>
      <c r="G90" s="249">
        <f t="shared" si="17"/>
        <v>46053</v>
      </c>
      <c r="H90" s="158">
        <f t="shared" si="21"/>
        <v>31</v>
      </c>
      <c r="I90" s="254">
        <v>9.9900000000000003E-2</v>
      </c>
      <c r="J90" s="164">
        <f t="shared" si="18"/>
        <v>60000.000000000007</v>
      </c>
      <c r="K90" s="164">
        <f t="shared" si="19"/>
        <v>1010807.1074426792</v>
      </c>
      <c r="L90" s="164">
        <f t="shared" si="22"/>
        <v>1010807.1074426792</v>
      </c>
      <c r="M90" s="164">
        <f t="shared" si="22"/>
        <v>0</v>
      </c>
      <c r="N90" s="164">
        <f t="shared" si="20"/>
        <v>8570.4819467193247</v>
      </c>
      <c r="O90" s="164">
        <f t="shared" si="12"/>
        <v>51429.518053280684</v>
      </c>
      <c r="P90" s="164">
        <f t="shared" si="13"/>
        <v>8570.4819467193247</v>
      </c>
      <c r="Q90" s="164">
        <f t="shared" si="14"/>
        <v>0</v>
      </c>
      <c r="R90" s="164">
        <f t="shared" si="23"/>
        <v>0</v>
      </c>
      <c r="S90" s="164">
        <f t="shared" si="15"/>
        <v>959377.58938939858</v>
      </c>
      <c r="T90" s="164">
        <f t="shared" si="16"/>
        <v>0</v>
      </c>
    </row>
    <row r="91" spans="2:20" x14ac:dyDescent="0.2">
      <c r="B91" s="171"/>
      <c r="D91" s="171"/>
      <c r="F91" s="158">
        <v>80</v>
      </c>
      <c r="G91" s="249">
        <f t="shared" si="17"/>
        <v>46081</v>
      </c>
      <c r="H91" s="158">
        <f t="shared" si="21"/>
        <v>28</v>
      </c>
      <c r="I91" s="254">
        <v>9.9900000000000003E-2</v>
      </c>
      <c r="J91" s="164">
        <f t="shared" si="18"/>
        <v>60000.000000000007</v>
      </c>
      <c r="K91" s="164">
        <f t="shared" si="19"/>
        <v>959377.58938939858</v>
      </c>
      <c r="L91" s="164">
        <f t="shared" si="22"/>
        <v>959377.58938939858</v>
      </c>
      <c r="M91" s="164">
        <f t="shared" si="22"/>
        <v>0</v>
      </c>
      <c r="N91" s="164">
        <f t="shared" si="20"/>
        <v>7347.2169556195086</v>
      </c>
      <c r="O91" s="164">
        <f t="shared" si="12"/>
        <v>52652.7830443805</v>
      </c>
      <c r="P91" s="164">
        <f t="shared" si="13"/>
        <v>7347.2169556195086</v>
      </c>
      <c r="Q91" s="164">
        <f t="shared" si="14"/>
        <v>0</v>
      </c>
      <c r="R91" s="164">
        <f t="shared" si="23"/>
        <v>0</v>
      </c>
      <c r="S91" s="164">
        <f t="shared" si="15"/>
        <v>906724.80634501809</v>
      </c>
      <c r="T91" s="164">
        <f t="shared" si="16"/>
        <v>0</v>
      </c>
    </row>
    <row r="92" spans="2:20" x14ac:dyDescent="0.2">
      <c r="B92" s="171"/>
      <c r="D92" s="171"/>
      <c r="F92" s="158">
        <v>81</v>
      </c>
      <c r="G92" s="249">
        <f t="shared" si="17"/>
        <v>46112</v>
      </c>
      <c r="H92" s="158">
        <f t="shared" si="21"/>
        <v>31</v>
      </c>
      <c r="I92" s="254">
        <v>9.9900000000000003E-2</v>
      </c>
      <c r="J92" s="164">
        <f t="shared" si="18"/>
        <v>60000.000000000007</v>
      </c>
      <c r="K92" s="164">
        <f t="shared" si="19"/>
        <v>906724.80634501809</v>
      </c>
      <c r="L92" s="164">
        <f t="shared" si="22"/>
        <v>906724.80634501809</v>
      </c>
      <c r="M92" s="164">
        <f t="shared" si="22"/>
        <v>0</v>
      </c>
      <c r="N92" s="164">
        <f t="shared" si="20"/>
        <v>7687.9837173713531</v>
      </c>
      <c r="O92" s="164">
        <f t="shared" si="12"/>
        <v>52312.016282628654</v>
      </c>
      <c r="P92" s="164">
        <f t="shared" si="13"/>
        <v>7687.9837173713531</v>
      </c>
      <c r="Q92" s="164">
        <f t="shared" si="14"/>
        <v>0</v>
      </c>
      <c r="R92" s="164">
        <f t="shared" si="23"/>
        <v>0</v>
      </c>
      <c r="S92" s="164">
        <f t="shared" si="15"/>
        <v>854412.79006238945</v>
      </c>
      <c r="T92" s="164">
        <f t="shared" si="16"/>
        <v>0</v>
      </c>
    </row>
    <row r="93" spans="2:20" x14ac:dyDescent="0.2">
      <c r="B93" s="171"/>
      <c r="D93" s="171"/>
      <c r="F93" s="158">
        <v>82</v>
      </c>
      <c r="G93" s="249">
        <f t="shared" si="17"/>
        <v>46142</v>
      </c>
      <c r="H93" s="158">
        <f t="shared" si="21"/>
        <v>30</v>
      </c>
      <c r="I93" s="254">
        <v>9.9900000000000003E-2</v>
      </c>
      <c r="J93" s="164">
        <f t="shared" si="18"/>
        <v>60000.000000000007</v>
      </c>
      <c r="K93" s="164">
        <f t="shared" si="19"/>
        <v>854412.79006238945</v>
      </c>
      <c r="L93" s="164">
        <f t="shared" si="22"/>
        <v>854412.79006238945</v>
      </c>
      <c r="M93" s="164">
        <f t="shared" si="22"/>
        <v>0</v>
      </c>
      <c r="N93" s="164">
        <f t="shared" si="20"/>
        <v>7010.746425234719</v>
      </c>
      <c r="O93" s="164">
        <f t="shared" si="12"/>
        <v>52989.253574765287</v>
      </c>
      <c r="P93" s="164">
        <f t="shared" si="13"/>
        <v>7010.746425234719</v>
      </c>
      <c r="Q93" s="164">
        <f t="shared" si="14"/>
        <v>0</v>
      </c>
      <c r="R93" s="164">
        <f t="shared" si="23"/>
        <v>0</v>
      </c>
      <c r="S93" s="164">
        <f t="shared" si="15"/>
        <v>801423.53648762417</v>
      </c>
      <c r="T93" s="164">
        <f t="shared" si="16"/>
        <v>0</v>
      </c>
    </row>
    <row r="94" spans="2:20" x14ac:dyDescent="0.2">
      <c r="B94" s="171"/>
      <c r="D94" s="171"/>
      <c r="F94" s="158">
        <v>83</v>
      </c>
      <c r="G94" s="249">
        <f t="shared" si="17"/>
        <v>46173</v>
      </c>
      <c r="H94" s="158">
        <f t="shared" si="21"/>
        <v>31</v>
      </c>
      <c r="I94" s="254">
        <v>9.9900000000000003E-2</v>
      </c>
      <c r="J94" s="164">
        <f t="shared" si="18"/>
        <v>60000.000000000007</v>
      </c>
      <c r="K94" s="164">
        <f t="shared" si="19"/>
        <v>801423.53648762417</v>
      </c>
      <c r="L94" s="164">
        <f t="shared" si="22"/>
        <v>801423.53648762417</v>
      </c>
      <c r="M94" s="164">
        <f t="shared" si="22"/>
        <v>0</v>
      </c>
      <c r="N94" s="164">
        <f t="shared" si="20"/>
        <v>6795.1500346297689</v>
      </c>
      <c r="O94" s="164">
        <f t="shared" si="12"/>
        <v>53204.849965370238</v>
      </c>
      <c r="P94" s="164">
        <f t="shared" si="13"/>
        <v>6795.1500346297689</v>
      </c>
      <c r="Q94" s="164">
        <f t="shared" si="14"/>
        <v>0</v>
      </c>
      <c r="R94" s="164">
        <f t="shared" si="23"/>
        <v>0</v>
      </c>
      <c r="S94" s="164">
        <f t="shared" si="15"/>
        <v>748218.68652225391</v>
      </c>
      <c r="T94" s="164">
        <f t="shared" si="16"/>
        <v>0</v>
      </c>
    </row>
    <row r="95" spans="2:20" x14ac:dyDescent="0.2">
      <c r="B95" s="171"/>
      <c r="D95" s="171"/>
      <c r="F95" s="158">
        <v>84</v>
      </c>
      <c r="G95" s="249">
        <f t="shared" si="17"/>
        <v>46203</v>
      </c>
      <c r="H95" s="158">
        <f t="shared" si="21"/>
        <v>30</v>
      </c>
      <c r="I95" s="254">
        <v>9.9900000000000003E-2</v>
      </c>
      <c r="J95" s="164">
        <f t="shared" si="18"/>
        <v>60000.000000000007</v>
      </c>
      <c r="K95" s="164">
        <f t="shared" si="19"/>
        <v>748218.68652225391</v>
      </c>
      <c r="L95" s="164">
        <f t="shared" si="22"/>
        <v>748218.68652225391</v>
      </c>
      <c r="M95" s="164">
        <f t="shared" si="22"/>
        <v>0</v>
      </c>
      <c r="N95" s="164">
        <f t="shared" si="20"/>
        <v>6139.3878261661739</v>
      </c>
      <c r="O95" s="164">
        <f t="shared" si="12"/>
        <v>53860.612173833833</v>
      </c>
      <c r="P95" s="164">
        <f t="shared" si="13"/>
        <v>6139.3878261661739</v>
      </c>
      <c r="Q95" s="164">
        <f t="shared" si="14"/>
        <v>0</v>
      </c>
      <c r="R95" s="164">
        <f t="shared" si="23"/>
        <v>0</v>
      </c>
      <c r="S95" s="164">
        <f t="shared" si="15"/>
        <v>694358.07434842002</v>
      </c>
      <c r="T95" s="164">
        <f t="shared" si="16"/>
        <v>0</v>
      </c>
    </row>
    <row r="96" spans="2:20" x14ac:dyDescent="0.2">
      <c r="B96" s="171"/>
      <c r="D96" s="171"/>
      <c r="F96" s="158">
        <v>85</v>
      </c>
      <c r="G96" s="249">
        <f t="shared" si="17"/>
        <v>46234</v>
      </c>
      <c r="H96" s="158">
        <f t="shared" si="21"/>
        <v>31</v>
      </c>
      <c r="I96" s="254">
        <v>9.9900000000000003E-2</v>
      </c>
      <c r="J96" s="164">
        <f t="shared" si="18"/>
        <v>60000.000000000007</v>
      </c>
      <c r="K96" s="164">
        <f t="shared" si="19"/>
        <v>694358.07434842002</v>
      </c>
      <c r="L96" s="164">
        <f t="shared" si="22"/>
        <v>694358.07434842002</v>
      </c>
      <c r="M96" s="164">
        <f t="shared" si="22"/>
        <v>0</v>
      </c>
      <c r="N96" s="164">
        <f t="shared" si="20"/>
        <v>5887.3580299784317</v>
      </c>
      <c r="O96" s="164">
        <f t="shared" si="12"/>
        <v>54112.641970021577</v>
      </c>
      <c r="P96" s="164">
        <f t="shared" si="13"/>
        <v>5887.3580299784317</v>
      </c>
      <c r="Q96" s="164">
        <f t="shared" si="14"/>
        <v>0</v>
      </c>
      <c r="R96" s="164">
        <f t="shared" si="23"/>
        <v>0</v>
      </c>
      <c r="S96" s="164">
        <f t="shared" si="15"/>
        <v>640245.43237839849</v>
      </c>
      <c r="T96" s="164">
        <f t="shared" si="16"/>
        <v>0</v>
      </c>
    </row>
    <row r="97" spans="2:20" x14ac:dyDescent="0.2">
      <c r="B97" s="171"/>
      <c r="D97" s="171"/>
      <c r="F97" s="158">
        <v>86</v>
      </c>
      <c r="G97" s="249">
        <f t="shared" si="17"/>
        <v>46265</v>
      </c>
      <c r="H97" s="158">
        <f t="shared" si="21"/>
        <v>31</v>
      </c>
      <c r="I97" s="254">
        <v>9.9900000000000003E-2</v>
      </c>
      <c r="J97" s="164">
        <f t="shared" si="18"/>
        <v>60000.000000000007</v>
      </c>
      <c r="K97" s="164">
        <f t="shared" si="19"/>
        <v>640245.43237839849</v>
      </c>
      <c r="L97" s="164">
        <f t="shared" si="22"/>
        <v>640245.43237839849</v>
      </c>
      <c r="M97" s="164">
        <f t="shared" si="22"/>
        <v>0</v>
      </c>
      <c r="N97" s="164">
        <f t="shared" si="20"/>
        <v>5428.5450500552015</v>
      </c>
      <c r="O97" s="164">
        <f t="shared" si="12"/>
        <v>54571.454949944804</v>
      </c>
      <c r="P97" s="164">
        <f t="shared" si="13"/>
        <v>5428.5450500552015</v>
      </c>
      <c r="Q97" s="164">
        <f t="shared" si="14"/>
        <v>0</v>
      </c>
      <c r="R97" s="164">
        <f t="shared" si="23"/>
        <v>0</v>
      </c>
      <c r="S97" s="164">
        <f t="shared" si="15"/>
        <v>585673.97742845374</v>
      </c>
      <c r="T97" s="164">
        <f t="shared" si="16"/>
        <v>0</v>
      </c>
    </row>
    <row r="98" spans="2:20" x14ac:dyDescent="0.2">
      <c r="B98" s="171"/>
      <c r="D98" s="171"/>
      <c r="F98" s="158">
        <v>87</v>
      </c>
      <c r="G98" s="249">
        <f t="shared" si="17"/>
        <v>46295</v>
      </c>
      <c r="H98" s="158">
        <f t="shared" si="21"/>
        <v>30</v>
      </c>
      <c r="I98" s="254">
        <v>9.9900000000000003E-2</v>
      </c>
      <c r="J98" s="164">
        <f t="shared" si="18"/>
        <v>60000.000000000007</v>
      </c>
      <c r="K98" s="164">
        <f t="shared" si="19"/>
        <v>585673.97742845374</v>
      </c>
      <c r="L98" s="164">
        <f t="shared" si="22"/>
        <v>585673.97742845374</v>
      </c>
      <c r="M98" s="164">
        <f t="shared" si="22"/>
        <v>0</v>
      </c>
      <c r="N98" s="164">
        <f t="shared" si="20"/>
        <v>4805.6534164355262</v>
      </c>
      <c r="O98" s="164">
        <f t="shared" si="12"/>
        <v>55194.346583564482</v>
      </c>
      <c r="P98" s="164">
        <f t="shared" si="13"/>
        <v>4805.6534164355262</v>
      </c>
      <c r="Q98" s="164">
        <f t="shared" si="14"/>
        <v>0</v>
      </c>
      <c r="R98" s="164">
        <f t="shared" si="23"/>
        <v>0</v>
      </c>
      <c r="S98" s="164">
        <f t="shared" si="15"/>
        <v>530479.63084488921</v>
      </c>
      <c r="T98" s="164">
        <f t="shared" si="16"/>
        <v>0</v>
      </c>
    </row>
    <row r="99" spans="2:20" x14ac:dyDescent="0.2">
      <c r="B99" s="171"/>
      <c r="D99" s="171"/>
      <c r="F99" s="158">
        <v>88</v>
      </c>
      <c r="G99" s="249">
        <f t="shared" si="17"/>
        <v>46326</v>
      </c>
      <c r="H99" s="158">
        <f t="shared" si="21"/>
        <v>31</v>
      </c>
      <c r="I99" s="254">
        <v>9.9900000000000003E-2</v>
      </c>
      <c r="J99" s="164">
        <f t="shared" si="18"/>
        <v>60000.000000000007</v>
      </c>
      <c r="K99" s="164">
        <f t="shared" si="19"/>
        <v>530479.63084488921</v>
      </c>
      <c r="L99" s="164">
        <f t="shared" si="22"/>
        <v>530479.63084488921</v>
      </c>
      <c r="M99" s="164">
        <f t="shared" si="22"/>
        <v>0</v>
      </c>
      <c r="N99" s="164">
        <f t="shared" si="20"/>
        <v>4497.8572724532169</v>
      </c>
      <c r="O99" s="164">
        <f t="shared" si="12"/>
        <v>55502.142727546787</v>
      </c>
      <c r="P99" s="164">
        <f t="shared" si="13"/>
        <v>4497.8572724532169</v>
      </c>
      <c r="Q99" s="164">
        <f t="shared" si="14"/>
        <v>0</v>
      </c>
      <c r="R99" s="164">
        <f t="shared" si="23"/>
        <v>0</v>
      </c>
      <c r="S99" s="164">
        <f t="shared" si="15"/>
        <v>474977.48811734241</v>
      </c>
      <c r="T99" s="164">
        <f t="shared" si="16"/>
        <v>0</v>
      </c>
    </row>
    <row r="100" spans="2:20" x14ac:dyDescent="0.2">
      <c r="B100" s="171"/>
      <c r="D100" s="171"/>
      <c r="F100" s="158">
        <v>89</v>
      </c>
      <c r="G100" s="249">
        <f t="shared" si="17"/>
        <v>46356</v>
      </c>
      <c r="H100" s="158">
        <f t="shared" si="21"/>
        <v>30</v>
      </c>
      <c r="I100" s="254">
        <v>9.9900000000000003E-2</v>
      </c>
      <c r="J100" s="164">
        <f t="shared" si="18"/>
        <v>60000.000000000007</v>
      </c>
      <c r="K100" s="164">
        <f t="shared" si="19"/>
        <v>474977.48811734241</v>
      </c>
      <c r="L100" s="164">
        <f t="shared" si="22"/>
        <v>474977.48811734241</v>
      </c>
      <c r="M100" s="164">
        <f t="shared" si="22"/>
        <v>0</v>
      </c>
      <c r="N100" s="164">
        <f t="shared" si="20"/>
        <v>3897.3512166671467</v>
      </c>
      <c r="O100" s="164">
        <f t="shared" si="12"/>
        <v>56102.648783332857</v>
      </c>
      <c r="P100" s="164">
        <f t="shared" si="13"/>
        <v>3897.3512166671467</v>
      </c>
      <c r="Q100" s="164">
        <f t="shared" si="14"/>
        <v>0</v>
      </c>
      <c r="R100" s="164">
        <f t="shared" si="23"/>
        <v>0</v>
      </c>
      <c r="S100" s="164">
        <f t="shared" si="15"/>
        <v>418874.83933400956</v>
      </c>
      <c r="T100" s="164">
        <f t="shared" si="16"/>
        <v>0</v>
      </c>
    </row>
    <row r="101" spans="2:20" x14ac:dyDescent="0.2">
      <c r="B101" s="171"/>
      <c r="D101" s="171"/>
      <c r="F101" s="158">
        <v>90</v>
      </c>
      <c r="G101" s="249">
        <f t="shared" si="17"/>
        <v>46387</v>
      </c>
      <c r="H101" s="158">
        <f t="shared" si="21"/>
        <v>31</v>
      </c>
      <c r="I101" s="254">
        <v>9.9900000000000003E-2</v>
      </c>
      <c r="J101" s="164">
        <f t="shared" si="18"/>
        <v>60000.000000000007</v>
      </c>
      <c r="K101" s="164">
        <f t="shared" si="19"/>
        <v>418874.83933400956</v>
      </c>
      <c r="L101" s="164">
        <f t="shared" si="22"/>
        <v>418874.83933400956</v>
      </c>
      <c r="M101" s="164">
        <f t="shared" si="22"/>
        <v>0</v>
      </c>
      <c r="N101" s="164">
        <f t="shared" si="20"/>
        <v>3551.5769744927975</v>
      </c>
      <c r="O101" s="164">
        <f t="shared" si="12"/>
        <v>56448.423025507211</v>
      </c>
      <c r="P101" s="164">
        <f t="shared" si="13"/>
        <v>3551.5769744927975</v>
      </c>
      <c r="Q101" s="164">
        <f t="shared" si="14"/>
        <v>0</v>
      </c>
      <c r="R101" s="164">
        <f t="shared" si="23"/>
        <v>0</v>
      </c>
      <c r="S101" s="164">
        <f t="shared" si="15"/>
        <v>362426.41630850238</v>
      </c>
      <c r="T101" s="164">
        <f t="shared" si="16"/>
        <v>0</v>
      </c>
    </row>
    <row r="102" spans="2:20" x14ac:dyDescent="0.2">
      <c r="B102" s="171"/>
      <c r="D102" s="171"/>
      <c r="F102" s="158">
        <v>91</v>
      </c>
      <c r="G102" s="249">
        <f t="shared" si="17"/>
        <v>46418</v>
      </c>
      <c r="H102" s="158">
        <f t="shared" si="21"/>
        <v>31</v>
      </c>
      <c r="I102" s="254">
        <v>9.9900000000000003E-2</v>
      </c>
      <c r="J102" s="164">
        <f t="shared" si="18"/>
        <v>60000.000000000007</v>
      </c>
      <c r="K102" s="164">
        <f t="shared" si="19"/>
        <v>362426.41630850238</v>
      </c>
      <c r="L102" s="164">
        <f t="shared" si="22"/>
        <v>362426.41630850238</v>
      </c>
      <c r="M102" s="164">
        <f t="shared" si="22"/>
        <v>0</v>
      </c>
      <c r="N102" s="164">
        <f t="shared" si="20"/>
        <v>3072.9592571274497</v>
      </c>
      <c r="O102" s="164">
        <f t="shared" si="12"/>
        <v>56927.040742872559</v>
      </c>
      <c r="P102" s="164">
        <f t="shared" si="13"/>
        <v>3072.9592571274497</v>
      </c>
      <c r="Q102" s="164">
        <f t="shared" si="14"/>
        <v>0</v>
      </c>
      <c r="R102" s="164">
        <f t="shared" si="23"/>
        <v>0</v>
      </c>
      <c r="S102" s="164">
        <f t="shared" si="15"/>
        <v>305499.3755656298</v>
      </c>
      <c r="T102" s="164">
        <f t="shared" si="16"/>
        <v>0</v>
      </c>
    </row>
    <row r="103" spans="2:20" x14ac:dyDescent="0.2">
      <c r="B103" s="171"/>
      <c r="D103" s="171"/>
      <c r="F103" s="158">
        <v>92</v>
      </c>
      <c r="G103" s="249">
        <f t="shared" si="17"/>
        <v>46446</v>
      </c>
      <c r="H103" s="158">
        <f t="shared" si="21"/>
        <v>28</v>
      </c>
      <c r="I103" s="254">
        <v>9.9900000000000003E-2</v>
      </c>
      <c r="J103" s="164">
        <f t="shared" si="18"/>
        <v>60000.000000000007</v>
      </c>
      <c r="K103" s="164">
        <f t="shared" si="19"/>
        <v>305499.3755656298</v>
      </c>
      <c r="L103" s="164">
        <f t="shared" si="22"/>
        <v>305499.3755656298</v>
      </c>
      <c r="M103" s="164">
        <f t="shared" si="22"/>
        <v>0</v>
      </c>
      <c r="N103" s="164">
        <f t="shared" si="20"/>
        <v>2339.6108236336199</v>
      </c>
      <c r="O103" s="164">
        <f t="shared" si="12"/>
        <v>57660.389176366385</v>
      </c>
      <c r="P103" s="164">
        <f t="shared" si="13"/>
        <v>2339.6108236336199</v>
      </c>
      <c r="Q103" s="164">
        <f t="shared" si="14"/>
        <v>0</v>
      </c>
      <c r="R103" s="164">
        <f t="shared" si="23"/>
        <v>0</v>
      </c>
      <c r="S103" s="164">
        <f t="shared" si="15"/>
        <v>247838.98638926342</v>
      </c>
      <c r="T103" s="164">
        <f t="shared" si="16"/>
        <v>0</v>
      </c>
    </row>
    <row r="104" spans="2:20" x14ac:dyDescent="0.2">
      <c r="B104" s="171"/>
      <c r="D104" s="171"/>
      <c r="F104" s="158">
        <v>93</v>
      </c>
      <c r="G104" s="249">
        <f t="shared" si="17"/>
        <v>46477</v>
      </c>
      <c r="H104" s="158">
        <f t="shared" si="21"/>
        <v>31</v>
      </c>
      <c r="I104" s="254">
        <v>9.9900000000000003E-2</v>
      </c>
      <c r="J104" s="164">
        <f t="shared" si="18"/>
        <v>60000.000000000007</v>
      </c>
      <c r="K104" s="164">
        <f t="shared" si="19"/>
        <v>247838.98638926342</v>
      </c>
      <c r="L104" s="164">
        <f t="shared" si="22"/>
        <v>247838.98638926342</v>
      </c>
      <c r="M104" s="164">
        <f t="shared" si="22"/>
        <v>0</v>
      </c>
      <c r="N104" s="164">
        <f t="shared" si="20"/>
        <v>2101.3896151920871</v>
      </c>
      <c r="O104" s="164">
        <f t="shared" si="12"/>
        <v>57898.610384807922</v>
      </c>
      <c r="P104" s="164">
        <f t="shared" si="13"/>
        <v>2101.3896151920871</v>
      </c>
      <c r="Q104" s="164">
        <f t="shared" si="14"/>
        <v>0</v>
      </c>
      <c r="R104" s="164">
        <f t="shared" si="23"/>
        <v>0</v>
      </c>
      <c r="S104" s="164">
        <f t="shared" si="15"/>
        <v>189940.37600445549</v>
      </c>
      <c r="T104" s="164">
        <f t="shared" si="16"/>
        <v>0</v>
      </c>
    </row>
    <row r="105" spans="2:20" x14ac:dyDescent="0.2">
      <c r="B105" s="171"/>
      <c r="D105" s="171"/>
      <c r="F105" s="158">
        <v>94</v>
      </c>
      <c r="G105" s="249">
        <f t="shared" si="17"/>
        <v>46507</v>
      </c>
      <c r="H105" s="158">
        <f t="shared" si="21"/>
        <v>30</v>
      </c>
      <c r="I105" s="254">
        <v>9.9900000000000003E-2</v>
      </c>
      <c r="J105" s="164">
        <f t="shared" si="18"/>
        <v>60000.000000000007</v>
      </c>
      <c r="K105" s="164">
        <f t="shared" si="19"/>
        <v>189940.37600445549</v>
      </c>
      <c r="L105" s="164">
        <f t="shared" si="22"/>
        <v>189940.37600445549</v>
      </c>
      <c r="M105" s="164">
        <f t="shared" si="22"/>
        <v>0</v>
      </c>
      <c r="N105" s="164">
        <f t="shared" si="20"/>
        <v>1558.5251386320415</v>
      </c>
      <c r="O105" s="164">
        <f t="shared" si="12"/>
        <v>58441.474861367969</v>
      </c>
      <c r="P105" s="164">
        <f t="shared" si="13"/>
        <v>1558.5251386320415</v>
      </c>
      <c r="Q105" s="164">
        <f t="shared" si="14"/>
        <v>0</v>
      </c>
      <c r="R105" s="164">
        <f t="shared" si="23"/>
        <v>0</v>
      </c>
      <c r="S105" s="164">
        <f t="shared" si="15"/>
        <v>131498.90114308754</v>
      </c>
      <c r="T105" s="164">
        <f t="shared" si="16"/>
        <v>0</v>
      </c>
    </row>
    <row r="106" spans="2:20" x14ac:dyDescent="0.2">
      <c r="B106" s="171"/>
      <c r="D106" s="171"/>
      <c r="F106" s="158">
        <v>95</v>
      </c>
      <c r="G106" s="249">
        <f t="shared" si="17"/>
        <v>46538</v>
      </c>
      <c r="H106" s="158">
        <f t="shared" si="21"/>
        <v>31</v>
      </c>
      <c r="I106" s="254">
        <v>9.9900000000000003E-2</v>
      </c>
      <c r="J106" s="164">
        <f t="shared" si="18"/>
        <v>60000.000000000007</v>
      </c>
      <c r="K106" s="164">
        <f t="shared" si="19"/>
        <v>131498.90114308754</v>
      </c>
      <c r="L106" s="164">
        <f t="shared" si="22"/>
        <v>131498.90114308754</v>
      </c>
      <c r="M106" s="164">
        <f t="shared" si="22"/>
        <v>0</v>
      </c>
      <c r="N106" s="164">
        <f t="shared" si="20"/>
        <v>1114.9594714579816</v>
      </c>
      <c r="O106" s="164">
        <f t="shared" si="12"/>
        <v>58885.040528542027</v>
      </c>
      <c r="P106" s="164">
        <f t="shared" si="13"/>
        <v>1114.9594714579816</v>
      </c>
      <c r="Q106" s="164">
        <f t="shared" si="14"/>
        <v>0</v>
      </c>
      <c r="R106" s="164">
        <f t="shared" si="23"/>
        <v>0</v>
      </c>
      <c r="S106" s="164">
        <f t="shared" si="15"/>
        <v>72613.860614545512</v>
      </c>
      <c r="T106" s="164">
        <f t="shared" si="16"/>
        <v>0</v>
      </c>
    </row>
    <row r="107" spans="2:20" x14ac:dyDescent="0.2">
      <c r="B107" s="171"/>
      <c r="D107" s="171"/>
      <c r="F107" s="158">
        <v>96</v>
      </c>
      <c r="G107" s="249">
        <f t="shared" si="17"/>
        <v>46568</v>
      </c>
      <c r="H107" s="158">
        <f t="shared" si="21"/>
        <v>30</v>
      </c>
      <c r="I107" s="254">
        <v>9.9900000000000003E-2</v>
      </c>
      <c r="J107" s="164">
        <f t="shared" si="18"/>
        <v>60000.000000000007</v>
      </c>
      <c r="K107" s="164">
        <f t="shared" si="19"/>
        <v>72613.860614545512</v>
      </c>
      <c r="L107" s="164">
        <f t="shared" si="22"/>
        <v>72613.860614545512</v>
      </c>
      <c r="M107" s="164">
        <f t="shared" si="22"/>
        <v>0</v>
      </c>
      <c r="N107" s="164">
        <f t="shared" si="20"/>
        <v>595.82132857438171</v>
      </c>
      <c r="O107" s="164">
        <f t="shared" si="12"/>
        <v>59404.178671425623</v>
      </c>
      <c r="P107" s="164">
        <f t="shared" si="13"/>
        <v>595.82132857438171</v>
      </c>
      <c r="Q107" s="164">
        <f t="shared" si="14"/>
        <v>0</v>
      </c>
      <c r="R107" s="164">
        <f t="shared" si="23"/>
        <v>0</v>
      </c>
      <c r="S107" s="164">
        <f t="shared" si="15"/>
        <v>13209.681943119889</v>
      </c>
      <c r="T107" s="164">
        <f t="shared" si="16"/>
        <v>0</v>
      </c>
    </row>
    <row r="108" spans="2:20" x14ac:dyDescent="0.2">
      <c r="B108" s="171"/>
      <c r="D108" s="171"/>
      <c r="F108" s="158">
        <v>97</v>
      </c>
      <c r="G108" s="249">
        <f t="shared" si="17"/>
        <v>46599</v>
      </c>
      <c r="H108" s="158">
        <f t="shared" si="21"/>
        <v>31</v>
      </c>
      <c r="I108" s="254">
        <v>9.9900000000000003E-2</v>
      </c>
      <c r="J108" s="164">
        <f t="shared" si="18"/>
        <v>13321.684856219541</v>
      </c>
      <c r="K108" s="164">
        <f t="shared" si="19"/>
        <v>13209.681943119889</v>
      </c>
      <c r="L108" s="164">
        <f t="shared" si="22"/>
        <v>13209.681943119889</v>
      </c>
      <c r="M108" s="164">
        <f t="shared" si="22"/>
        <v>0</v>
      </c>
      <c r="N108" s="164">
        <f t="shared" si="20"/>
        <v>112.00291309965226</v>
      </c>
      <c r="O108" s="164">
        <f t="shared" si="12"/>
        <v>13209.681943119889</v>
      </c>
      <c r="P108" s="164">
        <f t="shared" si="13"/>
        <v>112.00291309965226</v>
      </c>
      <c r="Q108" s="164">
        <f t="shared" si="14"/>
        <v>0</v>
      </c>
      <c r="R108" s="164">
        <f t="shared" si="23"/>
        <v>0</v>
      </c>
      <c r="S108" s="164">
        <f t="shared" si="15"/>
        <v>0</v>
      </c>
      <c r="T108" s="164">
        <f t="shared" si="16"/>
        <v>0</v>
      </c>
    </row>
    <row r="109" spans="2:20" x14ac:dyDescent="0.2">
      <c r="B109" s="171"/>
      <c r="D109" s="171"/>
      <c r="F109" s="158">
        <v>98</v>
      </c>
      <c r="G109" s="249">
        <f t="shared" si="17"/>
        <v>46630</v>
      </c>
      <c r="H109" s="158">
        <f t="shared" si="21"/>
        <v>31</v>
      </c>
      <c r="I109" s="254">
        <v>9.9900000000000003E-2</v>
      </c>
      <c r="J109" s="164">
        <f t="shared" si="18"/>
        <v>0</v>
      </c>
      <c r="K109" s="164">
        <f t="shared" si="19"/>
        <v>0</v>
      </c>
      <c r="L109" s="164">
        <f t="shared" si="22"/>
        <v>0</v>
      </c>
      <c r="M109" s="164">
        <f t="shared" si="22"/>
        <v>0</v>
      </c>
      <c r="N109" s="164">
        <f t="shared" si="20"/>
        <v>0</v>
      </c>
      <c r="O109" s="164">
        <f t="shared" si="12"/>
        <v>0</v>
      </c>
      <c r="P109" s="164">
        <f t="shared" si="13"/>
        <v>0</v>
      </c>
      <c r="Q109" s="164">
        <f t="shared" si="14"/>
        <v>0</v>
      </c>
      <c r="R109" s="164">
        <f t="shared" si="23"/>
        <v>0</v>
      </c>
      <c r="S109" s="164">
        <f t="shared" si="15"/>
        <v>0</v>
      </c>
      <c r="T109" s="164">
        <f t="shared" si="16"/>
        <v>0</v>
      </c>
    </row>
    <row r="110" spans="2:20" x14ac:dyDescent="0.2">
      <c r="B110" s="171"/>
      <c r="D110" s="171"/>
      <c r="F110" s="158">
        <v>99</v>
      </c>
      <c r="G110" s="249">
        <f t="shared" si="17"/>
        <v>46660</v>
      </c>
      <c r="H110" s="158">
        <f t="shared" si="21"/>
        <v>30</v>
      </c>
      <c r="I110" s="254">
        <v>9.9900000000000003E-2</v>
      </c>
      <c r="J110" s="164">
        <f t="shared" si="18"/>
        <v>0</v>
      </c>
      <c r="K110" s="164">
        <f t="shared" si="19"/>
        <v>0</v>
      </c>
      <c r="L110" s="164">
        <f t="shared" si="22"/>
        <v>0</v>
      </c>
      <c r="M110" s="164">
        <f t="shared" si="22"/>
        <v>0</v>
      </c>
      <c r="N110" s="164">
        <f t="shared" si="20"/>
        <v>0</v>
      </c>
      <c r="O110" s="164">
        <f t="shared" si="12"/>
        <v>0</v>
      </c>
      <c r="P110" s="164">
        <f t="shared" si="13"/>
        <v>0</v>
      </c>
      <c r="Q110" s="164">
        <f t="shared" si="14"/>
        <v>0</v>
      </c>
      <c r="R110" s="164">
        <f t="shared" si="23"/>
        <v>0</v>
      </c>
      <c r="S110" s="164">
        <f t="shared" si="15"/>
        <v>0</v>
      </c>
      <c r="T110" s="164">
        <f t="shared" si="16"/>
        <v>0</v>
      </c>
    </row>
    <row r="111" spans="2:20" x14ac:dyDescent="0.2">
      <c r="B111" s="171"/>
      <c r="D111" s="171"/>
      <c r="F111" s="158">
        <v>100</v>
      </c>
      <c r="G111" s="249">
        <f t="shared" si="17"/>
        <v>46691</v>
      </c>
      <c r="H111" s="158">
        <f t="shared" si="21"/>
        <v>31</v>
      </c>
      <c r="I111" s="254">
        <v>9.9900000000000003E-2</v>
      </c>
      <c r="J111" s="164">
        <f t="shared" si="18"/>
        <v>0</v>
      </c>
      <c r="K111" s="164">
        <f t="shared" si="19"/>
        <v>0</v>
      </c>
      <c r="L111" s="164">
        <f t="shared" si="22"/>
        <v>0</v>
      </c>
      <c r="M111" s="164">
        <f t="shared" si="22"/>
        <v>0</v>
      </c>
      <c r="N111" s="164">
        <f t="shared" si="20"/>
        <v>0</v>
      </c>
      <c r="O111" s="164">
        <f t="shared" si="12"/>
        <v>0</v>
      </c>
      <c r="P111" s="164">
        <f t="shared" si="13"/>
        <v>0</v>
      </c>
      <c r="Q111" s="164">
        <f t="shared" si="14"/>
        <v>0</v>
      </c>
      <c r="R111" s="164">
        <f t="shared" si="23"/>
        <v>0</v>
      </c>
      <c r="S111" s="164">
        <f t="shared" si="15"/>
        <v>0</v>
      </c>
      <c r="T111" s="164">
        <f t="shared" si="16"/>
        <v>0</v>
      </c>
    </row>
    <row r="112" spans="2:20" x14ac:dyDescent="0.2">
      <c r="B112" s="171"/>
      <c r="D112" s="171"/>
      <c r="F112" s="158">
        <v>101</v>
      </c>
      <c r="G112" s="249">
        <f t="shared" si="17"/>
        <v>46721</v>
      </c>
      <c r="H112" s="158">
        <f t="shared" si="21"/>
        <v>30</v>
      </c>
      <c r="I112" s="254">
        <v>9.9900000000000003E-2</v>
      </c>
      <c r="J112" s="164">
        <f t="shared" si="18"/>
        <v>0</v>
      </c>
      <c r="K112" s="164">
        <f t="shared" si="19"/>
        <v>0</v>
      </c>
      <c r="L112" s="164">
        <f t="shared" si="22"/>
        <v>0</v>
      </c>
      <c r="M112" s="164">
        <f t="shared" si="22"/>
        <v>0</v>
      </c>
      <c r="N112" s="164">
        <f t="shared" si="20"/>
        <v>0</v>
      </c>
      <c r="O112" s="164">
        <f t="shared" si="12"/>
        <v>0</v>
      </c>
      <c r="P112" s="164">
        <f t="shared" si="13"/>
        <v>0</v>
      </c>
      <c r="Q112" s="164">
        <f t="shared" si="14"/>
        <v>0</v>
      </c>
      <c r="R112" s="164">
        <f t="shared" si="23"/>
        <v>0</v>
      </c>
      <c r="S112" s="164">
        <f t="shared" si="15"/>
        <v>0</v>
      </c>
      <c r="T112" s="164">
        <f t="shared" si="16"/>
        <v>0</v>
      </c>
    </row>
    <row r="113" spans="2:20" x14ac:dyDescent="0.2">
      <c r="B113" s="171"/>
      <c r="D113" s="171"/>
      <c r="F113" s="158">
        <v>102</v>
      </c>
      <c r="G113" s="249">
        <f t="shared" si="17"/>
        <v>46752</v>
      </c>
      <c r="H113" s="158">
        <f t="shared" si="21"/>
        <v>31</v>
      </c>
      <c r="I113" s="254">
        <v>9.9900000000000003E-2</v>
      </c>
      <c r="J113" s="164">
        <f t="shared" si="18"/>
        <v>0</v>
      </c>
      <c r="K113" s="164">
        <f t="shared" si="19"/>
        <v>0</v>
      </c>
      <c r="L113" s="164">
        <f t="shared" si="22"/>
        <v>0</v>
      </c>
      <c r="M113" s="164">
        <f t="shared" si="22"/>
        <v>0</v>
      </c>
      <c r="N113" s="164">
        <f t="shared" si="20"/>
        <v>0</v>
      </c>
      <c r="O113" s="164">
        <f t="shared" si="12"/>
        <v>0</v>
      </c>
      <c r="P113" s="164">
        <f t="shared" si="13"/>
        <v>0</v>
      </c>
      <c r="Q113" s="164">
        <f t="shared" si="14"/>
        <v>0</v>
      </c>
      <c r="R113" s="164">
        <f t="shared" si="23"/>
        <v>0</v>
      </c>
      <c r="S113" s="164">
        <f t="shared" si="15"/>
        <v>0</v>
      </c>
      <c r="T113" s="164">
        <f t="shared" si="16"/>
        <v>0</v>
      </c>
    </row>
    <row r="114" spans="2:20" x14ac:dyDescent="0.2">
      <c r="B114" s="171"/>
      <c r="D114" s="171"/>
      <c r="F114" s="158">
        <v>103</v>
      </c>
      <c r="G114" s="249">
        <f t="shared" si="17"/>
        <v>46783</v>
      </c>
      <c r="H114" s="158">
        <f t="shared" si="21"/>
        <v>31</v>
      </c>
      <c r="I114" s="254">
        <v>9.9900000000000003E-2</v>
      </c>
      <c r="J114" s="164">
        <f t="shared" si="18"/>
        <v>0</v>
      </c>
      <c r="K114" s="164">
        <f t="shared" si="19"/>
        <v>0</v>
      </c>
      <c r="L114" s="164">
        <f t="shared" si="22"/>
        <v>0</v>
      </c>
      <c r="M114" s="164">
        <f t="shared" si="22"/>
        <v>0</v>
      </c>
      <c r="N114" s="164">
        <f t="shared" si="20"/>
        <v>0</v>
      </c>
      <c r="O114" s="164">
        <f t="shared" si="12"/>
        <v>0</v>
      </c>
      <c r="P114" s="164">
        <f t="shared" si="13"/>
        <v>0</v>
      </c>
      <c r="Q114" s="164">
        <f t="shared" si="14"/>
        <v>0</v>
      </c>
      <c r="R114" s="164">
        <f t="shared" si="23"/>
        <v>0</v>
      </c>
      <c r="S114" s="164">
        <f t="shared" si="15"/>
        <v>0</v>
      </c>
      <c r="T114" s="164">
        <f t="shared" si="16"/>
        <v>0</v>
      </c>
    </row>
    <row r="115" spans="2:20" x14ac:dyDescent="0.2">
      <c r="B115" s="171"/>
      <c r="D115" s="171"/>
      <c r="F115" s="158">
        <v>104</v>
      </c>
      <c r="G115" s="249">
        <f t="shared" si="17"/>
        <v>46812</v>
      </c>
      <c r="H115" s="158">
        <f t="shared" si="21"/>
        <v>29</v>
      </c>
      <c r="I115" s="254">
        <v>9.9900000000000003E-2</v>
      </c>
      <c r="J115" s="164">
        <f t="shared" si="18"/>
        <v>0</v>
      </c>
      <c r="K115" s="164">
        <f t="shared" si="19"/>
        <v>0</v>
      </c>
      <c r="L115" s="164">
        <f t="shared" si="22"/>
        <v>0</v>
      </c>
      <c r="M115" s="164">
        <f t="shared" si="22"/>
        <v>0</v>
      </c>
      <c r="N115" s="164">
        <f t="shared" si="20"/>
        <v>0</v>
      </c>
      <c r="O115" s="164">
        <f t="shared" si="12"/>
        <v>0</v>
      </c>
      <c r="P115" s="164">
        <f t="shared" si="13"/>
        <v>0</v>
      </c>
      <c r="Q115" s="164">
        <f t="shared" si="14"/>
        <v>0</v>
      </c>
      <c r="R115" s="164">
        <f t="shared" si="23"/>
        <v>0</v>
      </c>
      <c r="S115" s="164">
        <f t="shared" si="15"/>
        <v>0</v>
      </c>
      <c r="T115" s="164">
        <f t="shared" si="16"/>
        <v>0</v>
      </c>
    </row>
    <row r="116" spans="2:20" x14ac:dyDescent="0.2">
      <c r="B116" s="171"/>
      <c r="D116" s="171"/>
      <c r="F116" s="158">
        <v>105</v>
      </c>
      <c r="G116" s="249">
        <f t="shared" si="17"/>
        <v>46843</v>
      </c>
      <c r="H116" s="158">
        <f t="shared" si="21"/>
        <v>31</v>
      </c>
      <c r="I116" s="254">
        <v>9.9900000000000003E-2</v>
      </c>
      <c r="J116" s="164">
        <f t="shared" si="18"/>
        <v>0</v>
      </c>
      <c r="K116" s="164">
        <f t="shared" si="19"/>
        <v>0</v>
      </c>
      <c r="L116" s="164">
        <f t="shared" si="22"/>
        <v>0</v>
      </c>
      <c r="M116" s="164">
        <f t="shared" si="22"/>
        <v>0</v>
      </c>
      <c r="N116" s="164">
        <f t="shared" si="20"/>
        <v>0</v>
      </c>
      <c r="O116" s="164">
        <f t="shared" si="12"/>
        <v>0</v>
      </c>
      <c r="P116" s="164">
        <f t="shared" si="13"/>
        <v>0</v>
      </c>
      <c r="Q116" s="164">
        <f t="shared" si="14"/>
        <v>0</v>
      </c>
      <c r="R116" s="164">
        <f t="shared" si="23"/>
        <v>0</v>
      </c>
      <c r="S116" s="164">
        <f t="shared" si="15"/>
        <v>0</v>
      </c>
      <c r="T116" s="164">
        <f t="shared" si="16"/>
        <v>0</v>
      </c>
    </row>
    <row r="117" spans="2:20" x14ac:dyDescent="0.2">
      <c r="B117" s="171"/>
      <c r="D117" s="171"/>
      <c r="F117" s="158">
        <v>106</v>
      </c>
      <c r="G117" s="249">
        <f t="shared" si="17"/>
        <v>46873</v>
      </c>
      <c r="H117" s="158">
        <f t="shared" si="21"/>
        <v>30</v>
      </c>
      <c r="I117" s="254">
        <v>9.9900000000000003E-2</v>
      </c>
      <c r="J117" s="164">
        <f t="shared" si="18"/>
        <v>0</v>
      </c>
      <c r="K117" s="164">
        <f t="shared" si="19"/>
        <v>0</v>
      </c>
      <c r="L117" s="164">
        <f t="shared" si="22"/>
        <v>0</v>
      </c>
      <c r="M117" s="164">
        <f t="shared" si="22"/>
        <v>0</v>
      </c>
      <c r="N117" s="164">
        <f t="shared" si="20"/>
        <v>0</v>
      </c>
      <c r="O117" s="164">
        <f t="shared" si="12"/>
        <v>0</v>
      </c>
      <c r="P117" s="164">
        <f t="shared" si="13"/>
        <v>0</v>
      </c>
      <c r="Q117" s="164">
        <f t="shared" si="14"/>
        <v>0</v>
      </c>
      <c r="R117" s="164">
        <f t="shared" si="23"/>
        <v>0</v>
      </c>
      <c r="S117" s="164">
        <f t="shared" si="15"/>
        <v>0</v>
      </c>
      <c r="T117" s="164">
        <f t="shared" si="16"/>
        <v>0</v>
      </c>
    </row>
    <row r="118" spans="2:20" x14ac:dyDescent="0.2">
      <c r="B118" s="171"/>
      <c r="D118" s="171"/>
      <c r="F118" s="158">
        <v>107</v>
      </c>
      <c r="G118" s="249">
        <f t="shared" si="17"/>
        <v>46904</v>
      </c>
      <c r="H118" s="158">
        <f t="shared" si="21"/>
        <v>31</v>
      </c>
      <c r="I118" s="254">
        <v>9.9900000000000003E-2</v>
      </c>
      <c r="J118" s="164">
        <f t="shared" si="18"/>
        <v>0</v>
      </c>
      <c r="K118" s="164">
        <f t="shared" si="19"/>
        <v>0</v>
      </c>
      <c r="L118" s="164">
        <f t="shared" si="22"/>
        <v>0</v>
      </c>
      <c r="M118" s="164">
        <f t="shared" si="22"/>
        <v>0</v>
      </c>
      <c r="N118" s="164">
        <f t="shared" si="20"/>
        <v>0</v>
      </c>
      <c r="O118" s="164">
        <f t="shared" si="12"/>
        <v>0</v>
      </c>
      <c r="P118" s="164">
        <f t="shared" si="13"/>
        <v>0</v>
      </c>
      <c r="Q118" s="164">
        <f t="shared" si="14"/>
        <v>0</v>
      </c>
      <c r="R118" s="164">
        <f t="shared" si="23"/>
        <v>0</v>
      </c>
      <c r="S118" s="164">
        <f t="shared" si="15"/>
        <v>0</v>
      </c>
      <c r="T118" s="164">
        <f t="shared" si="16"/>
        <v>0</v>
      </c>
    </row>
    <row r="119" spans="2:20" x14ac:dyDescent="0.2">
      <c r="B119" s="171"/>
      <c r="D119" s="171"/>
      <c r="F119" s="158">
        <v>108</v>
      </c>
      <c r="G119" s="249">
        <f t="shared" si="17"/>
        <v>46934</v>
      </c>
      <c r="H119" s="158">
        <f t="shared" si="21"/>
        <v>30</v>
      </c>
      <c r="I119" s="254">
        <v>9.9900000000000003E-2</v>
      </c>
      <c r="J119" s="164">
        <f t="shared" si="18"/>
        <v>0</v>
      </c>
      <c r="K119" s="164">
        <f t="shared" si="19"/>
        <v>0</v>
      </c>
      <c r="L119" s="164">
        <f t="shared" si="22"/>
        <v>0</v>
      </c>
      <c r="M119" s="164">
        <f t="shared" si="22"/>
        <v>0</v>
      </c>
      <c r="N119" s="164">
        <f t="shared" si="20"/>
        <v>0</v>
      </c>
      <c r="O119" s="164">
        <f t="shared" si="12"/>
        <v>0</v>
      </c>
      <c r="P119" s="164">
        <f t="shared" si="13"/>
        <v>0</v>
      </c>
      <c r="Q119" s="164">
        <f t="shared" si="14"/>
        <v>0</v>
      </c>
      <c r="R119" s="164">
        <f t="shared" si="23"/>
        <v>0</v>
      </c>
      <c r="S119" s="164">
        <f t="shared" si="15"/>
        <v>0</v>
      </c>
      <c r="T119" s="164">
        <f t="shared" si="16"/>
        <v>0</v>
      </c>
    </row>
    <row r="120" spans="2:20" x14ac:dyDescent="0.2">
      <c r="B120" s="171"/>
      <c r="D120" s="171"/>
      <c r="F120" s="158">
        <v>109</v>
      </c>
      <c r="G120" s="249">
        <f t="shared" si="17"/>
        <v>46965</v>
      </c>
      <c r="H120" s="158">
        <f t="shared" si="21"/>
        <v>31</v>
      </c>
      <c r="I120" s="254">
        <v>9.9900000000000003E-2</v>
      </c>
      <c r="J120" s="164">
        <f t="shared" si="18"/>
        <v>0</v>
      </c>
      <c r="K120" s="164">
        <f t="shared" si="19"/>
        <v>0</v>
      </c>
      <c r="L120" s="164">
        <f t="shared" si="22"/>
        <v>0</v>
      </c>
      <c r="M120" s="164">
        <f t="shared" si="22"/>
        <v>0</v>
      </c>
      <c r="N120" s="164">
        <f t="shared" si="20"/>
        <v>0</v>
      </c>
      <c r="O120" s="164">
        <f t="shared" si="12"/>
        <v>0</v>
      </c>
      <c r="P120" s="164">
        <f t="shared" si="13"/>
        <v>0</v>
      </c>
      <c r="Q120" s="164">
        <f t="shared" si="14"/>
        <v>0</v>
      </c>
      <c r="R120" s="164">
        <f t="shared" si="23"/>
        <v>0</v>
      </c>
      <c r="S120" s="164">
        <f t="shared" si="15"/>
        <v>0</v>
      </c>
      <c r="T120" s="164">
        <f t="shared" si="16"/>
        <v>0</v>
      </c>
    </row>
    <row r="121" spans="2:20" x14ac:dyDescent="0.2">
      <c r="B121" s="171"/>
      <c r="D121" s="171"/>
      <c r="F121" s="158">
        <v>110</v>
      </c>
      <c r="G121" s="249">
        <f t="shared" si="17"/>
        <v>46996</v>
      </c>
      <c r="H121" s="158">
        <f t="shared" si="21"/>
        <v>31</v>
      </c>
      <c r="I121" s="254">
        <v>9.9900000000000003E-2</v>
      </c>
      <c r="J121" s="164">
        <f t="shared" si="18"/>
        <v>0</v>
      </c>
      <c r="K121" s="164">
        <f t="shared" si="19"/>
        <v>0</v>
      </c>
      <c r="L121" s="164">
        <f t="shared" si="22"/>
        <v>0</v>
      </c>
      <c r="M121" s="164">
        <f t="shared" si="22"/>
        <v>0</v>
      </c>
      <c r="N121" s="164">
        <f t="shared" si="20"/>
        <v>0</v>
      </c>
      <c r="O121" s="164">
        <f t="shared" si="12"/>
        <v>0</v>
      </c>
      <c r="P121" s="164">
        <f t="shared" si="13"/>
        <v>0</v>
      </c>
      <c r="Q121" s="164">
        <f t="shared" si="14"/>
        <v>0</v>
      </c>
      <c r="R121" s="164">
        <f t="shared" si="23"/>
        <v>0</v>
      </c>
      <c r="S121" s="164">
        <f t="shared" si="15"/>
        <v>0</v>
      </c>
      <c r="T121" s="164">
        <f t="shared" si="16"/>
        <v>0</v>
      </c>
    </row>
    <row r="122" spans="2:20" x14ac:dyDescent="0.2">
      <c r="B122" s="171"/>
      <c r="D122" s="171"/>
      <c r="F122" s="158">
        <v>111</v>
      </c>
      <c r="G122" s="249">
        <f t="shared" si="17"/>
        <v>47026</v>
      </c>
      <c r="H122" s="158">
        <f t="shared" si="21"/>
        <v>30</v>
      </c>
      <c r="I122" s="254">
        <v>9.9900000000000003E-2</v>
      </c>
      <c r="J122" s="164">
        <f t="shared" si="18"/>
        <v>0</v>
      </c>
      <c r="K122" s="164">
        <f t="shared" si="19"/>
        <v>0</v>
      </c>
      <c r="L122" s="164">
        <f t="shared" si="22"/>
        <v>0</v>
      </c>
      <c r="M122" s="164">
        <f t="shared" si="22"/>
        <v>0</v>
      </c>
      <c r="N122" s="164">
        <f t="shared" si="20"/>
        <v>0</v>
      </c>
      <c r="O122" s="164">
        <f t="shared" si="12"/>
        <v>0</v>
      </c>
      <c r="P122" s="164">
        <f t="shared" si="13"/>
        <v>0</v>
      </c>
      <c r="Q122" s="164">
        <f t="shared" si="14"/>
        <v>0</v>
      </c>
      <c r="R122" s="164">
        <f t="shared" si="23"/>
        <v>0</v>
      </c>
      <c r="S122" s="164">
        <f t="shared" si="15"/>
        <v>0</v>
      </c>
      <c r="T122" s="164">
        <f t="shared" si="16"/>
        <v>0</v>
      </c>
    </row>
    <row r="123" spans="2:20" x14ac:dyDescent="0.2">
      <c r="B123" s="171"/>
      <c r="D123" s="171"/>
      <c r="F123" s="158">
        <v>112</v>
      </c>
      <c r="G123" s="249">
        <f t="shared" si="17"/>
        <v>47057</v>
      </c>
      <c r="H123" s="158">
        <f t="shared" si="21"/>
        <v>31</v>
      </c>
      <c r="I123" s="254">
        <v>9.9900000000000003E-2</v>
      </c>
      <c r="J123" s="164">
        <f t="shared" si="18"/>
        <v>0</v>
      </c>
      <c r="K123" s="164">
        <f t="shared" si="19"/>
        <v>0</v>
      </c>
      <c r="L123" s="164">
        <f t="shared" si="22"/>
        <v>0</v>
      </c>
      <c r="M123" s="164">
        <f t="shared" si="22"/>
        <v>0</v>
      </c>
      <c r="N123" s="164">
        <f t="shared" si="20"/>
        <v>0</v>
      </c>
      <c r="O123" s="164">
        <f t="shared" si="12"/>
        <v>0</v>
      </c>
      <c r="P123" s="164">
        <f t="shared" si="13"/>
        <v>0</v>
      </c>
      <c r="Q123" s="164">
        <f t="shared" si="14"/>
        <v>0</v>
      </c>
      <c r="R123" s="164">
        <f t="shared" si="23"/>
        <v>0</v>
      </c>
      <c r="S123" s="164">
        <f t="shared" si="15"/>
        <v>0</v>
      </c>
      <c r="T123" s="164">
        <f t="shared" si="16"/>
        <v>0</v>
      </c>
    </row>
    <row r="124" spans="2:20" x14ac:dyDescent="0.2">
      <c r="B124" s="171"/>
      <c r="D124" s="171"/>
      <c r="F124" s="158">
        <v>113</v>
      </c>
      <c r="G124" s="249">
        <f t="shared" si="17"/>
        <v>47087</v>
      </c>
      <c r="H124" s="158">
        <f t="shared" si="21"/>
        <v>30</v>
      </c>
      <c r="I124" s="254">
        <v>9.9900000000000003E-2</v>
      </c>
      <c r="J124" s="164">
        <f t="shared" si="18"/>
        <v>0</v>
      </c>
      <c r="K124" s="164">
        <f t="shared" si="19"/>
        <v>0</v>
      </c>
      <c r="L124" s="164">
        <f t="shared" si="22"/>
        <v>0</v>
      </c>
      <c r="M124" s="164">
        <f t="shared" si="22"/>
        <v>0</v>
      </c>
      <c r="N124" s="164">
        <f t="shared" si="20"/>
        <v>0</v>
      </c>
      <c r="O124" s="164">
        <f t="shared" si="12"/>
        <v>0</v>
      </c>
      <c r="P124" s="164">
        <f t="shared" si="13"/>
        <v>0</v>
      </c>
      <c r="Q124" s="164">
        <f t="shared" si="14"/>
        <v>0</v>
      </c>
      <c r="R124" s="164">
        <f t="shared" si="23"/>
        <v>0</v>
      </c>
      <c r="S124" s="164">
        <f t="shared" si="15"/>
        <v>0</v>
      </c>
      <c r="T124" s="164">
        <f t="shared" si="16"/>
        <v>0</v>
      </c>
    </row>
    <row r="125" spans="2:20" x14ac:dyDescent="0.2">
      <c r="B125" s="171"/>
      <c r="D125" s="171"/>
      <c r="F125" s="158">
        <v>114</v>
      </c>
      <c r="G125" s="249">
        <f t="shared" si="17"/>
        <v>47118</v>
      </c>
      <c r="H125" s="158">
        <f t="shared" si="21"/>
        <v>31</v>
      </c>
      <c r="I125" s="254">
        <v>9.9900000000000003E-2</v>
      </c>
      <c r="J125" s="164">
        <f t="shared" si="18"/>
        <v>0</v>
      </c>
      <c r="K125" s="164">
        <f t="shared" si="19"/>
        <v>0</v>
      </c>
      <c r="L125" s="164">
        <f t="shared" si="22"/>
        <v>0</v>
      </c>
      <c r="M125" s="164">
        <f t="shared" si="22"/>
        <v>0</v>
      </c>
      <c r="N125" s="164">
        <f t="shared" si="20"/>
        <v>0</v>
      </c>
      <c r="O125" s="164">
        <f t="shared" si="12"/>
        <v>0</v>
      </c>
      <c r="P125" s="164">
        <f t="shared" si="13"/>
        <v>0</v>
      </c>
      <c r="Q125" s="164">
        <f t="shared" si="14"/>
        <v>0</v>
      </c>
      <c r="R125" s="164">
        <f t="shared" si="23"/>
        <v>0</v>
      </c>
      <c r="S125" s="164">
        <f t="shared" si="15"/>
        <v>0</v>
      </c>
      <c r="T125" s="164">
        <f t="shared" si="16"/>
        <v>0</v>
      </c>
    </row>
    <row r="126" spans="2:20" x14ac:dyDescent="0.2">
      <c r="B126" s="171"/>
      <c r="D126" s="171"/>
      <c r="F126" s="158">
        <v>115</v>
      </c>
      <c r="G126" s="249">
        <f t="shared" si="17"/>
        <v>47149</v>
      </c>
      <c r="H126" s="158">
        <f t="shared" si="21"/>
        <v>31</v>
      </c>
      <c r="I126" s="254">
        <v>9.9900000000000003E-2</v>
      </c>
      <c r="J126" s="164">
        <f t="shared" si="18"/>
        <v>0</v>
      </c>
      <c r="K126" s="164">
        <f t="shared" si="19"/>
        <v>0</v>
      </c>
      <c r="L126" s="164">
        <f t="shared" si="22"/>
        <v>0</v>
      </c>
      <c r="M126" s="164">
        <f t="shared" si="22"/>
        <v>0</v>
      </c>
      <c r="N126" s="164">
        <f t="shared" si="20"/>
        <v>0</v>
      </c>
      <c r="O126" s="164">
        <f t="shared" si="12"/>
        <v>0</v>
      </c>
      <c r="P126" s="164">
        <f t="shared" si="13"/>
        <v>0</v>
      </c>
      <c r="Q126" s="164">
        <f t="shared" si="14"/>
        <v>0</v>
      </c>
      <c r="R126" s="164">
        <f t="shared" si="23"/>
        <v>0</v>
      </c>
      <c r="S126" s="164">
        <f t="shared" si="15"/>
        <v>0</v>
      </c>
      <c r="T126" s="164">
        <f t="shared" si="16"/>
        <v>0</v>
      </c>
    </row>
    <row r="127" spans="2:20" x14ac:dyDescent="0.2">
      <c r="B127" s="171"/>
      <c r="D127" s="171"/>
      <c r="F127" s="158">
        <v>116</v>
      </c>
      <c r="G127" s="249">
        <f t="shared" si="17"/>
        <v>47177</v>
      </c>
      <c r="H127" s="158">
        <f t="shared" si="21"/>
        <v>28</v>
      </c>
      <c r="I127" s="254">
        <v>9.9900000000000003E-2</v>
      </c>
      <c r="J127" s="164">
        <f t="shared" si="18"/>
        <v>0</v>
      </c>
      <c r="K127" s="164">
        <f t="shared" si="19"/>
        <v>0</v>
      </c>
      <c r="L127" s="164">
        <f t="shared" si="22"/>
        <v>0</v>
      </c>
      <c r="M127" s="164">
        <f t="shared" si="22"/>
        <v>0</v>
      </c>
      <c r="N127" s="164">
        <f t="shared" si="20"/>
        <v>0</v>
      </c>
      <c r="O127" s="164">
        <f t="shared" si="12"/>
        <v>0</v>
      </c>
      <c r="P127" s="164">
        <f t="shared" si="13"/>
        <v>0</v>
      </c>
      <c r="Q127" s="164">
        <f t="shared" si="14"/>
        <v>0</v>
      </c>
      <c r="R127" s="164">
        <f t="shared" si="23"/>
        <v>0</v>
      </c>
      <c r="S127" s="164">
        <f t="shared" si="15"/>
        <v>0</v>
      </c>
      <c r="T127" s="164">
        <f t="shared" si="16"/>
        <v>0</v>
      </c>
    </row>
    <row r="128" spans="2:20" x14ac:dyDescent="0.2">
      <c r="B128" s="171"/>
      <c r="D128" s="171"/>
      <c r="F128" s="158">
        <v>117</v>
      </c>
      <c r="G128" s="249">
        <f t="shared" si="17"/>
        <v>47208</v>
      </c>
      <c r="H128" s="158">
        <f t="shared" si="21"/>
        <v>31</v>
      </c>
      <c r="I128" s="254">
        <v>9.9900000000000003E-2</v>
      </c>
      <c r="J128" s="164">
        <f t="shared" si="18"/>
        <v>0</v>
      </c>
      <c r="K128" s="164">
        <f t="shared" si="19"/>
        <v>0</v>
      </c>
      <c r="L128" s="164">
        <f t="shared" si="22"/>
        <v>0</v>
      </c>
      <c r="M128" s="164">
        <f t="shared" si="22"/>
        <v>0</v>
      </c>
      <c r="N128" s="164">
        <f t="shared" si="20"/>
        <v>0</v>
      </c>
      <c r="O128" s="164">
        <f t="shared" si="12"/>
        <v>0</v>
      </c>
      <c r="P128" s="164">
        <f t="shared" si="13"/>
        <v>0</v>
      </c>
      <c r="Q128" s="164">
        <f t="shared" si="14"/>
        <v>0</v>
      </c>
      <c r="R128" s="164">
        <f t="shared" si="23"/>
        <v>0</v>
      </c>
      <c r="S128" s="164">
        <f t="shared" si="15"/>
        <v>0</v>
      </c>
      <c r="T128" s="164">
        <f t="shared" si="16"/>
        <v>0</v>
      </c>
    </row>
    <row r="129" spans="2:20" x14ac:dyDescent="0.2">
      <c r="B129" s="171"/>
      <c r="D129" s="171"/>
      <c r="F129" s="158">
        <v>118</v>
      </c>
      <c r="G129" s="249">
        <f t="shared" si="17"/>
        <v>47238</v>
      </c>
      <c r="H129" s="158">
        <f t="shared" si="21"/>
        <v>30</v>
      </c>
      <c r="I129" s="254">
        <v>9.9900000000000003E-2</v>
      </c>
      <c r="J129" s="164">
        <f t="shared" si="18"/>
        <v>0</v>
      </c>
      <c r="K129" s="164">
        <f t="shared" si="19"/>
        <v>0</v>
      </c>
      <c r="L129" s="164">
        <f t="shared" si="22"/>
        <v>0</v>
      </c>
      <c r="M129" s="164">
        <f t="shared" si="22"/>
        <v>0</v>
      </c>
      <c r="N129" s="164">
        <f t="shared" si="20"/>
        <v>0</v>
      </c>
      <c r="O129" s="164">
        <f t="shared" si="12"/>
        <v>0</v>
      </c>
      <c r="P129" s="164">
        <f t="shared" si="13"/>
        <v>0</v>
      </c>
      <c r="Q129" s="164">
        <f t="shared" si="14"/>
        <v>0</v>
      </c>
      <c r="R129" s="164">
        <f t="shared" si="23"/>
        <v>0</v>
      </c>
      <c r="S129" s="164">
        <f t="shared" si="15"/>
        <v>0</v>
      </c>
      <c r="T129" s="164">
        <f t="shared" si="16"/>
        <v>0</v>
      </c>
    </row>
    <row r="130" spans="2:20" x14ac:dyDescent="0.2">
      <c r="B130" s="171"/>
      <c r="D130" s="171"/>
      <c r="F130" s="158">
        <v>119</v>
      </c>
      <c r="G130" s="249">
        <f t="shared" si="17"/>
        <v>47269</v>
      </c>
      <c r="H130" s="158">
        <f t="shared" si="21"/>
        <v>31</v>
      </c>
      <c r="I130" s="254">
        <v>9.9900000000000003E-2</v>
      </c>
      <c r="J130" s="164">
        <f t="shared" si="18"/>
        <v>0</v>
      </c>
      <c r="K130" s="164">
        <f t="shared" si="19"/>
        <v>0</v>
      </c>
      <c r="L130" s="164">
        <f t="shared" si="22"/>
        <v>0</v>
      </c>
      <c r="M130" s="164">
        <f t="shared" si="22"/>
        <v>0</v>
      </c>
      <c r="N130" s="164">
        <f t="shared" si="20"/>
        <v>0</v>
      </c>
      <c r="O130" s="164">
        <f t="shared" si="12"/>
        <v>0</v>
      </c>
      <c r="P130" s="164">
        <f t="shared" si="13"/>
        <v>0</v>
      </c>
      <c r="Q130" s="164">
        <f t="shared" si="14"/>
        <v>0</v>
      </c>
      <c r="R130" s="164">
        <f t="shared" si="23"/>
        <v>0</v>
      </c>
      <c r="S130" s="164">
        <f t="shared" si="15"/>
        <v>0</v>
      </c>
      <c r="T130" s="164">
        <f t="shared" si="16"/>
        <v>0</v>
      </c>
    </row>
    <row r="131" spans="2:20" x14ac:dyDescent="0.2">
      <c r="B131" s="171"/>
      <c r="D131" s="171"/>
      <c r="F131" s="158">
        <v>120</v>
      </c>
      <c r="G131" s="249">
        <f t="shared" si="17"/>
        <v>47299</v>
      </c>
      <c r="H131" s="158">
        <f t="shared" si="21"/>
        <v>30</v>
      </c>
      <c r="I131" s="254">
        <v>9.9900000000000003E-2</v>
      </c>
      <c r="J131" s="164">
        <f t="shared" si="18"/>
        <v>0</v>
      </c>
      <c r="K131" s="164">
        <f t="shared" si="19"/>
        <v>0</v>
      </c>
      <c r="L131" s="164">
        <f t="shared" si="22"/>
        <v>0</v>
      </c>
      <c r="M131" s="164">
        <f t="shared" si="22"/>
        <v>0</v>
      </c>
      <c r="N131" s="164">
        <f t="shared" si="20"/>
        <v>0</v>
      </c>
      <c r="O131" s="164">
        <f t="shared" si="12"/>
        <v>0</v>
      </c>
      <c r="P131" s="164">
        <f t="shared" si="13"/>
        <v>0</v>
      </c>
      <c r="Q131" s="164">
        <f t="shared" si="14"/>
        <v>0</v>
      </c>
      <c r="R131" s="164">
        <f t="shared" si="23"/>
        <v>0</v>
      </c>
      <c r="S131" s="164">
        <f t="shared" si="15"/>
        <v>0</v>
      </c>
      <c r="T131" s="164">
        <f t="shared" si="16"/>
        <v>0</v>
      </c>
    </row>
    <row r="132" spans="2:20" x14ac:dyDescent="0.2">
      <c r="B132" s="171"/>
      <c r="D132" s="171"/>
      <c r="F132" s="158">
        <v>121</v>
      </c>
      <c r="G132" s="249">
        <f t="shared" si="17"/>
        <v>47330</v>
      </c>
      <c r="H132" s="158">
        <f t="shared" si="21"/>
        <v>31</v>
      </c>
      <c r="I132" s="254">
        <v>9.9900000000000003E-2</v>
      </c>
      <c r="J132" s="164">
        <f t="shared" si="18"/>
        <v>0</v>
      </c>
      <c r="K132" s="164">
        <f t="shared" si="19"/>
        <v>0</v>
      </c>
      <c r="L132" s="164">
        <f t="shared" si="22"/>
        <v>0</v>
      </c>
      <c r="M132" s="164">
        <f t="shared" si="22"/>
        <v>0</v>
      </c>
      <c r="N132" s="164">
        <f t="shared" si="20"/>
        <v>0</v>
      </c>
      <c r="O132" s="164">
        <f t="shared" si="12"/>
        <v>0</v>
      </c>
      <c r="P132" s="164">
        <f t="shared" si="13"/>
        <v>0</v>
      </c>
      <c r="Q132" s="164">
        <f t="shared" si="14"/>
        <v>0</v>
      </c>
      <c r="R132" s="164">
        <f t="shared" si="23"/>
        <v>0</v>
      </c>
      <c r="S132" s="164">
        <f t="shared" si="15"/>
        <v>0</v>
      </c>
      <c r="T132" s="164">
        <f t="shared" si="16"/>
        <v>0</v>
      </c>
    </row>
    <row r="133" spans="2:20" x14ac:dyDescent="0.2">
      <c r="B133" s="171"/>
      <c r="D133" s="171"/>
      <c r="F133" s="158">
        <v>122</v>
      </c>
      <c r="G133" s="249">
        <f t="shared" si="17"/>
        <v>47361</v>
      </c>
      <c r="H133" s="158">
        <f t="shared" si="21"/>
        <v>31</v>
      </c>
      <c r="I133" s="254">
        <v>9.9900000000000003E-2</v>
      </c>
      <c r="J133" s="164">
        <f t="shared" si="18"/>
        <v>0</v>
      </c>
      <c r="K133" s="164">
        <f t="shared" si="19"/>
        <v>0</v>
      </c>
      <c r="L133" s="164">
        <f t="shared" si="22"/>
        <v>0</v>
      </c>
      <c r="M133" s="164">
        <f t="shared" si="22"/>
        <v>0</v>
      </c>
      <c r="N133" s="164">
        <f t="shared" si="20"/>
        <v>0</v>
      </c>
      <c r="O133" s="164">
        <f t="shared" si="12"/>
        <v>0</v>
      </c>
      <c r="P133" s="164">
        <f t="shared" si="13"/>
        <v>0</v>
      </c>
      <c r="Q133" s="164">
        <f t="shared" si="14"/>
        <v>0</v>
      </c>
      <c r="R133" s="164">
        <f t="shared" si="23"/>
        <v>0</v>
      </c>
      <c r="S133" s="164">
        <f t="shared" si="15"/>
        <v>0</v>
      </c>
      <c r="T133" s="164">
        <f t="shared" si="16"/>
        <v>0</v>
      </c>
    </row>
    <row r="134" spans="2:20" x14ac:dyDescent="0.2">
      <c r="B134" s="171"/>
      <c r="D134" s="171"/>
      <c r="F134" s="158">
        <v>123</v>
      </c>
      <c r="G134" s="249">
        <f t="shared" si="17"/>
        <v>47391</v>
      </c>
      <c r="H134" s="158">
        <f t="shared" si="21"/>
        <v>30</v>
      </c>
      <c r="I134" s="254">
        <v>9.9900000000000003E-2</v>
      </c>
      <c r="J134" s="164">
        <f t="shared" si="18"/>
        <v>0</v>
      </c>
      <c r="K134" s="164">
        <f t="shared" si="19"/>
        <v>0</v>
      </c>
      <c r="L134" s="164">
        <f t="shared" si="22"/>
        <v>0</v>
      </c>
      <c r="M134" s="164">
        <f t="shared" si="22"/>
        <v>0</v>
      </c>
      <c r="N134" s="164">
        <f t="shared" si="20"/>
        <v>0</v>
      </c>
      <c r="O134" s="164">
        <f t="shared" si="12"/>
        <v>0</v>
      </c>
      <c r="P134" s="164">
        <f t="shared" si="13"/>
        <v>0</v>
      </c>
      <c r="Q134" s="164">
        <f t="shared" si="14"/>
        <v>0</v>
      </c>
      <c r="R134" s="164">
        <f t="shared" si="23"/>
        <v>0</v>
      </c>
      <c r="S134" s="164">
        <f t="shared" si="15"/>
        <v>0</v>
      </c>
      <c r="T134" s="164">
        <f t="shared" si="16"/>
        <v>0</v>
      </c>
    </row>
    <row r="135" spans="2:20" x14ac:dyDescent="0.2">
      <c r="B135" s="171"/>
      <c r="D135" s="171"/>
      <c r="F135" s="158">
        <v>124</v>
      </c>
      <c r="G135" s="249">
        <f t="shared" si="17"/>
        <v>47422</v>
      </c>
      <c r="H135" s="158">
        <f t="shared" si="21"/>
        <v>31</v>
      </c>
      <c r="I135" s="254">
        <v>9.9900000000000003E-2</v>
      </c>
      <c r="J135" s="164">
        <f t="shared" si="18"/>
        <v>0</v>
      </c>
      <c r="K135" s="164">
        <f t="shared" si="19"/>
        <v>0</v>
      </c>
      <c r="L135" s="164">
        <f t="shared" si="22"/>
        <v>0</v>
      </c>
      <c r="M135" s="164">
        <f t="shared" si="22"/>
        <v>0</v>
      </c>
      <c r="N135" s="164">
        <f t="shared" si="20"/>
        <v>0</v>
      </c>
      <c r="O135" s="164">
        <f t="shared" si="12"/>
        <v>0</v>
      </c>
      <c r="P135" s="164">
        <f t="shared" si="13"/>
        <v>0</v>
      </c>
      <c r="Q135" s="164">
        <f t="shared" si="14"/>
        <v>0</v>
      </c>
      <c r="R135" s="164">
        <f t="shared" si="23"/>
        <v>0</v>
      </c>
      <c r="S135" s="164">
        <f t="shared" si="15"/>
        <v>0</v>
      </c>
      <c r="T135" s="164">
        <f t="shared" si="16"/>
        <v>0</v>
      </c>
    </row>
    <row r="136" spans="2:20" x14ac:dyDescent="0.2">
      <c r="B136" s="171"/>
      <c r="D136" s="171"/>
      <c r="F136" s="158">
        <v>125</v>
      </c>
      <c r="G136" s="249">
        <f t="shared" si="17"/>
        <v>47452</v>
      </c>
      <c r="H136" s="158">
        <f t="shared" si="21"/>
        <v>30</v>
      </c>
      <c r="I136" s="254">
        <v>9.9900000000000003E-2</v>
      </c>
      <c r="J136" s="164">
        <f t="shared" si="18"/>
        <v>0</v>
      </c>
      <c r="K136" s="164">
        <f t="shared" si="19"/>
        <v>0</v>
      </c>
      <c r="L136" s="164">
        <f t="shared" si="22"/>
        <v>0</v>
      </c>
      <c r="M136" s="164">
        <f t="shared" si="22"/>
        <v>0</v>
      </c>
      <c r="N136" s="164">
        <f t="shared" si="20"/>
        <v>0</v>
      </c>
      <c r="O136" s="164">
        <f t="shared" si="12"/>
        <v>0</v>
      </c>
      <c r="P136" s="164">
        <f t="shared" si="13"/>
        <v>0</v>
      </c>
      <c r="Q136" s="164">
        <f t="shared" si="14"/>
        <v>0</v>
      </c>
      <c r="R136" s="164">
        <f t="shared" si="23"/>
        <v>0</v>
      </c>
      <c r="S136" s="164">
        <f t="shared" si="15"/>
        <v>0</v>
      </c>
      <c r="T136" s="164">
        <f t="shared" si="16"/>
        <v>0</v>
      </c>
    </row>
    <row r="137" spans="2:20" x14ac:dyDescent="0.2">
      <c r="B137" s="171"/>
      <c r="D137" s="171"/>
      <c r="F137" s="158">
        <v>126</v>
      </c>
      <c r="G137" s="249">
        <f t="shared" si="17"/>
        <v>47483</v>
      </c>
      <c r="H137" s="158">
        <f t="shared" si="21"/>
        <v>31</v>
      </c>
      <c r="I137" s="254">
        <v>9.9900000000000003E-2</v>
      </c>
      <c r="J137" s="164">
        <f t="shared" si="18"/>
        <v>0</v>
      </c>
      <c r="K137" s="164">
        <f t="shared" si="19"/>
        <v>0</v>
      </c>
      <c r="L137" s="164">
        <f t="shared" si="22"/>
        <v>0</v>
      </c>
      <c r="M137" s="164">
        <f t="shared" si="22"/>
        <v>0</v>
      </c>
      <c r="N137" s="164">
        <f t="shared" si="20"/>
        <v>0</v>
      </c>
      <c r="O137" s="164">
        <f t="shared" si="12"/>
        <v>0</v>
      </c>
      <c r="P137" s="164">
        <f t="shared" si="13"/>
        <v>0</v>
      </c>
      <c r="Q137" s="164">
        <f t="shared" si="14"/>
        <v>0</v>
      </c>
      <c r="R137" s="164">
        <f t="shared" si="23"/>
        <v>0</v>
      </c>
      <c r="S137" s="164">
        <f t="shared" si="15"/>
        <v>0</v>
      </c>
      <c r="T137" s="164">
        <f t="shared" si="16"/>
        <v>0</v>
      </c>
    </row>
    <row r="138" spans="2:20" x14ac:dyDescent="0.2">
      <c r="B138" s="171"/>
      <c r="D138" s="171"/>
      <c r="F138" s="158">
        <v>127</v>
      </c>
      <c r="G138" s="249">
        <f t="shared" si="17"/>
        <v>47514</v>
      </c>
      <c r="H138" s="158">
        <f t="shared" si="21"/>
        <v>31</v>
      </c>
      <c r="I138" s="254">
        <v>9.9900000000000003E-2</v>
      </c>
      <c r="J138" s="164">
        <f t="shared" si="18"/>
        <v>0</v>
      </c>
      <c r="K138" s="164">
        <f t="shared" si="19"/>
        <v>0</v>
      </c>
      <c r="L138" s="164">
        <f t="shared" si="22"/>
        <v>0</v>
      </c>
      <c r="M138" s="164">
        <f t="shared" si="22"/>
        <v>0</v>
      </c>
      <c r="N138" s="164">
        <f t="shared" si="20"/>
        <v>0</v>
      </c>
      <c r="O138" s="164">
        <f t="shared" si="12"/>
        <v>0</v>
      </c>
      <c r="P138" s="164">
        <f t="shared" si="13"/>
        <v>0</v>
      </c>
      <c r="Q138" s="164">
        <f t="shared" si="14"/>
        <v>0</v>
      </c>
      <c r="R138" s="164">
        <f t="shared" si="23"/>
        <v>0</v>
      </c>
      <c r="S138" s="164">
        <f t="shared" si="15"/>
        <v>0</v>
      </c>
      <c r="T138" s="164">
        <f t="shared" si="16"/>
        <v>0</v>
      </c>
    </row>
    <row r="139" spans="2:20" x14ac:dyDescent="0.2">
      <c r="B139" s="171"/>
      <c r="D139" s="171"/>
      <c r="F139" s="158">
        <v>128</v>
      </c>
      <c r="G139" s="249">
        <f t="shared" si="17"/>
        <v>47542</v>
      </c>
      <c r="H139" s="158">
        <f t="shared" si="21"/>
        <v>28</v>
      </c>
      <c r="I139" s="254">
        <v>9.9900000000000003E-2</v>
      </c>
      <c r="J139" s="164">
        <f t="shared" si="18"/>
        <v>0</v>
      </c>
      <c r="K139" s="164">
        <f t="shared" si="19"/>
        <v>0</v>
      </c>
      <c r="L139" s="164">
        <f t="shared" si="22"/>
        <v>0</v>
      </c>
      <c r="M139" s="164">
        <f t="shared" si="22"/>
        <v>0</v>
      </c>
      <c r="N139" s="164">
        <f t="shared" si="20"/>
        <v>0</v>
      </c>
      <c r="O139" s="164">
        <f t="shared" si="12"/>
        <v>0</v>
      </c>
      <c r="P139" s="164">
        <f t="shared" si="13"/>
        <v>0</v>
      </c>
      <c r="Q139" s="164">
        <f t="shared" si="14"/>
        <v>0</v>
      </c>
      <c r="R139" s="164">
        <f t="shared" si="23"/>
        <v>0</v>
      </c>
      <c r="S139" s="164">
        <f t="shared" si="15"/>
        <v>0</v>
      </c>
      <c r="T139" s="164">
        <f t="shared" si="16"/>
        <v>0</v>
      </c>
    </row>
    <row r="140" spans="2:20" x14ac:dyDescent="0.2">
      <c r="B140" s="171"/>
      <c r="D140" s="171"/>
      <c r="F140" s="158">
        <v>129</v>
      </c>
      <c r="G140" s="249">
        <f t="shared" si="17"/>
        <v>47573</v>
      </c>
      <c r="H140" s="158">
        <f t="shared" si="21"/>
        <v>31</v>
      </c>
      <c r="I140" s="254">
        <v>9.9900000000000003E-2</v>
      </c>
      <c r="J140" s="164">
        <f t="shared" si="18"/>
        <v>0</v>
      </c>
      <c r="K140" s="164">
        <f t="shared" si="19"/>
        <v>0</v>
      </c>
      <c r="L140" s="164">
        <f t="shared" si="22"/>
        <v>0</v>
      </c>
      <c r="M140" s="164">
        <f t="shared" si="22"/>
        <v>0</v>
      </c>
      <c r="N140" s="164">
        <f t="shared" si="20"/>
        <v>0</v>
      </c>
      <c r="O140" s="164">
        <f t="shared" ref="O140:O203" si="24">MIN(J140-Q140-P140,L140)</f>
        <v>0</v>
      </c>
      <c r="P140" s="164">
        <f t="shared" ref="P140:P203" si="25">MIN(J140-Q140,N140)</f>
        <v>0</v>
      </c>
      <c r="Q140" s="164">
        <f t="shared" ref="Q140:Q203" si="26">MIN(J140,M140)</f>
        <v>0</v>
      </c>
      <c r="R140" s="164">
        <f t="shared" si="23"/>
        <v>0</v>
      </c>
      <c r="S140" s="164">
        <f t="shared" ref="S140:S203" si="27">L140-O140</f>
        <v>0</v>
      </c>
      <c r="T140" s="164">
        <f t="shared" ref="T140:T203" si="28">M140+R140-Q140</f>
        <v>0</v>
      </c>
    </row>
    <row r="141" spans="2:20" x14ac:dyDescent="0.2">
      <c r="B141" s="171"/>
      <c r="D141" s="171"/>
      <c r="F141" s="158">
        <v>130</v>
      </c>
      <c r="G141" s="249">
        <f t="shared" ref="G141:G204" si="29">EOMONTH($D$9,F141-1)</f>
        <v>47603</v>
      </c>
      <c r="H141" s="158">
        <f t="shared" si="21"/>
        <v>30</v>
      </c>
      <c r="I141" s="254">
        <v>9.9900000000000003E-2</v>
      </c>
      <c r="J141" s="164">
        <f t="shared" ref="J141:J204" si="30">IF(F141=$D$4,K141+N141,MIN($D$5,K141+N141))</f>
        <v>0</v>
      </c>
      <c r="K141" s="164">
        <f t="shared" ref="K141:K204" si="31">L141+M141</f>
        <v>0</v>
      </c>
      <c r="L141" s="164">
        <f t="shared" si="22"/>
        <v>0</v>
      </c>
      <c r="M141" s="164">
        <f t="shared" si="22"/>
        <v>0</v>
      </c>
      <c r="N141" s="164">
        <f t="shared" ref="N141:N204" si="32">L141*I141/365.25*H141</f>
        <v>0</v>
      </c>
      <c r="O141" s="164">
        <f t="shared" si="24"/>
        <v>0</v>
      </c>
      <c r="P141" s="164">
        <f t="shared" si="25"/>
        <v>0</v>
      </c>
      <c r="Q141" s="164">
        <f t="shared" si="26"/>
        <v>0</v>
      </c>
      <c r="R141" s="164">
        <f t="shared" si="23"/>
        <v>0</v>
      </c>
      <c r="S141" s="164">
        <f t="shared" si="27"/>
        <v>0</v>
      </c>
      <c r="T141" s="164">
        <f t="shared" si="28"/>
        <v>0</v>
      </c>
    </row>
    <row r="142" spans="2:20" x14ac:dyDescent="0.2">
      <c r="B142" s="171"/>
      <c r="D142" s="171"/>
      <c r="F142" s="158">
        <v>131</v>
      </c>
      <c r="G142" s="249">
        <f t="shared" si="29"/>
        <v>47634</v>
      </c>
      <c r="H142" s="158">
        <f t="shared" ref="H142:H205" si="33">G142-G141</f>
        <v>31</v>
      </c>
      <c r="I142" s="254">
        <v>9.9900000000000003E-2</v>
      </c>
      <c r="J142" s="164">
        <f t="shared" si="30"/>
        <v>0</v>
      </c>
      <c r="K142" s="164">
        <f t="shared" si="31"/>
        <v>0</v>
      </c>
      <c r="L142" s="164">
        <f t="shared" ref="L142:M205" si="34">S141</f>
        <v>0</v>
      </c>
      <c r="M142" s="164">
        <f t="shared" si="34"/>
        <v>0</v>
      </c>
      <c r="N142" s="164">
        <f t="shared" si="32"/>
        <v>0</v>
      </c>
      <c r="O142" s="164">
        <f t="shared" si="24"/>
        <v>0</v>
      </c>
      <c r="P142" s="164">
        <f t="shared" si="25"/>
        <v>0</v>
      </c>
      <c r="Q142" s="164">
        <f t="shared" si="26"/>
        <v>0</v>
      </c>
      <c r="R142" s="164">
        <f t="shared" ref="R142:R205" si="35">MAX(N142-P142,0)</f>
        <v>0</v>
      </c>
      <c r="S142" s="164">
        <f t="shared" si="27"/>
        <v>0</v>
      </c>
      <c r="T142" s="164">
        <f t="shared" si="28"/>
        <v>0</v>
      </c>
    </row>
    <row r="143" spans="2:20" x14ac:dyDescent="0.2">
      <c r="B143" s="171"/>
      <c r="D143" s="171"/>
      <c r="F143" s="158">
        <v>132</v>
      </c>
      <c r="G143" s="249">
        <f t="shared" si="29"/>
        <v>47664</v>
      </c>
      <c r="H143" s="158">
        <f t="shared" si="33"/>
        <v>30</v>
      </c>
      <c r="I143" s="254">
        <v>9.9900000000000003E-2</v>
      </c>
      <c r="J143" s="164">
        <f t="shared" si="30"/>
        <v>0</v>
      </c>
      <c r="K143" s="164">
        <f t="shared" si="31"/>
        <v>0</v>
      </c>
      <c r="L143" s="164">
        <f t="shared" si="34"/>
        <v>0</v>
      </c>
      <c r="M143" s="164">
        <f t="shared" si="34"/>
        <v>0</v>
      </c>
      <c r="N143" s="164">
        <f t="shared" si="32"/>
        <v>0</v>
      </c>
      <c r="O143" s="164">
        <f t="shared" si="24"/>
        <v>0</v>
      </c>
      <c r="P143" s="164">
        <f t="shared" si="25"/>
        <v>0</v>
      </c>
      <c r="Q143" s="164">
        <f t="shared" si="26"/>
        <v>0</v>
      </c>
      <c r="R143" s="164">
        <f t="shared" si="35"/>
        <v>0</v>
      </c>
      <c r="S143" s="164">
        <f t="shared" si="27"/>
        <v>0</v>
      </c>
      <c r="T143" s="164">
        <f t="shared" si="28"/>
        <v>0</v>
      </c>
    </row>
    <row r="144" spans="2:20" x14ac:dyDescent="0.2">
      <c r="B144" s="171"/>
      <c r="D144" s="171"/>
      <c r="F144" s="158">
        <v>133</v>
      </c>
      <c r="G144" s="249">
        <f t="shared" si="29"/>
        <v>47695</v>
      </c>
      <c r="H144" s="158">
        <f t="shared" si="33"/>
        <v>31</v>
      </c>
      <c r="I144" s="254">
        <v>9.9900000000000003E-2</v>
      </c>
      <c r="J144" s="164">
        <f t="shared" si="30"/>
        <v>0</v>
      </c>
      <c r="K144" s="164">
        <f t="shared" si="31"/>
        <v>0</v>
      </c>
      <c r="L144" s="164">
        <f t="shared" si="34"/>
        <v>0</v>
      </c>
      <c r="M144" s="164">
        <f t="shared" si="34"/>
        <v>0</v>
      </c>
      <c r="N144" s="164">
        <f t="shared" si="32"/>
        <v>0</v>
      </c>
      <c r="O144" s="164">
        <f t="shared" si="24"/>
        <v>0</v>
      </c>
      <c r="P144" s="164">
        <f t="shared" si="25"/>
        <v>0</v>
      </c>
      <c r="Q144" s="164">
        <f t="shared" si="26"/>
        <v>0</v>
      </c>
      <c r="R144" s="164">
        <f t="shared" si="35"/>
        <v>0</v>
      </c>
      <c r="S144" s="164">
        <f t="shared" si="27"/>
        <v>0</v>
      </c>
      <c r="T144" s="164">
        <f t="shared" si="28"/>
        <v>0</v>
      </c>
    </row>
    <row r="145" spans="2:20" x14ac:dyDescent="0.2">
      <c r="B145" s="171"/>
      <c r="D145" s="171"/>
      <c r="F145" s="158">
        <v>134</v>
      </c>
      <c r="G145" s="249">
        <f t="shared" si="29"/>
        <v>47726</v>
      </c>
      <c r="H145" s="158">
        <f t="shared" si="33"/>
        <v>31</v>
      </c>
      <c r="I145" s="254">
        <v>9.9900000000000003E-2</v>
      </c>
      <c r="J145" s="164">
        <f t="shared" si="30"/>
        <v>0</v>
      </c>
      <c r="K145" s="164">
        <f t="shared" si="31"/>
        <v>0</v>
      </c>
      <c r="L145" s="164">
        <f t="shared" si="34"/>
        <v>0</v>
      </c>
      <c r="M145" s="164">
        <f t="shared" si="34"/>
        <v>0</v>
      </c>
      <c r="N145" s="164">
        <f t="shared" si="32"/>
        <v>0</v>
      </c>
      <c r="O145" s="164">
        <f t="shared" si="24"/>
        <v>0</v>
      </c>
      <c r="P145" s="164">
        <f t="shared" si="25"/>
        <v>0</v>
      </c>
      <c r="Q145" s="164">
        <f t="shared" si="26"/>
        <v>0</v>
      </c>
      <c r="R145" s="164">
        <f t="shared" si="35"/>
        <v>0</v>
      </c>
      <c r="S145" s="164">
        <f t="shared" si="27"/>
        <v>0</v>
      </c>
      <c r="T145" s="164">
        <f t="shared" si="28"/>
        <v>0</v>
      </c>
    </row>
    <row r="146" spans="2:20" x14ac:dyDescent="0.2">
      <c r="B146" s="171"/>
      <c r="D146" s="171"/>
      <c r="F146" s="158">
        <v>135</v>
      </c>
      <c r="G146" s="249">
        <f t="shared" si="29"/>
        <v>47756</v>
      </c>
      <c r="H146" s="158">
        <f t="shared" si="33"/>
        <v>30</v>
      </c>
      <c r="I146" s="254">
        <v>9.9900000000000003E-2</v>
      </c>
      <c r="J146" s="164">
        <f t="shared" si="30"/>
        <v>0</v>
      </c>
      <c r="K146" s="164">
        <f t="shared" si="31"/>
        <v>0</v>
      </c>
      <c r="L146" s="164">
        <f t="shared" si="34"/>
        <v>0</v>
      </c>
      <c r="M146" s="164">
        <f t="shared" si="34"/>
        <v>0</v>
      </c>
      <c r="N146" s="164">
        <f t="shared" si="32"/>
        <v>0</v>
      </c>
      <c r="O146" s="164">
        <f t="shared" si="24"/>
        <v>0</v>
      </c>
      <c r="P146" s="164">
        <f t="shared" si="25"/>
        <v>0</v>
      </c>
      <c r="Q146" s="164">
        <f t="shared" si="26"/>
        <v>0</v>
      </c>
      <c r="R146" s="164">
        <f t="shared" si="35"/>
        <v>0</v>
      </c>
      <c r="S146" s="164">
        <f t="shared" si="27"/>
        <v>0</v>
      </c>
      <c r="T146" s="164">
        <f t="shared" si="28"/>
        <v>0</v>
      </c>
    </row>
    <row r="147" spans="2:20" x14ac:dyDescent="0.2">
      <c r="B147" s="171"/>
      <c r="D147" s="171"/>
      <c r="F147" s="158">
        <v>136</v>
      </c>
      <c r="G147" s="249">
        <f t="shared" si="29"/>
        <v>47787</v>
      </c>
      <c r="H147" s="158">
        <f t="shared" si="33"/>
        <v>31</v>
      </c>
      <c r="I147" s="254">
        <v>9.9900000000000003E-2</v>
      </c>
      <c r="J147" s="164">
        <f t="shared" si="30"/>
        <v>0</v>
      </c>
      <c r="K147" s="164">
        <f t="shared" si="31"/>
        <v>0</v>
      </c>
      <c r="L147" s="164">
        <f t="shared" si="34"/>
        <v>0</v>
      </c>
      <c r="M147" s="164">
        <f t="shared" si="34"/>
        <v>0</v>
      </c>
      <c r="N147" s="164">
        <f t="shared" si="32"/>
        <v>0</v>
      </c>
      <c r="O147" s="164">
        <f t="shared" si="24"/>
        <v>0</v>
      </c>
      <c r="P147" s="164">
        <f t="shared" si="25"/>
        <v>0</v>
      </c>
      <c r="Q147" s="164">
        <f t="shared" si="26"/>
        <v>0</v>
      </c>
      <c r="R147" s="164">
        <f t="shared" si="35"/>
        <v>0</v>
      </c>
      <c r="S147" s="164">
        <f t="shared" si="27"/>
        <v>0</v>
      </c>
      <c r="T147" s="164">
        <f t="shared" si="28"/>
        <v>0</v>
      </c>
    </row>
    <row r="148" spans="2:20" x14ac:dyDescent="0.2">
      <c r="B148" s="171"/>
      <c r="D148" s="171"/>
      <c r="F148" s="158">
        <v>137</v>
      </c>
      <c r="G148" s="249">
        <f t="shared" si="29"/>
        <v>47817</v>
      </c>
      <c r="H148" s="158">
        <f t="shared" si="33"/>
        <v>30</v>
      </c>
      <c r="I148" s="254">
        <v>9.9900000000000003E-2</v>
      </c>
      <c r="J148" s="164">
        <f t="shared" si="30"/>
        <v>0</v>
      </c>
      <c r="K148" s="164">
        <f t="shared" si="31"/>
        <v>0</v>
      </c>
      <c r="L148" s="164">
        <f t="shared" si="34"/>
        <v>0</v>
      </c>
      <c r="M148" s="164">
        <f t="shared" si="34"/>
        <v>0</v>
      </c>
      <c r="N148" s="164">
        <f t="shared" si="32"/>
        <v>0</v>
      </c>
      <c r="O148" s="164">
        <f t="shared" si="24"/>
        <v>0</v>
      </c>
      <c r="P148" s="164">
        <f t="shared" si="25"/>
        <v>0</v>
      </c>
      <c r="Q148" s="164">
        <f t="shared" si="26"/>
        <v>0</v>
      </c>
      <c r="R148" s="164">
        <f t="shared" si="35"/>
        <v>0</v>
      </c>
      <c r="S148" s="164">
        <f t="shared" si="27"/>
        <v>0</v>
      </c>
      <c r="T148" s="164">
        <f t="shared" si="28"/>
        <v>0</v>
      </c>
    </row>
    <row r="149" spans="2:20" x14ac:dyDescent="0.2">
      <c r="B149" s="171"/>
      <c r="D149" s="171"/>
      <c r="F149" s="158">
        <v>138</v>
      </c>
      <c r="G149" s="249">
        <f t="shared" si="29"/>
        <v>47848</v>
      </c>
      <c r="H149" s="158">
        <f t="shared" si="33"/>
        <v>31</v>
      </c>
      <c r="I149" s="254">
        <v>9.9900000000000003E-2</v>
      </c>
      <c r="J149" s="164">
        <f t="shared" si="30"/>
        <v>0</v>
      </c>
      <c r="K149" s="164">
        <f t="shared" si="31"/>
        <v>0</v>
      </c>
      <c r="L149" s="164">
        <f t="shared" si="34"/>
        <v>0</v>
      </c>
      <c r="M149" s="164">
        <f t="shared" si="34"/>
        <v>0</v>
      </c>
      <c r="N149" s="164">
        <f t="shared" si="32"/>
        <v>0</v>
      </c>
      <c r="O149" s="164">
        <f t="shared" si="24"/>
        <v>0</v>
      </c>
      <c r="P149" s="164">
        <f t="shared" si="25"/>
        <v>0</v>
      </c>
      <c r="Q149" s="164">
        <f t="shared" si="26"/>
        <v>0</v>
      </c>
      <c r="R149" s="164">
        <f t="shared" si="35"/>
        <v>0</v>
      </c>
      <c r="S149" s="164">
        <f t="shared" si="27"/>
        <v>0</v>
      </c>
      <c r="T149" s="164">
        <f t="shared" si="28"/>
        <v>0</v>
      </c>
    </row>
    <row r="150" spans="2:20" x14ac:dyDescent="0.2">
      <c r="B150" s="171"/>
      <c r="D150" s="171"/>
      <c r="F150" s="158">
        <v>139</v>
      </c>
      <c r="G150" s="249">
        <f t="shared" si="29"/>
        <v>47879</v>
      </c>
      <c r="H150" s="158">
        <f t="shared" si="33"/>
        <v>31</v>
      </c>
      <c r="I150" s="254">
        <v>9.9900000000000003E-2</v>
      </c>
      <c r="J150" s="164">
        <f t="shared" si="30"/>
        <v>0</v>
      </c>
      <c r="K150" s="164">
        <f t="shared" si="31"/>
        <v>0</v>
      </c>
      <c r="L150" s="164">
        <f t="shared" si="34"/>
        <v>0</v>
      </c>
      <c r="M150" s="164">
        <f t="shared" si="34"/>
        <v>0</v>
      </c>
      <c r="N150" s="164">
        <f t="shared" si="32"/>
        <v>0</v>
      </c>
      <c r="O150" s="164">
        <f t="shared" si="24"/>
        <v>0</v>
      </c>
      <c r="P150" s="164">
        <f t="shared" si="25"/>
        <v>0</v>
      </c>
      <c r="Q150" s="164">
        <f t="shared" si="26"/>
        <v>0</v>
      </c>
      <c r="R150" s="164">
        <f t="shared" si="35"/>
        <v>0</v>
      </c>
      <c r="S150" s="164">
        <f t="shared" si="27"/>
        <v>0</v>
      </c>
      <c r="T150" s="164">
        <f t="shared" si="28"/>
        <v>0</v>
      </c>
    </row>
    <row r="151" spans="2:20" x14ac:dyDescent="0.2">
      <c r="B151" s="171"/>
      <c r="D151" s="171"/>
      <c r="F151" s="158">
        <v>140</v>
      </c>
      <c r="G151" s="249">
        <f t="shared" si="29"/>
        <v>47907</v>
      </c>
      <c r="H151" s="158">
        <f t="shared" si="33"/>
        <v>28</v>
      </c>
      <c r="I151" s="254">
        <v>9.9900000000000003E-2</v>
      </c>
      <c r="J151" s="164">
        <f t="shared" si="30"/>
        <v>0</v>
      </c>
      <c r="K151" s="164">
        <f t="shared" si="31"/>
        <v>0</v>
      </c>
      <c r="L151" s="164">
        <f t="shared" si="34"/>
        <v>0</v>
      </c>
      <c r="M151" s="164">
        <f t="shared" si="34"/>
        <v>0</v>
      </c>
      <c r="N151" s="164">
        <f t="shared" si="32"/>
        <v>0</v>
      </c>
      <c r="O151" s="164">
        <f t="shared" si="24"/>
        <v>0</v>
      </c>
      <c r="P151" s="164">
        <f t="shared" si="25"/>
        <v>0</v>
      </c>
      <c r="Q151" s="164">
        <f t="shared" si="26"/>
        <v>0</v>
      </c>
      <c r="R151" s="164">
        <f t="shared" si="35"/>
        <v>0</v>
      </c>
      <c r="S151" s="164">
        <f t="shared" si="27"/>
        <v>0</v>
      </c>
      <c r="T151" s="164">
        <f t="shared" si="28"/>
        <v>0</v>
      </c>
    </row>
    <row r="152" spans="2:20" x14ac:dyDescent="0.2">
      <c r="B152" s="171"/>
      <c r="D152" s="171"/>
      <c r="F152" s="158">
        <v>141</v>
      </c>
      <c r="G152" s="249">
        <f t="shared" si="29"/>
        <v>47938</v>
      </c>
      <c r="H152" s="158">
        <f t="shared" si="33"/>
        <v>31</v>
      </c>
      <c r="I152" s="254">
        <v>9.9900000000000003E-2</v>
      </c>
      <c r="J152" s="164">
        <f t="shared" si="30"/>
        <v>0</v>
      </c>
      <c r="K152" s="164">
        <f t="shared" si="31"/>
        <v>0</v>
      </c>
      <c r="L152" s="164">
        <f t="shared" si="34"/>
        <v>0</v>
      </c>
      <c r="M152" s="164">
        <f t="shared" si="34"/>
        <v>0</v>
      </c>
      <c r="N152" s="164">
        <f t="shared" si="32"/>
        <v>0</v>
      </c>
      <c r="O152" s="164">
        <f t="shared" si="24"/>
        <v>0</v>
      </c>
      <c r="P152" s="164">
        <f t="shared" si="25"/>
        <v>0</v>
      </c>
      <c r="Q152" s="164">
        <f t="shared" si="26"/>
        <v>0</v>
      </c>
      <c r="R152" s="164">
        <f t="shared" si="35"/>
        <v>0</v>
      </c>
      <c r="S152" s="164">
        <f t="shared" si="27"/>
        <v>0</v>
      </c>
      <c r="T152" s="164">
        <f t="shared" si="28"/>
        <v>0</v>
      </c>
    </row>
    <row r="153" spans="2:20" x14ac:dyDescent="0.2">
      <c r="B153" s="171"/>
      <c r="D153" s="171"/>
      <c r="F153" s="158">
        <v>142</v>
      </c>
      <c r="G153" s="249">
        <f t="shared" si="29"/>
        <v>47968</v>
      </c>
      <c r="H153" s="158">
        <f t="shared" si="33"/>
        <v>30</v>
      </c>
      <c r="I153" s="254">
        <v>9.9900000000000003E-2</v>
      </c>
      <c r="J153" s="164">
        <f t="shared" si="30"/>
        <v>0</v>
      </c>
      <c r="K153" s="164">
        <f t="shared" si="31"/>
        <v>0</v>
      </c>
      <c r="L153" s="164">
        <f t="shared" si="34"/>
        <v>0</v>
      </c>
      <c r="M153" s="164">
        <f t="shared" si="34"/>
        <v>0</v>
      </c>
      <c r="N153" s="164">
        <f t="shared" si="32"/>
        <v>0</v>
      </c>
      <c r="O153" s="164">
        <f t="shared" si="24"/>
        <v>0</v>
      </c>
      <c r="P153" s="164">
        <f t="shared" si="25"/>
        <v>0</v>
      </c>
      <c r="Q153" s="164">
        <f t="shared" si="26"/>
        <v>0</v>
      </c>
      <c r="R153" s="164">
        <f t="shared" si="35"/>
        <v>0</v>
      </c>
      <c r="S153" s="164">
        <f t="shared" si="27"/>
        <v>0</v>
      </c>
      <c r="T153" s="164">
        <f t="shared" si="28"/>
        <v>0</v>
      </c>
    </row>
    <row r="154" spans="2:20" x14ac:dyDescent="0.2">
      <c r="B154" s="171"/>
      <c r="D154" s="171"/>
      <c r="F154" s="158">
        <v>143</v>
      </c>
      <c r="G154" s="249">
        <f t="shared" si="29"/>
        <v>47999</v>
      </c>
      <c r="H154" s="158">
        <f t="shared" si="33"/>
        <v>31</v>
      </c>
      <c r="I154" s="254">
        <v>9.9900000000000003E-2</v>
      </c>
      <c r="J154" s="164">
        <f t="shared" si="30"/>
        <v>0</v>
      </c>
      <c r="K154" s="164">
        <f t="shared" si="31"/>
        <v>0</v>
      </c>
      <c r="L154" s="164">
        <f t="shared" si="34"/>
        <v>0</v>
      </c>
      <c r="M154" s="164">
        <f t="shared" si="34"/>
        <v>0</v>
      </c>
      <c r="N154" s="164">
        <f t="shared" si="32"/>
        <v>0</v>
      </c>
      <c r="O154" s="164">
        <f t="shared" si="24"/>
        <v>0</v>
      </c>
      <c r="P154" s="164">
        <f t="shared" si="25"/>
        <v>0</v>
      </c>
      <c r="Q154" s="164">
        <f t="shared" si="26"/>
        <v>0</v>
      </c>
      <c r="R154" s="164">
        <f t="shared" si="35"/>
        <v>0</v>
      </c>
      <c r="S154" s="164">
        <f t="shared" si="27"/>
        <v>0</v>
      </c>
      <c r="T154" s="164">
        <f t="shared" si="28"/>
        <v>0</v>
      </c>
    </row>
    <row r="155" spans="2:20" x14ac:dyDescent="0.2">
      <c r="B155" s="171"/>
      <c r="D155" s="171"/>
      <c r="F155" s="158">
        <v>144</v>
      </c>
      <c r="G155" s="249">
        <f t="shared" si="29"/>
        <v>48029</v>
      </c>
      <c r="H155" s="158">
        <f t="shared" si="33"/>
        <v>30</v>
      </c>
      <c r="I155" s="254">
        <v>9.9900000000000003E-2</v>
      </c>
      <c r="J155" s="164">
        <f t="shared" si="30"/>
        <v>0</v>
      </c>
      <c r="K155" s="164">
        <f t="shared" si="31"/>
        <v>0</v>
      </c>
      <c r="L155" s="164">
        <f t="shared" si="34"/>
        <v>0</v>
      </c>
      <c r="M155" s="164">
        <f t="shared" si="34"/>
        <v>0</v>
      </c>
      <c r="N155" s="164">
        <f t="shared" si="32"/>
        <v>0</v>
      </c>
      <c r="O155" s="164">
        <f t="shared" si="24"/>
        <v>0</v>
      </c>
      <c r="P155" s="164">
        <f t="shared" si="25"/>
        <v>0</v>
      </c>
      <c r="Q155" s="164">
        <f t="shared" si="26"/>
        <v>0</v>
      </c>
      <c r="R155" s="164">
        <f t="shared" si="35"/>
        <v>0</v>
      </c>
      <c r="S155" s="164">
        <f t="shared" si="27"/>
        <v>0</v>
      </c>
      <c r="T155" s="164">
        <f t="shared" si="28"/>
        <v>0</v>
      </c>
    </row>
    <row r="156" spans="2:20" x14ac:dyDescent="0.2">
      <c r="B156" s="171"/>
      <c r="D156" s="171"/>
      <c r="F156" s="158">
        <v>145</v>
      </c>
      <c r="G156" s="249">
        <f t="shared" si="29"/>
        <v>48060</v>
      </c>
      <c r="H156" s="158">
        <f t="shared" si="33"/>
        <v>31</v>
      </c>
      <c r="I156" s="254">
        <v>9.9900000000000003E-2</v>
      </c>
      <c r="J156" s="164">
        <f t="shared" si="30"/>
        <v>0</v>
      </c>
      <c r="K156" s="164">
        <f t="shared" si="31"/>
        <v>0</v>
      </c>
      <c r="L156" s="164">
        <f t="shared" si="34"/>
        <v>0</v>
      </c>
      <c r="M156" s="164">
        <f t="shared" si="34"/>
        <v>0</v>
      </c>
      <c r="N156" s="164">
        <f t="shared" si="32"/>
        <v>0</v>
      </c>
      <c r="O156" s="164">
        <f t="shared" si="24"/>
        <v>0</v>
      </c>
      <c r="P156" s="164">
        <f t="shared" si="25"/>
        <v>0</v>
      </c>
      <c r="Q156" s="164">
        <f t="shared" si="26"/>
        <v>0</v>
      </c>
      <c r="R156" s="164">
        <f t="shared" si="35"/>
        <v>0</v>
      </c>
      <c r="S156" s="164">
        <f t="shared" si="27"/>
        <v>0</v>
      </c>
      <c r="T156" s="164">
        <f t="shared" si="28"/>
        <v>0</v>
      </c>
    </row>
    <row r="157" spans="2:20" x14ac:dyDescent="0.2">
      <c r="B157" s="171"/>
      <c r="D157" s="171"/>
      <c r="F157" s="158">
        <v>146</v>
      </c>
      <c r="G157" s="249">
        <f t="shared" si="29"/>
        <v>48091</v>
      </c>
      <c r="H157" s="158">
        <f t="shared" si="33"/>
        <v>31</v>
      </c>
      <c r="I157" s="254">
        <v>9.9900000000000003E-2</v>
      </c>
      <c r="J157" s="164">
        <f t="shared" si="30"/>
        <v>0</v>
      </c>
      <c r="K157" s="164">
        <f t="shared" si="31"/>
        <v>0</v>
      </c>
      <c r="L157" s="164">
        <f t="shared" si="34"/>
        <v>0</v>
      </c>
      <c r="M157" s="164">
        <f t="shared" si="34"/>
        <v>0</v>
      </c>
      <c r="N157" s="164">
        <f t="shared" si="32"/>
        <v>0</v>
      </c>
      <c r="O157" s="164">
        <f t="shared" si="24"/>
        <v>0</v>
      </c>
      <c r="P157" s="164">
        <f t="shared" si="25"/>
        <v>0</v>
      </c>
      <c r="Q157" s="164">
        <f t="shared" si="26"/>
        <v>0</v>
      </c>
      <c r="R157" s="164">
        <f t="shared" si="35"/>
        <v>0</v>
      </c>
      <c r="S157" s="164">
        <f t="shared" si="27"/>
        <v>0</v>
      </c>
      <c r="T157" s="164">
        <f t="shared" si="28"/>
        <v>0</v>
      </c>
    </row>
    <row r="158" spans="2:20" x14ac:dyDescent="0.2">
      <c r="B158" s="171"/>
      <c r="D158" s="171"/>
      <c r="F158" s="158">
        <v>147</v>
      </c>
      <c r="G158" s="249">
        <f t="shared" si="29"/>
        <v>48121</v>
      </c>
      <c r="H158" s="158">
        <f t="shared" si="33"/>
        <v>30</v>
      </c>
      <c r="I158" s="254">
        <v>9.9900000000000003E-2</v>
      </c>
      <c r="J158" s="164">
        <f t="shared" si="30"/>
        <v>0</v>
      </c>
      <c r="K158" s="164">
        <f t="shared" si="31"/>
        <v>0</v>
      </c>
      <c r="L158" s="164">
        <f t="shared" si="34"/>
        <v>0</v>
      </c>
      <c r="M158" s="164">
        <f t="shared" si="34"/>
        <v>0</v>
      </c>
      <c r="N158" s="164">
        <f t="shared" si="32"/>
        <v>0</v>
      </c>
      <c r="O158" s="164">
        <f t="shared" si="24"/>
        <v>0</v>
      </c>
      <c r="P158" s="164">
        <f t="shared" si="25"/>
        <v>0</v>
      </c>
      <c r="Q158" s="164">
        <f t="shared" si="26"/>
        <v>0</v>
      </c>
      <c r="R158" s="164">
        <f t="shared" si="35"/>
        <v>0</v>
      </c>
      <c r="S158" s="164">
        <f t="shared" si="27"/>
        <v>0</v>
      </c>
      <c r="T158" s="164">
        <f t="shared" si="28"/>
        <v>0</v>
      </c>
    </row>
    <row r="159" spans="2:20" x14ac:dyDescent="0.2">
      <c r="B159" s="171"/>
      <c r="D159" s="171"/>
      <c r="F159" s="158">
        <v>148</v>
      </c>
      <c r="G159" s="249">
        <f t="shared" si="29"/>
        <v>48152</v>
      </c>
      <c r="H159" s="158">
        <f t="shared" si="33"/>
        <v>31</v>
      </c>
      <c r="I159" s="254">
        <v>9.9900000000000003E-2</v>
      </c>
      <c r="J159" s="164">
        <f t="shared" si="30"/>
        <v>0</v>
      </c>
      <c r="K159" s="164">
        <f t="shared" si="31"/>
        <v>0</v>
      </c>
      <c r="L159" s="164">
        <f t="shared" si="34"/>
        <v>0</v>
      </c>
      <c r="M159" s="164">
        <f t="shared" si="34"/>
        <v>0</v>
      </c>
      <c r="N159" s="164">
        <f t="shared" si="32"/>
        <v>0</v>
      </c>
      <c r="O159" s="164">
        <f t="shared" si="24"/>
        <v>0</v>
      </c>
      <c r="P159" s="164">
        <f t="shared" si="25"/>
        <v>0</v>
      </c>
      <c r="Q159" s="164">
        <f t="shared" si="26"/>
        <v>0</v>
      </c>
      <c r="R159" s="164">
        <f t="shared" si="35"/>
        <v>0</v>
      </c>
      <c r="S159" s="164">
        <f t="shared" si="27"/>
        <v>0</v>
      </c>
      <c r="T159" s="164">
        <f t="shared" si="28"/>
        <v>0</v>
      </c>
    </row>
    <row r="160" spans="2:20" x14ac:dyDescent="0.2">
      <c r="B160" s="171"/>
      <c r="D160" s="171"/>
      <c r="F160" s="158">
        <v>149</v>
      </c>
      <c r="G160" s="249">
        <f t="shared" si="29"/>
        <v>48182</v>
      </c>
      <c r="H160" s="158">
        <f t="shared" si="33"/>
        <v>30</v>
      </c>
      <c r="I160" s="254">
        <v>9.9900000000000003E-2</v>
      </c>
      <c r="J160" s="164">
        <f t="shared" si="30"/>
        <v>0</v>
      </c>
      <c r="K160" s="164">
        <f t="shared" si="31"/>
        <v>0</v>
      </c>
      <c r="L160" s="164">
        <f t="shared" si="34"/>
        <v>0</v>
      </c>
      <c r="M160" s="164">
        <f t="shared" si="34"/>
        <v>0</v>
      </c>
      <c r="N160" s="164">
        <f t="shared" si="32"/>
        <v>0</v>
      </c>
      <c r="O160" s="164">
        <f t="shared" si="24"/>
        <v>0</v>
      </c>
      <c r="P160" s="164">
        <f t="shared" si="25"/>
        <v>0</v>
      </c>
      <c r="Q160" s="164">
        <f t="shared" si="26"/>
        <v>0</v>
      </c>
      <c r="R160" s="164">
        <f t="shared" si="35"/>
        <v>0</v>
      </c>
      <c r="S160" s="164">
        <f t="shared" si="27"/>
        <v>0</v>
      </c>
      <c r="T160" s="164">
        <f t="shared" si="28"/>
        <v>0</v>
      </c>
    </row>
    <row r="161" spans="2:20" x14ac:dyDescent="0.2">
      <c r="B161" s="171"/>
      <c r="D161" s="171"/>
      <c r="F161" s="158">
        <v>150</v>
      </c>
      <c r="G161" s="249">
        <f t="shared" si="29"/>
        <v>48213</v>
      </c>
      <c r="H161" s="158">
        <f t="shared" si="33"/>
        <v>31</v>
      </c>
      <c r="I161" s="254">
        <v>9.9900000000000003E-2</v>
      </c>
      <c r="J161" s="164">
        <f t="shared" si="30"/>
        <v>0</v>
      </c>
      <c r="K161" s="164">
        <f t="shared" si="31"/>
        <v>0</v>
      </c>
      <c r="L161" s="164">
        <f t="shared" si="34"/>
        <v>0</v>
      </c>
      <c r="M161" s="164">
        <f t="shared" si="34"/>
        <v>0</v>
      </c>
      <c r="N161" s="164">
        <f t="shared" si="32"/>
        <v>0</v>
      </c>
      <c r="O161" s="164">
        <f t="shared" si="24"/>
        <v>0</v>
      </c>
      <c r="P161" s="164">
        <f t="shared" si="25"/>
        <v>0</v>
      </c>
      <c r="Q161" s="164">
        <f t="shared" si="26"/>
        <v>0</v>
      </c>
      <c r="R161" s="164">
        <f t="shared" si="35"/>
        <v>0</v>
      </c>
      <c r="S161" s="164">
        <f t="shared" si="27"/>
        <v>0</v>
      </c>
      <c r="T161" s="164">
        <f t="shared" si="28"/>
        <v>0</v>
      </c>
    </row>
    <row r="162" spans="2:20" x14ac:dyDescent="0.2">
      <c r="B162" s="171"/>
      <c r="D162" s="171"/>
      <c r="F162" s="158">
        <v>151</v>
      </c>
      <c r="G162" s="249">
        <f t="shared" si="29"/>
        <v>48244</v>
      </c>
      <c r="H162" s="158">
        <f t="shared" si="33"/>
        <v>31</v>
      </c>
      <c r="I162" s="254">
        <v>9.9900000000000003E-2</v>
      </c>
      <c r="J162" s="164">
        <f t="shared" si="30"/>
        <v>0</v>
      </c>
      <c r="K162" s="164">
        <f t="shared" si="31"/>
        <v>0</v>
      </c>
      <c r="L162" s="164">
        <f t="shared" si="34"/>
        <v>0</v>
      </c>
      <c r="M162" s="164">
        <f t="shared" si="34"/>
        <v>0</v>
      </c>
      <c r="N162" s="164">
        <f t="shared" si="32"/>
        <v>0</v>
      </c>
      <c r="O162" s="164">
        <f t="shared" si="24"/>
        <v>0</v>
      </c>
      <c r="P162" s="164">
        <f t="shared" si="25"/>
        <v>0</v>
      </c>
      <c r="Q162" s="164">
        <f t="shared" si="26"/>
        <v>0</v>
      </c>
      <c r="R162" s="164">
        <f t="shared" si="35"/>
        <v>0</v>
      </c>
      <c r="S162" s="164">
        <f t="shared" si="27"/>
        <v>0</v>
      </c>
      <c r="T162" s="164">
        <f t="shared" si="28"/>
        <v>0</v>
      </c>
    </row>
    <row r="163" spans="2:20" x14ac:dyDescent="0.2">
      <c r="B163" s="171"/>
      <c r="D163" s="171"/>
      <c r="F163" s="158">
        <v>152</v>
      </c>
      <c r="G163" s="249">
        <f t="shared" si="29"/>
        <v>48273</v>
      </c>
      <c r="H163" s="158">
        <f t="shared" si="33"/>
        <v>29</v>
      </c>
      <c r="I163" s="254">
        <v>9.9900000000000003E-2</v>
      </c>
      <c r="J163" s="164">
        <f t="shared" si="30"/>
        <v>0</v>
      </c>
      <c r="K163" s="164">
        <f t="shared" si="31"/>
        <v>0</v>
      </c>
      <c r="L163" s="164">
        <f t="shared" si="34"/>
        <v>0</v>
      </c>
      <c r="M163" s="164">
        <f t="shared" si="34"/>
        <v>0</v>
      </c>
      <c r="N163" s="164">
        <f t="shared" si="32"/>
        <v>0</v>
      </c>
      <c r="O163" s="164">
        <f t="shared" si="24"/>
        <v>0</v>
      </c>
      <c r="P163" s="164">
        <f t="shared" si="25"/>
        <v>0</v>
      </c>
      <c r="Q163" s="164">
        <f t="shared" si="26"/>
        <v>0</v>
      </c>
      <c r="R163" s="164">
        <f t="shared" si="35"/>
        <v>0</v>
      </c>
      <c r="S163" s="164">
        <f t="shared" si="27"/>
        <v>0</v>
      </c>
      <c r="T163" s="164">
        <f t="shared" si="28"/>
        <v>0</v>
      </c>
    </row>
    <row r="164" spans="2:20" x14ac:dyDescent="0.2">
      <c r="B164" s="171"/>
      <c r="D164" s="171"/>
      <c r="F164" s="158">
        <v>153</v>
      </c>
      <c r="G164" s="249">
        <f t="shared" si="29"/>
        <v>48304</v>
      </c>
      <c r="H164" s="158">
        <f t="shared" si="33"/>
        <v>31</v>
      </c>
      <c r="I164" s="254">
        <v>9.9900000000000003E-2</v>
      </c>
      <c r="J164" s="164">
        <f t="shared" si="30"/>
        <v>0</v>
      </c>
      <c r="K164" s="164">
        <f t="shared" si="31"/>
        <v>0</v>
      </c>
      <c r="L164" s="164">
        <f t="shared" si="34"/>
        <v>0</v>
      </c>
      <c r="M164" s="164">
        <f t="shared" si="34"/>
        <v>0</v>
      </c>
      <c r="N164" s="164">
        <f t="shared" si="32"/>
        <v>0</v>
      </c>
      <c r="O164" s="164">
        <f t="shared" si="24"/>
        <v>0</v>
      </c>
      <c r="P164" s="164">
        <f t="shared" si="25"/>
        <v>0</v>
      </c>
      <c r="Q164" s="164">
        <f t="shared" si="26"/>
        <v>0</v>
      </c>
      <c r="R164" s="164">
        <f t="shared" si="35"/>
        <v>0</v>
      </c>
      <c r="S164" s="164">
        <f t="shared" si="27"/>
        <v>0</v>
      </c>
      <c r="T164" s="164">
        <f t="shared" si="28"/>
        <v>0</v>
      </c>
    </row>
    <row r="165" spans="2:20" x14ac:dyDescent="0.2">
      <c r="B165" s="171"/>
      <c r="D165" s="171"/>
      <c r="F165" s="158">
        <v>154</v>
      </c>
      <c r="G165" s="249">
        <f t="shared" si="29"/>
        <v>48334</v>
      </c>
      <c r="H165" s="158">
        <f t="shared" si="33"/>
        <v>30</v>
      </c>
      <c r="I165" s="254">
        <v>9.9900000000000003E-2</v>
      </c>
      <c r="J165" s="164">
        <f t="shared" si="30"/>
        <v>0</v>
      </c>
      <c r="K165" s="164">
        <f t="shared" si="31"/>
        <v>0</v>
      </c>
      <c r="L165" s="164">
        <f t="shared" si="34"/>
        <v>0</v>
      </c>
      <c r="M165" s="164">
        <f t="shared" si="34"/>
        <v>0</v>
      </c>
      <c r="N165" s="164">
        <f t="shared" si="32"/>
        <v>0</v>
      </c>
      <c r="O165" s="164">
        <f t="shared" si="24"/>
        <v>0</v>
      </c>
      <c r="P165" s="164">
        <f t="shared" si="25"/>
        <v>0</v>
      </c>
      <c r="Q165" s="164">
        <f t="shared" si="26"/>
        <v>0</v>
      </c>
      <c r="R165" s="164">
        <f t="shared" si="35"/>
        <v>0</v>
      </c>
      <c r="S165" s="164">
        <f t="shared" si="27"/>
        <v>0</v>
      </c>
      <c r="T165" s="164">
        <f t="shared" si="28"/>
        <v>0</v>
      </c>
    </row>
    <row r="166" spans="2:20" x14ac:dyDescent="0.2">
      <c r="B166" s="171"/>
      <c r="D166" s="171"/>
      <c r="F166" s="158">
        <v>155</v>
      </c>
      <c r="G166" s="249">
        <f t="shared" si="29"/>
        <v>48365</v>
      </c>
      <c r="H166" s="158">
        <f t="shared" si="33"/>
        <v>31</v>
      </c>
      <c r="I166" s="254">
        <v>9.9900000000000003E-2</v>
      </c>
      <c r="J166" s="164">
        <f t="shared" si="30"/>
        <v>0</v>
      </c>
      <c r="K166" s="164">
        <f t="shared" si="31"/>
        <v>0</v>
      </c>
      <c r="L166" s="164">
        <f t="shared" si="34"/>
        <v>0</v>
      </c>
      <c r="M166" s="164">
        <f t="shared" si="34"/>
        <v>0</v>
      </c>
      <c r="N166" s="164">
        <f t="shared" si="32"/>
        <v>0</v>
      </c>
      <c r="O166" s="164">
        <f t="shared" si="24"/>
        <v>0</v>
      </c>
      <c r="P166" s="164">
        <f t="shared" si="25"/>
        <v>0</v>
      </c>
      <c r="Q166" s="164">
        <f t="shared" si="26"/>
        <v>0</v>
      </c>
      <c r="R166" s="164">
        <f t="shared" si="35"/>
        <v>0</v>
      </c>
      <c r="S166" s="164">
        <f t="shared" si="27"/>
        <v>0</v>
      </c>
      <c r="T166" s="164">
        <f t="shared" si="28"/>
        <v>0</v>
      </c>
    </row>
    <row r="167" spans="2:20" x14ac:dyDescent="0.2">
      <c r="B167" s="171"/>
      <c r="D167" s="171"/>
      <c r="F167" s="158">
        <v>156</v>
      </c>
      <c r="G167" s="249">
        <f t="shared" si="29"/>
        <v>48395</v>
      </c>
      <c r="H167" s="158">
        <f t="shared" si="33"/>
        <v>30</v>
      </c>
      <c r="I167" s="254">
        <v>9.9900000000000003E-2</v>
      </c>
      <c r="J167" s="164">
        <f t="shared" si="30"/>
        <v>0</v>
      </c>
      <c r="K167" s="164">
        <f t="shared" si="31"/>
        <v>0</v>
      </c>
      <c r="L167" s="164">
        <f t="shared" si="34"/>
        <v>0</v>
      </c>
      <c r="M167" s="164">
        <f t="shared" si="34"/>
        <v>0</v>
      </c>
      <c r="N167" s="164">
        <f t="shared" si="32"/>
        <v>0</v>
      </c>
      <c r="O167" s="164">
        <f t="shared" si="24"/>
        <v>0</v>
      </c>
      <c r="P167" s="164">
        <f t="shared" si="25"/>
        <v>0</v>
      </c>
      <c r="Q167" s="164">
        <f t="shared" si="26"/>
        <v>0</v>
      </c>
      <c r="R167" s="164">
        <f t="shared" si="35"/>
        <v>0</v>
      </c>
      <c r="S167" s="164">
        <f t="shared" si="27"/>
        <v>0</v>
      </c>
      <c r="T167" s="164">
        <f t="shared" si="28"/>
        <v>0</v>
      </c>
    </row>
    <row r="168" spans="2:20" x14ac:dyDescent="0.2">
      <c r="B168" s="171"/>
      <c r="D168" s="171"/>
      <c r="F168" s="158">
        <v>157</v>
      </c>
      <c r="G168" s="249">
        <f t="shared" si="29"/>
        <v>48426</v>
      </c>
      <c r="H168" s="158">
        <f t="shared" si="33"/>
        <v>31</v>
      </c>
      <c r="I168" s="254">
        <v>9.9900000000000003E-2</v>
      </c>
      <c r="J168" s="164">
        <f t="shared" si="30"/>
        <v>0</v>
      </c>
      <c r="K168" s="164">
        <f t="shared" si="31"/>
        <v>0</v>
      </c>
      <c r="L168" s="164">
        <f t="shared" si="34"/>
        <v>0</v>
      </c>
      <c r="M168" s="164">
        <f t="shared" si="34"/>
        <v>0</v>
      </c>
      <c r="N168" s="164">
        <f t="shared" si="32"/>
        <v>0</v>
      </c>
      <c r="O168" s="164">
        <f t="shared" si="24"/>
        <v>0</v>
      </c>
      <c r="P168" s="164">
        <f t="shared" si="25"/>
        <v>0</v>
      </c>
      <c r="Q168" s="164">
        <f t="shared" si="26"/>
        <v>0</v>
      </c>
      <c r="R168" s="164">
        <f t="shared" si="35"/>
        <v>0</v>
      </c>
      <c r="S168" s="164">
        <f t="shared" si="27"/>
        <v>0</v>
      </c>
      <c r="T168" s="164">
        <f t="shared" si="28"/>
        <v>0</v>
      </c>
    </row>
    <row r="169" spans="2:20" x14ac:dyDescent="0.2">
      <c r="B169" s="171"/>
      <c r="D169" s="171"/>
      <c r="F169" s="158">
        <v>158</v>
      </c>
      <c r="G169" s="249">
        <f t="shared" si="29"/>
        <v>48457</v>
      </c>
      <c r="H169" s="158">
        <f t="shared" si="33"/>
        <v>31</v>
      </c>
      <c r="I169" s="254">
        <v>9.9900000000000003E-2</v>
      </c>
      <c r="J169" s="164">
        <f t="shared" si="30"/>
        <v>0</v>
      </c>
      <c r="K169" s="164">
        <f t="shared" si="31"/>
        <v>0</v>
      </c>
      <c r="L169" s="164">
        <f t="shared" si="34"/>
        <v>0</v>
      </c>
      <c r="M169" s="164">
        <f t="shared" si="34"/>
        <v>0</v>
      </c>
      <c r="N169" s="164">
        <f t="shared" si="32"/>
        <v>0</v>
      </c>
      <c r="O169" s="164">
        <f t="shared" si="24"/>
        <v>0</v>
      </c>
      <c r="P169" s="164">
        <f t="shared" si="25"/>
        <v>0</v>
      </c>
      <c r="Q169" s="164">
        <f t="shared" si="26"/>
        <v>0</v>
      </c>
      <c r="R169" s="164">
        <f t="shared" si="35"/>
        <v>0</v>
      </c>
      <c r="S169" s="164">
        <f t="shared" si="27"/>
        <v>0</v>
      </c>
      <c r="T169" s="164">
        <f t="shared" si="28"/>
        <v>0</v>
      </c>
    </row>
    <row r="170" spans="2:20" x14ac:dyDescent="0.2">
      <c r="B170" s="171"/>
      <c r="D170" s="171"/>
      <c r="F170" s="158">
        <v>159</v>
      </c>
      <c r="G170" s="249">
        <f t="shared" si="29"/>
        <v>48487</v>
      </c>
      <c r="H170" s="158">
        <f t="shared" si="33"/>
        <v>30</v>
      </c>
      <c r="I170" s="254">
        <v>9.9900000000000003E-2</v>
      </c>
      <c r="J170" s="164">
        <f t="shared" si="30"/>
        <v>0</v>
      </c>
      <c r="K170" s="164">
        <f t="shared" si="31"/>
        <v>0</v>
      </c>
      <c r="L170" s="164">
        <f t="shared" si="34"/>
        <v>0</v>
      </c>
      <c r="M170" s="164">
        <f t="shared" si="34"/>
        <v>0</v>
      </c>
      <c r="N170" s="164">
        <f t="shared" si="32"/>
        <v>0</v>
      </c>
      <c r="O170" s="164">
        <f t="shared" si="24"/>
        <v>0</v>
      </c>
      <c r="P170" s="164">
        <f t="shared" si="25"/>
        <v>0</v>
      </c>
      <c r="Q170" s="164">
        <f t="shared" si="26"/>
        <v>0</v>
      </c>
      <c r="R170" s="164">
        <f t="shared" si="35"/>
        <v>0</v>
      </c>
      <c r="S170" s="164">
        <f t="shared" si="27"/>
        <v>0</v>
      </c>
      <c r="T170" s="164">
        <f t="shared" si="28"/>
        <v>0</v>
      </c>
    </row>
    <row r="171" spans="2:20" x14ac:dyDescent="0.2">
      <c r="B171" s="171"/>
      <c r="D171" s="171"/>
      <c r="F171" s="158">
        <v>160</v>
      </c>
      <c r="G171" s="249">
        <f t="shared" si="29"/>
        <v>48518</v>
      </c>
      <c r="H171" s="158">
        <f t="shared" si="33"/>
        <v>31</v>
      </c>
      <c r="I171" s="254">
        <v>9.9900000000000003E-2</v>
      </c>
      <c r="J171" s="164">
        <f t="shared" si="30"/>
        <v>0</v>
      </c>
      <c r="K171" s="164">
        <f t="shared" si="31"/>
        <v>0</v>
      </c>
      <c r="L171" s="164">
        <f t="shared" si="34"/>
        <v>0</v>
      </c>
      <c r="M171" s="164">
        <f t="shared" si="34"/>
        <v>0</v>
      </c>
      <c r="N171" s="164">
        <f t="shared" si="32"/>
        <v>0</v>
      </c>
      <c r="O171" s="164">
        <f t="shared" si="24"/>
        <v>0</v>
      </c>
      <c r="P171" s="164">
        <f t="shared" si="25"/>
        <v>0</v>
      </c>
      <c r="Q171" s="164">
        <f t="shared" si="26"/>
        <v>0</v>
      </c>
      <c r="R171" s="164">
        <f t="shared" si="35"/>
        <v>0</v>
      </c>
      <c r="S171" s="164">
        <f t="shared" si="27"/>
        <v>0</v>
      </c>
      <c r="T171" s="164">
        <f t="shared" si="28"/>
        <v>0</v>
      </c>
    </row>
    <row r="172" spans="2:20" x14ac:dyDescent="0.2">
      <c r="B172" s="171"/>
      <c r="D172" s="171"/>
      <c r="F172" s="158">
        <v>161</v>
      </c>
      <c r="G172" s="249">
        <f t="shared" si="29"/>
        <v>48548</v>
      </c>
      <c r="H172" s="158">
        <f t="shared" si="33"/>
        <v>30</v>
      </c>
      <c r="I172" s="254">
        <v>9.9900000000000003E-2</v>
      </c>
      <c r="J172" s="164">
        <f t="shared" si="30"/>
        <v>0</v>
      </c>
      <c r="K172" s="164">
        <f t="shared" si="31"/>
        <v>0</v>
      </c>
      <c r="L172" s="164">
        <f t="shared" si="34"/>
        <v>0</v>
      </c>
      <c r="M172" s="164">
        <f t="shared" si="34"/>
        <v>0</v>
      </c>
      <c r="N172" s="164">
        <f t="shared" si="32"/>
        <v>0</v>
      </c>
      <c r="O172" s="164">
        <f t="shared" si="24"/>
        <v>0</v>
      </c>
      <c r="P172" s="164">
        <f t="shared" si="25"/>
        <v>0</v>
      </c>
      <c r="Q172" s="164">
        <f t="shared" si="26"/>
        <v>0</v>
      </c>
      <c r="R172" s="164">
        <f t="shared" si="35"/>
        <v>0</v>
      </c>
      <c r="S172" s="164">
        <f t="shared" si="27"/>
        <v>0</v>
      </c>
      <c r="T172" s="164">
        <f t="shared" si="28"/>
        <v>0</v>
      </c>
    </row>
    <row r="173" spans="2:20" x14ac:dyDescent="0.2">
      <c r="B173" s="171"/>
      <c r="D173" s="171"/>
      <c r="F173" s="158">
        <v>162</v>
      </c>
      <c r="G173" s="249">
        <f t="shared" si="29"/>
        <v>48579</v>
      </c>
      <c r="H173" s="158">
        <f t="shared" si="33"/>
        <v>31</v>
      </c>
      <c r="I173" s="254">
        <v>9.9900000000000003E-2</v>
      </c>
      <c r="J173" s="164">
        <f t="shared" si="30"/>
        <v>0</v>
      </c>
      <c r="K173" s="164">
        <f t="shared" si="31"/>
        <v>0</v>
      </c>
      <c r="L173" s="164">
        <f t="shared" si="34"/>
        <v>0</v>
      </c>
      <c r="M173" s="164">
        <f t="shared" si="34"/>
        <v>0</v>
      </c>
      <c r="N173" s="164">
        <f t="shared" si="32"/>
        <v>0</v>
      </c>
      <c r="O173" s="164">
        <f t="shared" si="24"/>
        <v>0</v>
      </c>
      <c r="P173" s="164">
        <f t="shared" si="25"/>
        <v>0</v>
      </c>
      <c r="Q173" s="164">
        <f t="shared" si="26"/>
        <v>0</v>
      </c>
      <c r="R173" s="164">
        <f t="shared" si="35"/>
        <v>0</v>
      </c>
      <c r="S173" s="164">
        <f t="shared" si="27"/>
        <v>0</v>
      </c>
      <c r="T173" s="164">
        <f t="shared" si="28"/>
        <v>0</v>
      </c>
    </row>
    <row r="174" spans="2:20" x14ac:dyDescent="0.2">
      <c r="B174" s="171"/>
      <c r="D174" s="171"/>
      <c r="F174" s="158">
        <v>163</v>
      </c>
      <c r="G174" s="249">
        <f t="shared" si="29"/>
        <v>48610</v>
      </c>
      <c r="H174" s="158">
        <f t="shared" si="33"/>
        <v>31</v>
      </c>
      <c r="I174" s="254">
        <v>9.9900000000000003E-2</v>
      </c>
      <c r="J174" s="164">
        <f t="shared" si="30"/>
        <v>0</v>
      </c>
      <c r="K174" s="164">
        <f t="shared" si="31"/>
        <v>0</v>
      </c>
      <c r="L174" s="164">
        <f t="shared" si="34"/>
        <v>0</v>
      </c>
      <c r="M174" s="164">
        <f t="shared" si="34"/>
        <v>0</v>
      </c>
      <c r="N174" s="164">
        <f t="shared" si="32"/>
        <v>0</v>
      </c>
      <c r="O174" s="164">
        <f t="shared" si="24"/>
        <v>0</v>
      </c>
      <c r="P174" s="164">
        <f t="shared" si="25"/>
        <v>0</v>
      </c>
      <c r="Q174" s="164">
        <f t="shared" si="26"/>
        <v>0</v>
      </c>
      <c r="R174" s="164">
        <f t="shared" si="35"/>
        <v>0</v>
      </c>
      <c r="S174" s="164">
        <f t="shared" si="27"/>
        <v>0</v>
      </c>
      <c r="T174" s="164">
        <f t="shared" si="28"/>
        <v>0</v>
      </c>
    </row>
    <row r="175" spans="2:20" x14ac:dyDescent="0.2">
      <c r="B175" s="171"/>
      <c r="D175" s="171"/>
      <c r="F175" s="158">
        <v>164</v>
      </c>
      <c r="G175" s="249">
        <f t="shared" si="29"/>
        <v>48638</v>
      </c>
      <c r="H175" s="158">
        <f t="shared" si="33"/>
        <v>28</v>
      </c>
      <c r="I175" s="254">
        <v>9.9900000000000003E-2</v>
      </c>
      <c r="J175" s="164">
        <f t="shared" si="30"/>
        <v>0</v>
      </c>
      <c r="K175" s="164">
        <f t="shared" si="31"/>
        <v>0</v>
      </c>
      <c r="L175" s="164">
        <f t="shared" si="34"/>
        <v>0</v>
      </c>
      <c r="M175" s="164">
        <f t="shared" si="34"/>
        <v>0</v>
      </c>
      <c r="N175" s="164">
        <f t="shared" si="32"/>
        <v>0</v>
      </c>
      <c r="O175" s="164">
        <f t="shared" si="24"/>
        <v>0</v>
      </c>
      <c r="P175" s="164">
        <f t="shared" si="25"/>
        <v>0</v>
      </c>
      <c r="Q175" s="164">
        <f t="shared" si="26"/>
        <v>0</v>
      </c>
      <c r="R175" s="164">
        <f t="shared" si="35"/>
        <v>0</v>
      </c>
      <c r="S175" s="164">
        <f t="shared" si="27"/>
        <v>0</v>
      </c>
      <c r="T175" s="164">
        <f t="shared" si="28"/>
        <v>0</v>
      </c>
    </row>
    <row r="176" spans="2:20" x14ac:dyDescent="0.2">
      <c r="B176" s="171"/>
      <c r="D176" s="171"/>
      <c r="F176" s="158">
        <v>165</v>
      </c>
      <c r="G176" s="249">
        <f t="shared" si="29"/>
        <v>48669</v>
      </c>
      <c r="H176" s="158">
        <f t="shared" si="33"/>
        <v>31</v>
      </c>
      <c r="I176" s="254">
        <v>9.9900000000000003E-2</v>
      </c>
      <c r="J176" s="164">
        <f t="shared" si="30"/>
        <v>0</v>
      </c>
      <c r="K176" s="164">
        <f t="shared" si="31"/>
        <v>0</v>
      </c>
      <c r="L176" s="164">
        <f t="shared" si="34"/>
        <v>0</v>
      </c>
      <c r="M176" s="164">
        <f t="shared" si="34"/>
        <v>0</v>
      </c>
      <c r="N176" s="164">
        <f t="shared" si="32"/>
        <v>0</v>
      </c>
      <c r="O176" s="164">
        <f t="shared" si="24"/>
        <v>0</v>
      </c>
      <c r="P176" s="164">
        <f t="shared" si="25"/>
        <v>0</v>
      </c>
      <c r="Q176" s="164">
        <f t="shared" si="26"/>
        <v>0</v>
      </c>
      <c r="R176" s="164">
        <f t="shared" si="35"/>
        <v>0</v>
      </c>
      <c r="S176" s="164">
        <f t="shared" si="27"/>
        <v>0</v>
      </c>
      <c r="T176" s="164">
        <f t="shared" si="28"/>
        <v>0</v>
      </c>
    </row>
    <row r="177" spans="2:20" x14ac:dyDescent="0.2">
      <c r="B177" s="171"/>
      <c r="D177" s="171"/>
      <c r="F177" s="158">
        <v>166</v>
      </c>
      <c r="G177" s="249">
        <f t="shared" si="29"/>
        <v>48699</v>
      </c>
      <c r="H177" s="158">
        <f t="shared" si="33"/>
        <v>30</v>
      </c>
      <c r="I177" s="254">
        <v>9.9900000000000003E-2</v>
      </c>
      <c r="J177" s="164">
        <f t="shared" si="30"/>
        <v>0</v>
      </c>
      <c r="K177" s="164">
        <f t="shared" si="31"/>
        <v>0</v>
      </c>
      <c r="L177" s="164">
        <f t="shared" si="34"/>
        <v>0</v>
      </c>
      <c r="M177" s="164">
        <f t="shared" si="34"/>
        <v>0</v>
      </c>
      <c r="N177" s="164">
        <f t="shared" si="32"/>
        <v>0</v>
      </c>
      <c r="O177" s="164">
        <f t="shared" si="24"/>
        <v>0</v>
      </c>
      <c r="P177" s="164">
        <f t="shared" si="25"/>
        <v>0</v>
      </c>
      <c r="Q177" s="164">
        <f t="shared" si="26"/>
        <v>0</v>
      </c>
      <c r="R177" s="164">
        <f t="shared" si="35"/>
        <v>0</v>
      </c>
      <c r="S177" s="164">
        <f t="shared" si="27"/>
        <v>0</v>
      </c>
      <c r="T177" s="164">
        <f t="shared" si="28"/>
        <v>0</v>
      </c>
    </row>
    <row r="178" spans="2:20" x14ac:dyDescent="0.2">
      <c r="B178" s="171"/>
      <c r="D178" s="171"/>
      <c r="F178" s="158">
        <v>167</v>
      </c>
      <c r="G178" s="249">
        <f t="shared" si="29"/>
        <v>48730</v>
      </c>
      <c r="H178" s="158">
        <f t="shared" si="33"/>
        <v>31</v>
      </c>
      <c r="I178" s="254">
        <v>9.9900000000000003E-2</v>
      </c>
      <c r="J178" s="164">
        <f t="shared" si="30"/>
        <v>0</v>
      </c>
      <c r="K178" s="164">
        <f t="shared" si="31"/>
        <v>0</v>
      </c>
      <c r="L178" s="164">
        <f t="shared" si="34"/>
        <v>0</v>
      </c>
      <c r="M178" s="164">
        <f t="shared" si="34"/>
        <v>0</v>
      </c>
      <c r="N178" s="164">
        <f t="shared" si="32"/>
        <v>0</v>
      </c>
      <c r="O178" s="164">
        <f t="shared" si="24"/>
        <v>0</v>
      </c>
      <c r="P178" s="164">
        <f t="shared" si="25"/>
        <v>0</v>
      </c>
      <c r="Q178" s="164">
        <f t="shared" si="26"/>
        <v>0</v>
      </c>
      <c r="R178" s="164">
        <f t="shared" si="35"/>
        <v>0</v>
      </c>
      <c r="S178" s="164">
        <f t="shared" si="27"/>
        <v>0</v>
      </c>
      <c r="T178" s="164">
        <f t="shared" si="28"/>
        <v>0</v>
      </c>
    </row>
    <row r="179" spans="2:20" x14ac:dyDescent="0.2">
      <c r="B179" s="171"/>
      <c r="D179" s="171"/>
      <c r="F179" s="158">
        <v>168</v>
      </c>
      <c r="G179" s="249">
        <f t="shared" si="29"/>
        <v>48760</v>
      </c>
      <c r="H179" s="158">
        <f t="shared" si="33"/>
        <v>30</v>
      </c>
      <c r="I179" s="254">
        <v>9.9900000000000003E-2</v>
      </c>
      <c r="J179" s="164">
        <f t="shared" si="30"/>
        <v>0</v>
      </c>
      <c r="K179" s="164">
        <f t="shared" si="31"/>
        <v>0</v>
      </c>
      <c r="L179" s="164">
        <f t="shared" si="34"/>
        <v>0</v>
      </c>
      <c r="M179" s="164">
        <f t="shared" si="34"/>
        <v>0</v>
      </c>
      <c r="N179" s="164">
        <f t="shared" si="32"/>
        <v>0</v>
      </c>
      <c r="O179" s="164">
        <f t="shared" si="24"/>
        <v>0</v>
      </c>
      <c r="P179" s="164">
        <f t="shared" si="25"/>
        <v>0</v>
      </c>
      <c r="Q179" s="164">
        <f t="shared" si="26"/>
        <v>0</v>
      </c>
      <c r="R179" s="164">
        <f t="shared" si="35"/>
        <v>0</v>
      </c>
      <c r="S179" s="164">
        <f t="shared" si="27"/>
        <v>0</v>
      </c>
      <c r="T179" s="164">
        <f t="shared" si="28"/>
        <v>0</v>
      </c>
    </row>
    <row r="180" spans="2:20" x14ac:dyDescent="0.2">
      <c r="B180" s="171"/>
      <c r="D180" s="171"/>
      <c r="F180" s="158">
        <v>169</v>
      </c>
      <c r="G180" s="249">
        <f t="shared" si="29"/>
        <v>48791</v>
      </c>
      <c r="H180" s="158">
        <f t="shared" si="33"/>
        <v>31</v>
      </c>
      <c r="I180" s="254">
        <v>9.9900000000000003E-2</v>
      </c>
      <c r="J180" s="164">
        <f t="shared" si="30"/>
        <v>0</v>
      </c>
      <c r="K180" s="164">
        <f t="shared" si="31"/>
        <v>0</v>
      </c>
      <c r="L180" s="164">
        <f t="shared" si="34"/>
        <v>0</v>
      </c>
      <c r="M180" s="164">
        <f t="shared" si="34"/>
        <v>0</v>
      </c>
      <c r="N180" s="164">
        <f t="shared" si="32"/>
        <v>0</v>
      </c>
      <c r="O180" s="164">
        <f t="shared" si="24"/>
        <v>0</v>
      </c>
      <c r="P180" s="164">
        <f t="shared" si="25"/>
        <v>0</v>
      </c>
      <c r="Q180" s="164">
        <f t="shared" si="26"/>
        <v>0</v>
      </c>
      <c r="R180" s="164">
        <f t="shared" si="35"/>
        <v>0</v>
      </c>
      <c r="S180" s="164">
        <f t="shared" si="27"/>
        <v>0</v>
      </c>
      <c r="T180" s="164">
        <f t="shared" si="28"/>
        <v>0</v>
      </c>
    </row>
    <row r="181" spans="2:20" x14ac:dyDescent="0.2">
      <c r="B181" s="171"/>
      <c r="D181" s="171"/>
      <c r="F181" s="158">
        <v>170</v>
      </c>
      <c r="G181" s="249">
        <f t="shared" si="29"/>
        <v>48822</v>
      </c>
      <c r="H181" s="158">
        <f t="shared" si="33"/>
        <v>31</v>
      </c>
      <c r="I181" s="254">
        <v>9.9900000000000003E-2</v>
      </c>
      <c r="J181" s="164">
        <f t="shared" si="30"/>
        <v>0</v>
      </c>
      <c r="K181" s="164">
        <f t="shared" si="31"/>
        <v>0</v>
      </c>
      <c r="L181" s="164">
        <f t="shared" si="34"/>
        <v>0</v>
      </c>
      <c r="M181" s="164">
        <f t="shared" si="34"/>
        <v>0</v>
      </c>
      <c r="N181" s="164">
        <f t="shared" si="32"/>
        <v>0</v>
      </c>
      <c r="O181" s="164">
        <f t="shared" si="24"/>
        <v>0</v>
      </c>
      <c r="P181" s="164">
        <f t="shared" si="25"/>
        <v>0</v>
      </c>
      <c r="Q181" s="164">
        <f t="shared" si="26"/>
        <v>0</v>
      </c>
      <c r="R181" s="164">
        <f t="shared" si="35"/>
        <v>0</v>
      </c>
      <c r="S181" s="164">
        <f t="shared" si="27"/>
        <v>0</v>
      </c>
      <c r="T181" s="164">
        <f t="shared" si="28"/>
        <v>0</v>
      </c>
    </row>
    <row r="182" spans="2:20" x14ac:dyDescent="0.2">
      <c r="B182" s="171"/>
      <c r="D182" s="171"/>
      <c r="F182" s="158">
        <v>171</v>
      </c>
      <c r="G182" s="249">
        <f t="shared" si="29"/>
        <v>48852</v>
      </c>
      <c r="H182" s="158">
        <f t="shared" si="33"/>
        <v>30</v>
      </c>
      <c r="I182" s="254">
        <v>9.9900000000000003E-2</v>
      </c>
      <c r="J182" s="164">
        <f t="shared" si="30"/>
        <v>0</v>
      </c>
      <c r="K182" s="164">
        <f t="shared" si="31"/>
        <v>0</v>
      </c>
      <c r="L182" s="164">
        <f t="shared" si="34"/>
        <v>0</v>
      </c>
      <c r="M182" s="164">
        <f t="shared" si="34"/>
        <v>0</v>
      </c>
      <c r="N182" s="164">
        <f t="shared" si="32"/>
        <v>0</v>
      </c>
      <c r="O182" s="164">
        <f t="shared" si="24"/>
        <v>0</v>
      </c>
      <c r="P182" s="164">
        <f t="shared" si="25"/>
        <v>0</v>
      </c>
      <c r="Q182" s="164">
        <f t="shared" si="26"/>
        <v>0</v>
      </c>
      <c r="R182" s="164">
        <f t="shared" si="35"/>
        <v>0</v>
      </c>
      <c r="S182" s="164">
        <f t="shared" si="27"/>
        <v>0</v>
      </c>
      <c r="T182" s="164">
        <f t="shared" si="28"/>
        <v>0</v>
      </c>
    </row>
    <row r="183" spans="2:20" x14ac:dyDescent="0.2">
      <c r="B183" s="171"/>
      <c r="D183" s="171"/>
      <c r="F183" s="158">
        <v>172</v>
      </c>
      <c r="G183" s="249">
        <f t="shared" si="29"/>
        <v>48883</v>
      </c>
      <c r="H183" s="158">
        <f t="shared" si="33"/>
        <v>31</v>
      </c>
      <c r="I183" s="254">
        <v>9.9900000000000003E-2</v>
      </c>
      <c r="J183" s="164">
        <f t="shared" si="30"/>
        <v>0</v>
      </c>
      <c r="K183" s="164">
        <f t="shared" si="31"/>
        <v>0</v>
      </c>
      <c r="L183" s="164">
        <f t="shared" si="34"/>
        <v>0</v>
      </c>
      <c r="M183" s="164">
        <f t="shared" si="34"/>
        <v>0</v>
      </c>
      <c r="N183" s="164">
        <f t="shared" si="32"/>
        <v>0</v>
      </c>
      <c r="O183" s="164">
        <f t="shared" si="24"/>
        <v>0</v>
      </c>
      <c r="P183" s="164">
        <f t="shared" si="25"/>
        <v>0</v>
      </c>
      <c r="Q183" s="164">
        <f t="shared" si="26"/>
        <v>0</v>
      </c>
      <c r="R183" s="164">
        <f t="shared" si="35"/>
        <v>0</v>
      </c>
      <c r="S183" s="164">
        <f t="shared" si="27"/>
        <v>0</v>
      </c>
      <c r="T183" s="164">
        <f t="shared" si="28"/>
        <v>0</v>
      </c>
    </row>
    <row r="184" spans="2:20" x14ac:dyDescent="0.2">
      <c r="B184" s="171"/>
      <c r="D184" s="171"/>
      <c r="F184" s="158">
        <v>173</v>
      </c>
      <c r="G184" s="249">
        <f t="shared" si="29"/>
        <v>48913</v>
      </c>
      <c r="H184" s="158">
        <f t="shared" si="33"/>
        <v>30</v>
      </c>
      <c r="I184" s="254">
        <v>9.9900000000000003E-2</v>
      </c>
      <c r="J184" s="164">
        <f t="shared" si="30"/>
        <v>0</v>
      </c>
      <c r="K184" s="164">
        <f t="shared" si="31"/>
        <v>0</v>
      </c>
      <c r="L184" s="164">
        <f t="shared" si="34"/>
        <v>0</v>
      </c>
      <c r="M184" s="164">
        <f t="shared" si="34"/>
        <v>0</v>
      </c>
      <c r="N184" s="164">
        <f t="shared" si="32"/>
        <v>0</v>
      </c>
      <c r="O184" s="164">
        <f t="shared" si="24"/>
        <v>0</v>
      </c>
      <c r="P184" s="164">
        <f t="shared" si="25"/>
        <v>0</v>
      </c>
      <c r="Q184" s="164">
        <f t="shared" si="26"/>
        <v>0</v>
      </c>
      <c r="R184" s="164">
        <f t="shared" si="35"/>
        <v>0</v>
      </c>
      <c r="S184" s="164">
        <f t="shared" si="27"/>
        <v>0</v>
      </c>
      <c r="T184" s="164">
        <f t="shared" si="28"/>
        <v>0</v>
      </c>
    </row>
    <row r="185" spans="2:20" x14ac:dyDescent="0.2">
      <c r="B185" s="171"/>
      <c r="D185" s="171"/>
      <c r="F185" s="158">
        <v>174</v>
      </c>
      <c r="G185" s="249">
        <f t="shared" si="29"/>
        <v>48944</v>
      </c>
      <c r="H185" s="158">
        <f t="shared" si="33"/>
        <v>31</v>
      </c>
      <c r="I185" s="254">
        <v>9.9900000000000003E-2</v>
      </c>
      <c r="J185" s="164">
        <f t="shared" si="30"/>
        <v>0</v>
      </c>
      <c r="K185" s="164">
        <f t="shared" si="31"/>
        <v>0</v>
      </c>
      <c r="L185" s="164">
        <f t="shared" si="34"/>
        <v>0</v>
      </c>
      <c r="M185" s="164">
        <f t="shared" si="34"/>
        <v>0</v>
      </c>
      <c r="N185" s="164">
        <f t="shared" si="32"/>
        <v>0</v>
      </c>
      <c r="O185" s="164">
        <f t="shared" si="24"/>
        <v>0</v>
      </c>
      <c r="P185" s="164">
        <f t="shared" si="25"/>
        <v>0</v>
      </c>
      <c r="Q185" s="164">
        <f t="shared" si="26"/>
        <v>0</v>
      </c>
      <c r="R185" s="164">
        <f t="shared" si="35"/>
        <v>0</v>
      </c>
      <c r="S185" s="164">
        <f t="shared" si="27"/>
        <v>0</v>
      </c>
      <c r="T185" s="164">
        <f t="shared" si="28"/>
        <v>0</v>
      </c>
    </row>
    <row r="186" spans="2:20" x14ac:dyDescent="0.2">
      <c r="B186" s="171"/>
      <c r="D186" s="171"/>
      <c r="F186" s="158">
        <v>175</v>
      </c>
      <c r="G186" s="249">
        <f t="shared" si="29"/>
        <v>48975</v>
      </c>
      <c r="H186" s="158">
        <f t="shared" si="33"/>
        <v>31</v>
      </c>
      <c r="I186" s="254">
        <v>9.9900000000000003E-2</v>
      </c>
      <c r="J186" s="164">
        <f t="shared" si="30"/>
        <v>0</v>
      </c>
      <c r="K186" s="164">
        <f t="shared" si="31"/>
        <v>0</v>
      </c>
      <c r="L186" s="164">
        <f t="shared" si="34"/>
        <v>0</v>
      </c>
      <c r="M186" s="164">
        <f t="shared" si="34"/>
        <v>0</v>
      </c>
      <c r="N186" s="164">
        <f t="shared" si="32"/>
        <v>0</v>
      </c>
      <c r="O186" s="164">
        <f t="shared" si="24"/>
        <v>0</v>
      </c>
      <c r="P186" s="164">
        <f t="shared" si="25"/>
        <v>0</v>
      </c>
      <c r="Q186" s="164">
        <f t="shared" si="26"/>
        <v>0</v>
      </c>
      <c r="R186" s="164">
        <f t="shared" si="35"/>
        <v>0</v>
      </c>
      <c r="S186" s="164">
        <f t="shared" si="27"/>
        <v>0</v>
      </c>
      <c r="T186" s="164">
        <f t="shared" si="28"/>
        <v>0</v>
      </c>
    </row>
    <row r="187" spans="2:20" x14ac:dyDescent="0.2">
      <c r="B187" s="171"/>
      <c r="D187" s="171"/>
      <c r="F187" s="158">
        <v>176</v>
      </c>
      <c r="G187" s="249">
        <f t="shared" si="29"/>
        <v>49003</v>
      </c>
      <c r="H187" s="158">
        <f t="shared" si="33"/>
        <v>28</v>
      </c>
      <c r="I187" s="254">
        <v>9.9900000000000003E-2</v>
      </c>
      <c r="J187" s="164">
        <f t="shared" si="30"/>
        <v>0</v>
      </c>
      <c r="K187" s="164">
        <f t="shared" si="31"/>
        <v>0</v>
      </c>
      <c r="L187" s="164">
        <f t="shared" si="34"/>
        <v>0</v>
      </c>
      <c r="M187" s="164">
        <f t="shared" si="34"/>
        <v>0</v>
      </c>
      <c r="N187" s="164">
        <f t="shared" si="32"/>
        <v>0</v>
      </c>
      <c r="O187" s="164">
        <f t="shared" si="24"/>
        <v>0</v>
      </c>
      <c r="P187" s="164">
        <f t="shared" si="25"/>
        <v>0</v>
      </c>
      <c r="Q187" s="164">
        <f t="shared" si="26"/>
        <v>0</v>
      </c>
      <c r="R187" s="164">
        <f t="shared" si="35"/>
        <v>0</v>
      </c>
      <c r="S187" s="164">
        <f t="shared" si="27"/>
        <v>0</v>
      </c>
      <c r="T187" s="164">
        <f t="shared" si="28"/>
        <v>0</v>
      </c>
    </row>
    <row r="188" spans="2:20" x14ac:dyDescent="0.2">
      <c r="B188" s="171"/>
      <c r="D188" s="171"/>
      <c r="F188" s="158">
        <v>177</v>
      </c>
      <c r="G188" s="249">
        <f t="shared" si="29"/>
        <v>49034</v>
      </c>
      <c r="H188" s="158">
        <f t="shared" si="33"/>
        <v>31</v>
      </c>
      <c r="I188" s="254">
        <v>9.9900000000000003E-2</v>
      </c>
      <c r="J188" s="164">
        <f t="shared" si="30"/>
        <v>0</v>
      </c>
      <c r="K188" s="164">
        <f t="shared" si="31"/>
        <v>0</v>
      </c>
      <c r="L188" s="164">
        <f t="shared" si="34"/>
        <v>0</v>
      </c>
      <c r="M188" s="164">
        <f t="shared" si="34"/>
        <v>0</v>
      </c>
      <c r="N188" s="164">
        <f t="shared" si="32"/>
        <v>0</v>
      </c>
      <c r="O188" s="164">
        <f t="shared" si="24"/>
        <v>0</v>
      </c>
      <c r="P188" s="164">
        <f t="shared" si="25"/>
        <v>0</v>
      </c>
      <c r="Q188" s="164">
        <f t="shared" si="26"/>
        <v>0</v>
      </c>
      <c r="R188" s="164">
        <f t="shared" si="35"/>
        <v>0</v>
      </c>
      <c r="S188" s="164">
        <f t="shared" si="27"/>
        <v>0</v>
      </c>
      <c r="T188" s="164">
        <f t="shared" si="28"/>
        <v>0</v>
      </c>
    </row>
    <row r="189" spans="2:20" x14ac:dyDescent="0.2">
      <c r="B189" s="171"/>
      <c r="D189" s="171"/>
      <c r="F189" s="158">
        <v>178</v>
      </c>
      <c r="G189" s="249">
        <f t="shared" si="29"/>
        <v>49064</v>
      </c>
      <c r="H189" s="158">
        <f t="shared" si="33"/>
        <v>30</v>
      </c>
      <c r="I189" s="254">
        <v>9.9900000000000003E-2</v>
      </c>
      <c r="J189" s="164">
        <f t="shared" si="30"/>
        <v>0</v>
      </c>
      <c r="K189" s="164">
        <f t="shared" si="31"/>
        <v>0</v>
      </c>
      <c r="L189" s="164">
        <f t="shared" si="34"/>
        <v>0</v>
      </c>
      <c r="M189" s="164">
        <f t="shared" si="34"/>
        <v>0</v>
      </c>
      <c r="N189" s="164">
        <f t="shared" si="32"/>
        <v>0</v>
      </c>
      <c r="O189" s="164">
        <f t="shared" si="24"/>
        <v>0</v>
      </c>
      <c r="P189" s="164">
        <f t="shared" si="25"/>
        <v>0</v>
      </c>
      <c r="Q189" s="164">
        <f t="shared" si="26"/>
        <v>0</v>
      </c>
      <c r="R189" s="164">
        <f t="shared" si="35"/>
        <v>0</v>
      </c>
      <c r="S189" s="164">
        <f t="shared" si="27"/>
        <v>0</v>
      </c>
      <c r="T189" s="164">
        <f t="shared" si="28"/>
        <v>0</v>
      </c>
    </row>
    <row r="190" spans="2:20" x14ac:dyDescent="0.2">
      <c r="B190" s="171"/>
      <c r="D190" s="171"/>
      <c r="F190" s="158">
        <v>179</v>
      </c>
      <c r="G190" s="249">
        <f t="shared" si="29"/>
        <v>49095</v>
      </c>
      <c r="H190" s="158">
        <f t="shared" si="33"/>
        <v>31</v>
      </c>
      <c r="I190" s="254">
        <v>9.9900000000000003E-2</v>
      </c>
      <c r="J190" s="164">
        <f t="shared" si="30"/>
        <v>0</v>
      </c>
      <c r="K190" s="164">
        <f t="shared" si="31"/>
        <v>0</v>
      </c>
      <c r="L190" s="164">
        <f t="shared" si="34"/>
        <v>0</v>
      </c>
      <c r="M190" s="164">
        <f t="shared" si="34"/>
        <v>0</v>
      </c>
      <c r="N190" s="164">
        <f t="shared" si="32"/>
        <v>0</v>
      </c>
      <c r="O190" s="164">
        <f t="shared" si="24"/>
        <v>0</v>
      </c>
      <c r="P190" s="164">
        <f t="shared" si="25"/>
        <v>0</v>
      </c>
      <c r="Q190" s="164">
        <f t="shared" si="26"/>
        <v>0</v>
      </c>
      <c r="R190" s="164">
        <f t="shared" si="35"/>
        <v>0</v>
      </c>
      <c r="S190" s="164">
        <f t="shared" si="27"/>
        <v>0</v>
      </c>
      <c r="T190" s="164">
        <f t="shared" si="28"/>
        <v>0</v>
      </c>
    </row>
    <row r="191" spans="2:20" x14ac:dyDescent="0.2">
      <c r="B191" s="171"/>
      <c r="D191" s="171"/>
      <c r="F191" s="158">
        <v>180</v>
      </c>
      <c r="G191" s="249">
        <f t="shared" si="29"/>
        <v>49125</v>
      </c>
      <c r="H191" s="158">
        <f t="shared" si="33"/>
        <v>30</v>
      </c>
      <c r="I191" s="254">
        <v>9.9900000000000003E-2</v>
      </c>
      <c r="J191" s="164">
        <f t="shared" si="30"/>
        <v>0</v>
      </c>
      <c r="K191" s="164">
        <f t="shared" si="31"/>
        <v>0</v>
      </c>
      <c r="L191" s="164">
        <f t="shared" si="34"/>
        <v>0</v>
      </c>
      <c r="M191" s="164">
        <f t="shared" si="34"/>
        <v>0</v>
      </c>
      <c r="N191" s="164">
        <f t="shared" si="32"/>
        <v>0</v>
      </c>
      <c r="O191" s="164">
        <f t="shared" si="24"/>
        <v>0</v>
      </c>
      <c r="P191" s="164">
        <f t="shared" si="25"/>
        <v>0</v>
      </c>
      <c r="Q191" s="164">
        <f t="shared" si="26"/>
        <v>0</v>
      </c>
      <c r="R191" s="164">
        <f t="shared" si="35"/>
        <v>0</v>
      </c>
      <c r="S191" s="164">
        <f t="shared" si="27"/>
        <v>0</v>
      </c>
      <c r="T191" s="164">
        <f t="shared" si="28"/>
        <v>0</v>
      </c>
    </row>
    <row r="192" spans="2:20" x14ac:dyDescent="0.2">
      <c r="B192" s="171"/>
      <c r="D192" s="171"/>
      <c r="F192" s="158">
        <v>181</v>
      </c>
      <c r="G192" s="249">
        <f t="shared" si="29"/>
        <v>49156</v>
      </c>
      <c r="H192" s="158">
        <f t="shared" si="33"/>
        <v>31</v>
      </c>
      <c r="I192" s="254">
        <v>9.9900000000000003E-2</v>
      </c>
      <c r="J192" s="164">
        <f t="shared" si="30"/>
        <v>0</v>
      </c>
      <c r="K192" s="164">
        <f t="shared" si="31"/>
        <v>0</v>
      </c>
      <c r="L192" s="164">
        <f t="shared" si="34"/>
        <v>0</v>
      </c>
      <c r="M192" s="164">
        <f t="shared" si="34"/>
        <v>0</v>
      </c>
      <c r="N192" s="164">
        <f t="shared" si="32"/>
        <v>0</v>
      </c>
      <c r="O192" s="164">
        <f t="shared" si="24"/>
        <v>0</v>
      </c>
      <c r="P192" s="164">
        <f t="shared" si="25"/>
        <v>0</v>
      </c>
      <c r="Q192" s="164">
        <f t="shared" si="26"/>
        <v>0</v>
      </c>
      <c r="R192" s="164">
        <f t="shared" si="35"/>
        <v>0</v>
      </c>
      <c r="S192" s="164">
        <f t="shared" si="27"/>
        <v>0</v>
      </c>
      <c r="T192" s="164">
        <f t="shared" si="28"/>
        <v>0</v>
      </c>
    </row>
    <row r="193" spans="2:20" x14ac:dyDescent="0.2">
      <c r="B193" s="171"/>
      <c r="D193" s="171"/>
      <c r="F193" s="158">
        <v>182</v>
      </c>
      <c r="G193" s="249">
        <f t="shared" si="29"/>
        <v>49187</v>
      </c>
      <c r="H193" s="158">
        <f t="shared" si="33"/>
        <v>31</v>
      </c>
      <c r="I193" s="254">
        <v>9.9900000000000003E-2</v>
      </c>
      <c r="J193" s="164">
        <f t="shared" si="30"/>
        <v>0</v>
      </c>
      <c r="K193" s="164">
        <f t="shared" si="31"/>
        <v>0</v>
      </c>
      <c r="L193" s="164">
        <f t="shared" si="34"/>
        <v>0</v>
      </c>
      <c r="M193" s="164">
        <f t="shared" si="34"/>
        <v>0</v>
      </c>
      <c r="N193" s="164">
        <f t="shared" si="32"/>
        <v>0</v>
      </c>
      <c r="O193" s="164">
        <f t="shared" si="24"/>
        <v>0</v>
      </c>
      <c r="P193" s="164">
        <f t="shared" si="25"/>
        <v>0</v>
      </c>
      <c r="Q193" s="164">
        <f t="shared" si="26"/>
        <v>0</v>
      </c>
      <c r="R193" s="164">
        <f t="shared" si="35"/>
        <v>0</v>
      </c>
      <c r="S193" s="164">
        <f t="shared" si="27"/>
        <v>0</v>
      </c>
      <c r="T193" s="164">
        <f t="shared" si="28"/>
        <v>0</v>
      </c>
    </row>
    <row r="194" spans="2:20" x14ac:dyDescent="0.2">
      <c r="B194" s="171"/>
      <c r="D194" s="171"/>
      <c r="F194" s="158">
        <v>183</v>
      </c>
      <c r="G194" s="249">
        <f t="shared" si="29"/>
        <v>49217</v>
      </c>
      <c r="H194" s="158">
        <f t="shared" si="33"/>
        <v>30</v>
      </c>
      <c r="I194" s="254">
        <v>9.9900000000000003E-2</v>
      </c>
      <c r="J194" s="164">
        <f t="shared" si="30"/>
        <v>0</v>
      </c>
      <c r="K194" s="164">
        <f t="shared" si="31"/>
        <v>0</v>
      </c>
      <c r="L194" s="164">
        <f t="shared" si="34"/>
        <v>0</v>
      </c>
      <c r="M194" s="164">
        <f t="shared" si="34"/>
        <v>0</v>
      </c>
      <c r="N194" s="164">
        <f t="shared" si="32"/>
        <v>0</v>
      </c>
      <c r="O194" s="164">
        <f t="shared" si="24"/>
        <v>0</v>
      </c>
      <c r="P194" s="164">
        <f t="shared" si="25"/>
        <v>0</v>
      </c>
      <c r="Q194" s="164">
        <f t="shared" si="26"/>
        <v>0</v>
      </c>
      <c r="R194" s="164">
        <f t="shared" si="35"/>
        <v>0</v>
      </c>
      <c r="S194" s="164">
        <f t="shared" si="27"/>
        <v>0</v>
      </c>
      <c r="T194" s="164">
        <f t="shared" si="28"/>
        <v>0</v>
      </c>
    </row>
    <row r="195" spans="2:20" x14ac:dyDescent="0.2">
      <c r="B195" s="171"/>
      <c r="D195" s="171"/>
      <c r="F195" s="158">
        <v>184</v>
      </c>
      <c r="G195" s="249">
        <f t="shared" si="29"/>
        <v>49248</v>
      </c>
      <c r="H195" s="158">
        <f t="shared" si="33"/>
        <v>31</v>
      </c>
      <c r="I195" s="254">
        <v>9.9900000000000003E-2</v>
      </c>
      <c r="J195" s="164">
        <f t="shared" si="30"/>
        <v>0</v>
      </c>
      <c r="K195" s="164">
        <f t="shared" si="31"/>
        <v>0</v>
      </c>
      <c r="L195" s="164">
        <f t="shared" si="34"/>
        <v>0</v>
      </c>
      <c r="M195" s="164">
        <f t="shared" si="34"/>
        <v>0</v>
      </c>
      <c r="N195" s="164">
        <f t="shared" si="32"/>
        <v>0</v>
      </c>
      <c r="O195" s="164">
        <f t="shared" si="24"/>
        <v>0</v>
      </c>
      <c r="P195" s="164">
        <f t="shared" si="25"/>
        <v>0</v>
      </c>
      <c r="Q195" s="164">
        <f t="shared" si="26"/>
        <v>0</v>
      </c>
      <c r="R195" s="164">
        <f t="shared" si="35"/>
        <v>0</v>
      </c>
      <c r="S195" s="164">
        <f t="shared" si="27"/>
        <v>0</v>
      </c>
      <c r="T195" s="164">
        <f t="shared" si="28"/>
        <v>0</v>
      </c>
    </row>
    <row r="196" spans="2:20" x14ac:dyDescent="0.2">
      <c r="B196" s="171"/>
      <c r="D196" s="171"/>
      <c r="F196" s="158">
        <v>185</v>
      </c>
      <c r="G196" s="249">
        <f t="shared" si="29"/>
        <v>49278</v>
      </c>
      <c r="H196" s="158">
        <f t="shared" si="33"/>
        <v>30</v>
      </c>
      <c r="I196" s="254">
        <v>9.9900000000000003E-2</v>
      </c>
      <c r="J196" s="164">
        <f t="shared" si="30"/>
        <v>0</v>
      </c>
      <c r="K196" s="164">
        <f t="shared" si="31"/>
        <v>0</v>
      </c>
      <c r="L196" s="164">
        <f t="shared" si="34"/>
        <v>0</v>
      </c>
      <c r="M196" s="164">
        <f t="shared" si="34"/>
        <v>0</v>
      </c>
      <c r="N196" s="164">
        <f t="shared" si="32"/>
        <v>0</v>
      </c>
      <c r="O196" s="164">
        <f t="shared" si="24"/>
        <v>0</v>
      </c>
      <c r="P196" s="164">
        <f t="shared" si="25"/>
        <v>0</v>
      </c>
      <c r="Q196" s="164">
        <f t="shared" si="26"/>
        <v>0</v>
      </c>
      <c r="R196" s="164">
        <f t="shared" si="35"/>
        <v>0</v>
      </c>
      <c r="S196" s="164">
        <f t="shared" si="27"/>
        <v>0</v>
      </c>
      <c r="T196" s="164">
        <f t="shared" si="28"/>
        <v>0</v>
      </c>
    </row>
    <row r="197" spans="2:20" x14ac:dyDescent="0.2">
      <c r="B197" s="171"/>
      <c r="D197" s="171"/>
      <c r="F197" s="158">
        <v>186</v>
      </c>
      <c r="G197" s="249">
        <f t="shared" si="29"/>
        <v>49309</v>
      </c>
      <c r="H197" s="158">
        <f t="shared" si="33"/>
        <v>31</v>
      </c>
      <c r="I197" s="254">
        <v>9.9900000000000003E-2</v>
      </c>
      <c r="J197" s="164">
        <f t="shared" si="30"/>
        <v>0</v>
      </c>
      <c r="K197" s="164">
        <f t="shared" si="31"/>
        <v>0</v>
      </c>
      <c r="L197" s="164">
        <f t="shared" si="34"/>
        <v>0</v>
      </c>
      <c r="M197" s="164">
        <f t="shared" si="34"/>
        <v>0</v>
      </c>
      <c r="N197" s="164">
        <f t="shared" si="32"/>
        <v>0</v>
      </c>
      <c r="O197" s="164">
        <f t="shared" si="24"/>
        <v>0</v>
      </c>
      <c r="P197" s="164">
        <f t="shared" si="25"/>
        <v>0</v>
      </c>
      <c r="Q197" s="164">
        <f t="shared" si="26"/>
        <v>0</v>
      </c>
      <c r="R197" s="164">
        <f t="shared" si="35"/>
        <v>0</v>
      </c>
      <c r="S197" s="164">
        <f t="shared" si="27"/>
        <v>0</v>
      </c>
      <c r="T197" s="164">
        <f t="shared" si="28"/>
        <v>0</v>
      </c>
    </row>
    <row r="198" spans="2:20" x14ac:dyDescent="0.2">
      <c r="B198" s="171"/>
      <c r="D198" s="171"/>
      <c r="F198" s="158">
        <v>187</v>
      </c>
      <c r="G198" s="249">
        <f t="shared" si="29"/>
        <v>49340</v>
      </c>
      <c r="H198" s="158">
        <f t="shared" si="33"/>
        <v>31</v>
      </c>
      <c r="I198" s="254">
        <v>9.9900000000000003E-2</v>
      </c>
      <c r="J198" s="164">
        <f t="shared" si="30"/>
        <v>0</v>
      </c>
      <c r="K198" s="164">
        <f t="shared" si="31"/>
        <v>0</v>
      </c>
      <c r="L198" s="164">
        <f t="shared" si="34"/>
        <v>0</v>
      </c>
      <c r="M198" s="164">
        <f t="shared" si="34"/>
        <v>0</v>
      </c>
      <c r="N198" s="164">
        <f t="shared" si="32"/>
        <v>0</v>
      </c>
      <c r="O198" s="164">
        <f t="shared" si="24"/>
        <v>0</v>
      </c>
      <c r="P198" s="164">
        <f t="shared" si="25"/>
        <v>0</v>
      </c>
      <c r="Q198" s="164">
        <f t="shared" si="26"/>
        <v>0</v>
      </c>
      <c r="R198" s="164">
        <f t="shared" si="35"/>
        <v>0</v>
      </c>
      <c r="S198" s="164">
        <f t="shared" si="27"/>
        <v>0</v>
      </c>
      <c r="T198" s="164">
        <f t="shared" si="28"/>
        <v>0</v>
      </c>
    </row>
    <row r="199" spans="2:20" x14ac:dyDescent="0.2">
      <c r="B199" s="171"/>
      <c r="D199" s="171"/>
      <c r="F199" s="158">
        <v>188</v>
      </c>
      <c r="G199" s="249">
        <f t="shared" si="29"/>
        <v>49368</v>
      </c>
      <c r="H199" s="158">
        <f t="shared" si="33"/>
        <v>28</v>
      </c>
      <c r="I199" s="254">
        <v>9.9900000000000003E-2</v>
      </c>
      <c r="J199" s="164">
        <f t="shared" si="30"/>
        <v>0</v>
      </c>
      <c r="K199" s="164">
        <f t="shared" si="31"/>
        <v>0</v>
      </c>
      <c r="L199" s="164">
        <f t="shared" si="34"/>
        <v>0</v>
      </c>
      <c r="M199" s="164">
        <f t="shared" si="34"/>
        <v>0</v>
      </c>
      <c r="N199" s="164">
        <f t="shared" si="32"/>
        <v>0</v>
      </c>
      <c r="O199" s="164">
        <f t="shared" si="24"/>
        <v>0</v>
      </c>
      <c r="P199" s="164">
        <f t="shared" si="25"/>
        <v>0</v>
      </c>
      <c r="Q199" s="164">
        <f t="shared" si="26"/>
        <v>0</v>
      </c>
      <c r="R199" s="164">
        <f t="shared" si="35"/>
        <v>0</v>
      </c>
      <c r="S199" s="164">
        <f t="shared" si="27"/>
        <v>0</v>
      </c>
      <c r="T199" s="164">
        <f t="shared" si="28"/>
        <v>0</v>
      </c>
    </row>
    <row r="200" spans="2:20" x14ac:dyDescent="0.2">
      <c r="B200" s="171"/>
      <c r="D200" s="171"/>
      <c r="F200" s="158">
        <v>189</v>
      </c>
      <c r="G200" s="249">
        <f t="shared" si="29"/>
        <v>49399</v>
      </c>
      <c r="H200" s="158">
        <f t="shared" si="33"/>
        <v>31</v>
      </c>
      <c r="I200" s="254">
        <v>9.9900000000000003E-2</v>
      </c>
      <c r="J200" s="164">
        <f t="shared" si="30"/>
        <v>0</v>
      </c>
      <c r="K200" s="164">
        <f t="shared" si="31"/>
        <v>0</v>
      </c>
      <c r="L200" s="164">
        <f t="shared" si="34"/>
        <v>0</v>
      </c>
      <c r="M200" s="164">
        <f t="shared" si="34"/>
        <v>0</v>
      </c>
      <c r="N200" s="164">
        <f t="shared" si="32"/>
        <v>0</v>
      </c>
      <c r="O200" s="164">
        <f t="shared" si="24"/>
        <v>0</v>
      </c>
      <c r="P200" s="164">
        <f t="shared" si="25"/>
        <v>0</v>
      </c>
      <c r="Q200" s="164">
        <f t="shared" si="26"/>
        <v>0</v>
      </c>
      <c r="R200" s="164">
        <f t="shared" si="35"/>
        <v>0</v>
      </c>
      <c r="S200" s="164">
        <f t="shared" si="27"/>
        <v>0</v>
      </c>
      <c r="T200" s="164">
        <f t="shared" si="28"/>
        <v>0</v>
      </c>
    </row>
    <row r="201" spans="2:20" x14ac:dyDescent="0.2">
      <c r="B201" s="171"/>
      <c r="D201" s="171"/>
      <c r="F201" s="158">
        <v>190</v>
      </c>
      <c r="G201" s="249">
        <f t="shared" si="29"/>
        <v>49429</v>
      </c>
      <c r="H201" s="158">
        <f t="shared" si="33"/>
        <v>30</v>
      </c>
      <c r="I201" s="254">
        <v>9.9900000000000003E-2</v>
      </c>
      <c r="J201" s="164">
        <f t="shared" si="30"/>
        <v>0</v>
      </c>
      <c r="K201" s="164">
        <f t="shared" si="31"/>
        <v>0</v>
      </c>
      <c r="L201" s="164">
        <f t="shared" si="34"/>
        <v>0</v>
      </c>
      <c r="M201" s="164">
        <f t="shared" si="34"/>
        <v>0</v>
      </c>
      <c r="N201" s="164">
        <f t="shared" si="32"/>
        <v>0</v>
      </c>
      <c r="O201" s="164">
        <f t="shared" si="24"/>
        <v>0</v>
      </c>
      <c r="P201" s="164">
        <f t="shared" si="25"/>
        <v>0</v>
      </c>
      <c r="Q201" s="164">
        <f t="shared" si="26"/>
        <v>0</v>
      </c>
      <c r="R201" s="164">
        <f t="shared" si="35"/>
        <v>0</v>
      </c>
      <c r="S201" s="164">
        <f t="shared" si="27"/>
        <v>0</v>
      </c>
      <c r="T201" s="164">
        <f t="shared" si="28"/>
        <v>0</v>
      </c>
    </row>
    <row r="202" spans="2:20" x14ac:dyDescent="0.2">
      <c r="B202" s="171"/>
      <c r="D202" s="171"/>
      <c r="F202" s="158">
        <v>191</v>
      </c>
      <c r="G202" s="249">
        <f t="shared" si="29"/>
        <v>49460</v>
      </c>
      <c r="H202" s="158">
        <f t="shared" si="33"/>
        <v>31</v>
      </c>
      <c r="I202" s="254">
        <v>9.9900000000000003E-2</v>
      </c>
      <c r="J202" s="164">
        <f t="shared" si="30"/>
        <v>0</v>
      </c>
      <c r="K202" s="164">
        <f t="shared" si="31"/>
        <v>0</v>
      </c>
      <c r="L202" s="164">
        <f t="shared" si="34"/>
        <v>0</v>
      </c>
      <c r="M202" s="164">
        <f t="shared" si="34"/>
        <v>0</v>
      </c>
      <c r="N202" s="164">
        <f t="shared" si="32"/>
        <v>0</v>
      </c>
      <c r="O202" s="164">
        <f t="shared" si="24"/>
        <v>0</v>
      </c>
      <c r="P202" s="164">
        <f t="shared" si="25"/>
        <v>0</v>
      </c>
      <c r="Q202" s="164">
        <f t="shared" si="26"/>
        <v>0</v>
      </c>
      <c r="R202" s="164">
        <f t="shared" si="35"/>
        <v>0</v>
      </c>
      <c r="S202" s="164">
        <f t="shared" si="27"/>
        <v>0</v>
      </c>
      <c r="T202" s="164">
        <f t="shared" si="28"/>
        <v>0</v>
      </c>
    </row>
    <row r="203" spans="2:20" x14ac:dyDescent="0.2">
      <c r="B203" s="171"/>
      <c r="D203" s="171"/>
      <c r="F203" s="158">
        <v>192</v>
      </c>
      <c r="G203" s="249">
        <f t="shared" si="29"/>
        <v>49490</v>
      </c>
      <c r="H203" s="158">
        <f t="shared" si="33"/>
        <v>30</v>
      </c>
      <c r="I203" s="254">
        <v>9.9900000000000003E-2</v>
      </c>
      <c r="J203" s="164">
        <f t="shared" si="30"/>
        <v>0</v>
      </c>
      <c r="K203" s="164">
        <f t="shared" si="31"/>
        <v>0</v>
      </c>
      <c r="L203" s="164">
        <f t="shared" si="34"/>
        <v>0</v>
      </c>
      <c r="M203" s="164">
        <f t="shared" si="34"/>
        <v>0</v>
      </c>
      <c r="N203" s="164">
        <f t="shared" si="32"/>
        <v>0</v>
      </c>
      <c r="O203" s="164">
        <f t="shared" si="24"/>
        <v>0</v>
      </c>
      <c r="P203" s="164">
        <f t="shared" si="25"/>
        <v>0</v>
      </c>
      <c r="Q203" s="164">
        <f t="shared" si="26"/>
        <v>0</v>
      </c>
      <c r="R203" s="164">
        <f t="shared" si="35"/>
        <v>0</v>
      </c>
      <c r="S203" s="164">
        <f t="shared" si="27"/>
        <v>0</v>
      </c>
      <c r="T203" s="164">
        <f t="shared" si="28"/>
        <v>0</v>
      </c>
    </row>
    <row r="204" spans="2:20" x14ac:dyDescent="0.2">
      <c r="B204" s="171"/>
      <c r="D204" s="171"/>
      <c r="F204" s="158">
        <v>193</v>
      </c>
      <c r="G204" s="249">
        <f t="shared" si="29"/>
        <v>49521</v>
      </c>
      <c r="H204" s="158">
        <f t="shared" si="33"/>
        <v>31</v>
      </c>
      <c r="I204" s="254">
        <v>9.9900000000000003E-2</v>
      </c>
      <c r="J204" s="164">
        <f t="shared" si="30"/>
        <v>0</v>
      </c>
      <c r="K204" s="164">
        <f t="shared" si="31"/>
        <v>0</v>
      </c>
      <c r="L204" s="164">
        <f t="shared" si="34"/>
        <v>0</v>
      </c>
      <c r="M204" s="164">
        <f t="shared" si="34"/>
        <v>0</v>
      </c>
      <c r="N204" s="164">
        <f t="shared" si="32"/>
        <v>0</v>
      </c>
      <c r="O204" s="164">
        <f t="shared" ref="O204:O267" si="36">MIN(J204-Q204-P204,L204)</f>
        <v>0</v>
      </c>
      <c r="P204" s="164">
        <f t="shared" ref="P204:P267" si="37">MIN(J204-Q204,N204)</f>
        <v>0</v>
      </c>
      <c r="Q204" s="164">
        <f t="shared" ref="Q204:Q267" si="38">MIN(J204,M204)</f>
        <v>0</v>
      </c>
      <c r="R204" s="164">
        <f t="shared" si="35"/>
        <v>0</v>
      </c>
      <c r="S204" s="164">
        <f t="shared" ref="S204:S267" si="39">L204-O204</f>
        <v>0</v>
      </c>
      <c r="T204" s="164">
        <f t="shared" ref="T204:T267" si="40">M204+R204-Q204</f>
        <v>0</v>
      </c>
    </row>
    <row r="205" spans="2:20" x14ac:dyDescent="0.2">
      <c r="B205" s="171"/>
      <c r="D205" s="171"/>
      <c r="F205" s="158">
        <v>194</v>
      </c>
      <c r="G205" s="249">
        <f t="shared" ref="G205:G268" si="41">EOMONTH($D$9,F205-1)</f>
        <v>49552</v>
      </c>
      <c r="H205" s="158">
        <f t="shared" si="33"/>
        <v>31</v>
      </c>
      <c r="I205" s="254">
        <v>9.9900000000000003E-2</v>
      </c>
      <c r="J205" s="164">
        <f t="shared" ref="J205:J268" si="42">IF(F205=$D$4,K205+N205,MIN($D$5,K205+N205))</f>
        <v>0</v>
      </c>
      <c r="K205" s="164">
        <f t="shared" ref="K205:K268" si="43">L205+M205</f>
        <v>0</v>
      </c>
      <c r="L205" s="164">
        <f t="shared" si="34"/>
        <v>0</v>
      </c>
      <c r="M205" s="164">
        <f t="shared" si="34"/>
        <v>0</v>
      </c>
      <c r="N205" s="164">
        <f t="shared" ref="N205:N268" si="44">L205*I205/365.25*H205</f>
        <v>0</v>
      </c>
      <c r="O205" s="164">
        <f t="shared" si="36"/>
        <v>0</v>
      </c>
      <c r="P205" s="164">
        <f t="shared" si="37"/>
        <v>0</v>
      </c>
      <c r="Q205" s="164">
        <f t="shared" si="38"/>
        <v>0</v>
      </c>
      <c r="R205" s="164">
        <f t="shared" si="35"/>
        <v>0</v>
      </c>
      <c r="S205" s="164">
        <f t="shared" si="39"/>
        <v>0</v>
      </c>
      <c r="T205" s="164">
        <f t="shared" si="40"/>
        <v>0</v>
      </c>
    </row>
    <row r="206" spans="2:20" x14ac:dyDescent="0.2">
      <c r="B206" s="171"/>
      <c r="D206" s="171"/>
      <c r="F206" s="158">
        <v>195</v>
      </c>
      <c r="G206" s="249">
        <f t="shared" si="41"/>
        <v>49582</v>
      </c>
      <c r="H206" s="158">
        <f t="shared" ref="H206:H269" si="45">G206-G205</f>
        <v>30</v>
      </c>
      <c r="I206" s="254">
        <v>9.9900000000000003E-2</v>
      </c>
      <c r="J206" s="164">
        <f t="shared" si="42"/>
        <v>0</v>
      </c>
      <c r="K206" s="164">
        <f t="shared" si="43"/>
        <v>0</v>
      </c>
      <c r="L206" s="164">
        <f t="shared" ref="L206:M221" si="46">S205</f>
        <v>0</v>
      </c>
      <c r="M206" s="164">
        <f t="shared" si="46"/>
        <v>0</v>
      </c>
      <c r="N206" s="164">
        <f t="shared" si="44"/>
        <v>0</v>
      </c>
      <c r="O206" s="164">
        <f t="shared" si="36"/>
        <v>0</v>
      </c>
      <c r="P206" s="164">
        <f t="shared" si="37"/>
        <v>0</v>
      </c>
      <c r="Q206" s="164">
        <f t="shared" si="38"/>
        <v>0</v>
      </c>
      <c r="R206" s="164">
        <f t="shared" ref="R206:R269" si="47">MAX(N206-P206,0)</f>
        <v>0</v>
      </c>
      <c r="S206" s="164">
        <f t="shared" si="39"/>
        <v>0</v>
      </c>
      <c r="T206" s="164">
        <f t="shared" si="40"/>
        <v>0</v>
      </c>
    </row>
    <row r="207" spans="2:20" x14ac:dyDescent="0.2">
      <c r="B207" s="171"/>
      <c r="D207" s="171"/>
      <c r="F207" s="158">
        <v>196</v>
      </c>
      <c r="G207" s="249">
        <f t="shared" si="41"/>
        <v>49613</v>
      </c>
      <c r="H207" s="158">
        <f t="shared" si="45"/>
        <v>31</v>
      </c>
      <c r="I207" s="254">
        <v>9.9900000000000003E-2</v>
      </c>
      <c r="J207" s="164">
        <f t="shared" si="42"/>
        <v>0</v>
      </c>
      <c r="K207" s="164">
        <f t="shared" si="43"/>
        <v>0</v>
      </c>
      <c r="L207" s="164">
        <f t="shared" si="46"/>
        <v>0</v>
      </c>
      <c r="M207" s="164">
        <f t="shared" si="46"/>
        <v>0</v>
      </c>
      <c r="N207" s="164">
        <f t="shared" si="44"/>
        <v>0</v>
      </c>
      <c r="O207" s="164">
        <f t="shared" si="36"/>
        <v>0</v>
      </c>
      <c r="P207" s="164">
        <f t="shared" si="37"/>
        <v>0</v>
      </c>
      <c r="Q207" s="164">
        <f t="shared" si="38"/>
        <v>0</v>
      </c>
      <c r="R207" s="164">
        <f t="shared" si="47"/>
        <v>0</v>
      </c>
      <c r="S207" s="164">
        <f t="shared" si="39"/>
        <v>0</v>
      </c>
      <c r="T207" s="164">
        <f t="shared" si="40"/>
        <v>0</v>
      </c>
    </row>
    <row r="208" spans="2:20" x14ac:dyDescent="0.2">
      <c r="B208" s="171"/>
      <c r="D208" s="171"/>
      <c r="E208" s="171"/>
      <c r="F208" s="158">
        <v>197</v>
      </c>
      <c r="G208" s="249">
        <f t="shared" si="41"/>
        <v>49643</v>
      </c>
      <c r="H208" s="158">
        <f t="shared" si="45"/>
        <v>30</v>
      </c>
      <c r="I208" s="254">
        <v>9.9900000000000003E-2</v>
      </c>
      <c r="J208" s="164">
        <f t="shared" si="42"/>
        <v>0</v>
      </c>
      <c r="K208" s="164">
        <f t="shared" si="43"/>
        <v>0</v>
      </c>
      <c r="L208" s="164">
        <f t="shared" si="46"/>
        <v>0</v>
      </c>
      <c r="M208" s="164">
        <f t="shared" si="46"/>
        <v>0</v>
      </c>
      <c r="N208" s="164">
        <f t="shared" si="44"/>
        <v>0</v>
      </c>
      <c r="O208" s="164">
        <f t="shared" si="36"/>
        <v>0</v>
      </c>
      <c r="P208" s="164">
        <f t="shared" si="37"/>
        <v>0</v>
      </c>
      <c r="Q208" s="164">
        <f t="shared" si="38"/>
        <v>0</v>
      </c>
      <c r="R208" s="164">
        <f t="shared" si="47"/>
        <v>0</v>
      </c>
      <c r="S208" s="164">
        <f t="shared" si="39"/>
        <v>0</v>
      </c>
      <c r="T208" s="164">
        <f t="shared" si="40"/>
        <v>0</v>
      </c>
    </row>
    <row r="209" spans="2:20" x14ac:dyDescent="0.2">
      <c r="B209" s="171"/>
      <c r="D209" s="171"/>
      <c r="E209" s="171"/>
      <c r="F209" s="158">
        <v>198</v>
      </c>
      <c r="G209" s="249">
        <f t="shared" si="41"/>
        <v>49674</v>
      </c>
      <c r="H209" s="158">
        <f t="shared" si="45"/>
        <v>31</v>
      </c>
      <c r="I209" s="254">
        <v>9.9900000000000003E-2</v>
      </c>
      <c r="J209" s="164">
        <f t="shared" si="42"/>
        <v>0</v>
      </c>
      <c r="K209" s="164">
        <f t="shared" si="43"/>
        <v>0</v>
      </c>
      <c r="L209" s="164">
        <f t="shared" si="46"/>
        <v>0</v>
      </c>
      <c r="M209" s="164">
        <f t="shared" si="46"/>
        <v>0</v>
      </c>
      <c r="N209" s="164">
        <f t="shared" si="44"/>
        <v>0</v>
      </c>
      <c r="O209" s="164">
        <f t="shared" si="36"/>
        <v>0</v>
      </c>
      <c r="P209" s="164">
        <f t="shared" si="37"/>
        <v>0</v>
      </c>
      <c r="Q209" s="164">
        <f t="shared" si="38"/>
        <v>0</v>
      </c>
      <c r="R209" s="164">
        <f t="shared" si="47"/>
        <v>0</v>
      </c>
      <c r="S209" s="164">
        <f t="shared" si="39"/>
        <v>0</v>
      </c>
      <c r="T209" s="164">
        <f t="shared" si="40"/>
        <v>0</v>
      </c>
    </row>
    <row r="210" spans="2:20" x14ac:dyDescent="0.2">
      <c r="B210" s="171"/>
      <c r="D210" s="171"/>
      <c r="E210" s="171"/>
      <c r="F210" s="158">
        <v>199</v>
      </c>
      <c r="G210" s="249">
        <f t="shared" si="41"/>
        <v>49705</v>
      </c>
      <c r="H210" s="158">
        <f t="shared" si="45"/>
        <v>31</v>
      </c>
      <c r="I210" s="254">
        <v>9.9900000000000003E-2</v>
      </c>
      <c r="J210" s="164">
        <f t="shared" si="42"/>
        <v>0</v>
      </c>
      <c r="K210" s="164">
        <f t="shared" si="43"/>
        <v>0</v>
      </c>
      <c r="L210" s="164">
        <f t="shared" si="46"/>
        <v>0</v>
      </c>
      <c r="M210" s="164">
        <f t="shared" si="46"/>
        <v>0</v>
      </c>
      <c r="N210" s="164">
        <f t="shared" si="44"/>
        <v>0</v>
      </c>
      <c r="O210" s="164">
        <f t="shared" si="36"/>
        <v>0</v>
      </c>
      <c r="P210" s="164">
        <f t="shared" si="37"/>
        <v>0</v>
      </c>
      <c r="Q210" s="164">
        <f t="shared" si="38"/>
        <v>0</v>
      </c>
      <c r="R210" s="164">
        <f t="shared" si="47"/>
        <v>0</v>
      </c>
      <c r="S210" s="164">
        <f t="shared" si="39"/>
        <v>0</v>
      </c>
      <c r="T210" s="164">
        <f t="shared" si="40"/>
        <v>0</v>
      </c>
    </row>
    <row r="211" spans="2:20" x14ac:dyDescent="0.2">
      <c r="B211" s="171"/>
      <c r="D211" s="171"/>
      <c r="E211" s="171"/>
      <c r="F211" s="158">
        <v>200</v>
      </c>
      <c r="G211" s="249">
        <f t="shared" si="41"/>
        <v>49734</v>
      </c>
      <c r="H211" s="158">
        <f t="shared" si="45"/>
        <v>29</v>
      </c>
      <c r="I211" s="254">
        <v>9.9900000000000003E-2</v>
      </c>
      <c r="J211" s="164">
        <f t="shared" si="42"/>
        <v>0</v>
      </c>
      <c r="K211" s="164">
        <f t="shared" si="43"/>
        <v>0</v>
      </c>
      <c r="L211" s="164">
        <f t="shared" si="46"/>
        <v>0</v>
      </c>
      <c r="M211" s="164">
        <f t="shared" si="46"/>
        <v>0</v>
      </c>
      <c r="N211" s="164">
        <f t="shared" si="44"/>
        <v>0</v>
      </c>
      <c r="O211" s="164">
        <f t="shared" si="36"/>
        <v>0</v>
      </c>
      <c r="P211" s="164">
        <f t="shared" si="37"/>
        <v>0</v>
      </c>
      <c r="Q211" s="164">
        <f t="shared" si="38"/>
        <v>0</v>
      </c>
      <c r="R211" s="164">
        <f t="shared" si="47"/>
        <v>0</v>
      </c>
      <c r="S211" s="164">
        <f t="shared" si="39"/>
        <v>0</v>
      </c>
      <c r="T211" s="164">
        <f t="shared" si="40"/>
        <v>0</v>
      </c>
    </row>
    <row r="212" spans="2:20" x14ac:dyDescent="0.2">
      <c r="B212" s="171"/>
      <c r="D212" s="171"/>
      <c r="E212" s="171"/>
      <c r="F212" s="158">
        <v>201</v>
      </c>
      <c r="G212" s="249">
        <f t="shared" si="41"/>
        <v>49765</v>
      </c>
      <c r="H212" s="158">
        <f t="shared" si="45"/>
        <v>31</v>
      </c>
      <c r="I212" s="254">
        <v>9.9900000000000003E-2</v>
      </c>
      <c r="J212" s="164">
        <f t="shared" si="42"/>
        <v>0</v>
      </c>
      <c r="K212" s="164">
        <f t="shared" si="43"/>
        <v>0</v>
      </c>
      <c r="L212" s="164">
        <f t="shared" si="46"/>
        <v>0</v>
      </c>
      <c r="M212" s="164">
        <f t="shared" si="46"/>
        <v>0</v>
      </c>
      <c r="N212" s="164">
        <f t="shared" si="44"/>
        <v>0</v>
      </c>
      <c r="O212" s="164">
        <f t="shared" si="36"/>
        <v>0</v>
      </c>
      <c r="P212" s="164">
        <f t="shared" si="37"/>
        <v>0</v>
      </c>
      <c r="Q212" s="164">
        <f t="shared" si="38"/>
        <v>0</v>
      </c>
      <c r="R212" s="164">
        <f t="shared" si="47"/>
        <v>0</v>
      </c>
      <c r="S212" s="164">
        <f t="shared" si="39"/>
        <v>0</v>
      </c>
      <c r="T212" s="164">
        <f t="shared" si="40"/>
        <v>0</v>
      </c>
    </row>
    <row r="213" spans="2:20" x14ac:dyDescent="0.2">
      <c r="B213" s="171"/>
      <c r="D213" s="171"/>
      <c r="E213" s="171"/>
      <c r="F213" s="158">
        <v>202</v>
      </c>
      <c r="G213" s="249">
        <f t="shared" si="41"/>
        <v>49795</v>
      </c>
      <c r="H213" s="158">
        <f t="shared" si="45"/>
        <v>30</v>
      </c>
      <c r="I213" s="254">
        <v>9.9900000000000003E-2</v>
      </c>
      <c r="J213" s="164">
        <f t="shared" si="42"/>
        <v>0</v>
      </c>
      <c r="K213" s="164">
        <f t="shared" si="43"/>
        <v>0</v>
      </c>
      <c r="L213" s="164">
        <f t="shared" si="46"/>
        <v>0</v>
      </c>
      <c r="M213" s="164">
        <f t="shared" si="46"/>
        <v>0</v>
      </c>
      <c r="N213" s="164">
        <f t="shared" si="44"/>
        <v>0</v>
      </c>
      <c r="O213" s="164">
        <f t="shared" si="36"/>
        <v>0</v>
      </c>
      <c r="P213" s="164">
        <f t="shared" si="37"/>
        <v>0</v>
      </c>
      <c r="Q213" s="164">
        <f t="shared" si="38"/>
        <v>0</v>
      </c>
      <c r="R213" s="164">
        <f t="shared" si="47"/>
        <v>0</v>
      </c>
      <c r="S213" s="164">
        <f t="shared" si="39"/>
        <v>0</v>
      </c>
      <c r="T213" s="164">
        <f t="shared" si="40"/>
        <v>0</v>
      </c>
    </row>
    <row r="214" spans="2:20" x14ac:dyDescent="0.2">
      <c r="B214" s="171"/>
      <c r="D214" s="171"/>
      <c r="E214" s="171"/>
      <c r="F214" s="158">
        <v>203</v>
      </c>
      <c r="G214" s="249">
        <f t="shared" si="41"/>
        <v>49826</v>
      </c>
      <c r="H214" s="158">
        <f t="shared" si="45"/>
        <v>31</v>
      </c>
      <c r="I214" s="254">
        <v>9.9900000000000003E-2</v>
      </c>
      <c r="J214" s="164">
        <f t="shared" si="42"/>
        <v>0</v>
      </c>
      <c r="K214" s="164">
        <f t="shared" si="43"/>
        <v>0</v>
      </c>
      <c r="L214" s="164">
        <f t="shared" si="46"/>
        <v>0</v>
      </c>
      <c r="M214" s="164">
        <f t="shared" si="46"/>
        <v>0</v>
      </c>
      <c r="N214" s="164">
        <f t="shared" si="44"/>
        <v>0</v>
      </c>
      <c r="O214" s="164">
        <f t="shared" si="36"/>
        <v>0</v>
      </c>
      <c r="P214" s="164">
        <f t="shared" si="37"/>
        <v>0</v>
      </c>
      <c r="Q214" s="164">
        <f t="shared" si="38"/>
        <v>0</v>
      </c>
      <c r="R214" s="164">
        <f t="shared" si="47"/>
        <v>0</v>
      </c>
      <c r="S214" s="164">
        <f t="shared" si="39"/>
        <v>0</v>
      </c>
      <c r="T214" s="164">
        <f t="shared" si="40"/>
        <v>0</v>
      </c>
    </row>
    <row r="215" spans="2:20" x14ac:dyDescent="0.2">
      <c r="B215" s="171"/>
      <c r="D215" s="171"/>
      <c r="E215" s="171"/>
      <c r="F215" s="158">
        <v>204</v>
      </c>
      <c r="G215" s="249">
        <f t="shared" si="41"/>
        <v>49856</v>
      </c>
      <c r="H215" s="158">
        <f t="shared" si="45"/>
        <v>30</v>
      </c>
      <c r="I215" s="254">
        <v>9.9900000000000003E-2</v>
      </c>
      <c r="J215" s="164">
        <f t="shared" si="42"/>
        <v>0</v>
      </c>
      <c r="K215" s="164">
        <f t="shared" si="43"/>
        <v>0</v>
      </c>
      <c r="L215" s="164">
        <f t="shared" si="46"/>
        <v>0</v>
      </c>
      <c r="M215" s="164">
        <f t="shared" si="46"/>
        <v>0</v>
      </c>
      <c r="N215" s="164">
        <f t="shared" si="44"/>
        <v>0</v>
      </c>
      <c r="O215" s="164">
        <f t="shared" si="36"/>
        <v>0</v>
      </c>
      <c r="P215" s="164">
        <f t="shared" si="37"/>
        <v>0</v>
      </c>
      <c r="Q215" s="164">
        <f t="shared" si="38"/>
        <v>0</v>
      </c>
      <c r="R215" s="164">
        <f t="shared" si="47"/>
        <v>0</v>
      </c>
      <c r="S215" s="164">
        <f t="shared" si="39"/>
        <v>0</v>
      </c>
      <c r="T215" s="164">
        <f t="shared" si="40"/>
        <v>0</v>
      </c>
    </row>
    <row r="216" spans="2:20" x14ac:dyDescent="0.2">
      <c r="B216" s="171"/>
      <c r="D216" s="171"/>
      <c r="E216" s="171"/>
      <c r="F216" s="158">
        <v>205</v>
      </c>
      <c r="G216" s="249">
        <f t="shared" si="41"/>
        <v>49887</v>
      </c>
      <c r="H216" s="158">
        <f t="shared" si="45"/>
        <v>31</v>
      </c>
      <c r="I216" s="254">
        <v>9.9900000000000003E-2</v>
      </c>
      <c r="J216" s="164">
        <f t="shared" si="42"/>
        <v>0</v>
      </c>
      <c r="K216" s="164">
        <f t="shared" si="43"/>
        <v>0</v>
      </c>
      <c r="L216" s="164">
        <f t="shared" si="46"/>
        <v>0</v>
      </c>
      <c r="M216" s="164">
        <f t="shared" si="46"/>
        <v>0</v>
      </c>
      <c r="N216" s="164">
        <f t="shared" si="44"/>
        <v>0</v>
      </c>
      <c r="O216" s="164">
        <f t="shared" si="36"/>
        <v>0</v>
      </c>
      <c r="P216" s="164">
        <f t="shared" si="37"/>
        <v>0</v>
      </c>
      <c r="Q216" s="164">
        <f t="shared" si="38"/>
        <v>0</v>
      </c>
      <c r="R216" s="164">
        <f t="shared" si="47"/>
        <v>0</v>
      </c>
      <c r="S216" s="164">
        <f t="shared" si="39"/>
        <v>0</v>
      </c>
      <c r="T216" s="164">
        <f t="shared" si="40"/>
        <v>0</v>
      </c>
    </row>
    <row r="217" spans="2:20" x14ac:dyDescent="0.2">
      <c r="B217" s="171"/>
      <c r="D217" s="171"/>
      <c r="E217" s="171"/>
      <c r="F217" s="158">
        <v>206</v>
      </c>
      <c r="G217" s="249">
        <f t="shared" si="41"/>
        <v>49918</v>
      </c>
      <c r="H217" s="158">
        <f t="shared" si="45"/>
        <v>31</v>
      </c>
      <c r="I217" s="254">
        <v>9.9900000000000003E-2</v>
      </c>
      <c r="J217" s="164">
        <f t="shared" si="42"/>
        <v>0</v>
      </c>
      <c r="K217" s="164">
        <f t="shared" si="43"/>
        <v>0</v>
      </c>
      <c r="L217" s="164">
        <f t="shared" si="46"/>
        <v>0</v>
      </c>
      <c r="M217" s="164">
        <f t="shared" si="46"/>
        <v>0</v>
      </c>
      <c r="N217" s="164">
        <f t="shared" si="44"/>
        <v>0</v>
      </c>
      <c r="O217" s="164">
        <f t="shared" si="36"/>
        <v>0</v>
      </c>
      <c r="P217" s="164">
        <f t="shared" si="37"/>
        <v>0</v>
      </c>
      <c r="Q217" s="164">
        <f t="shared" si="38"/>
        <v>0</v>
      </c>
      <c r="R217" s="164">
        <f t="shared" si="47"/>
        <v>0</v>
      </c>
      <c r="S217" s="164">
        <f t="shared" si="39"/>
        <v>0</v>
      </c>
      <c r="T217" s="164">
        <f t="shared" si="40"/>
        <v>0</v>
      </c>
    </row>
    <row r="218" spans="2:20" x14ac:dyDescent="0.2">
      <c r="B218" s="171"/>
      <c r="D218" s="171"/>
      <c r="E218" s="171"/>
      <c r="F218" s="158">
        <v>207</v>
      </c>
      <c r="G218" s="249">
        <f t="shared" si="41"/>
        <v>49948</v>
      </c>
      <c r="H218" s="158">
        <f t="shared" si="45"/>
        <v>30</v>
      </c>
      <c r="I218" s="254">
        <v>9.9900000000000003E-2</v>
      </c>
      <c r="J218" s="164">
        <f t="shared" si="42"/>
        <v>0</v>
      </c>
      <c r="K218" s="164">
        <f t="shared" si="43"/>
        <v>0</v>
      </c>
      <c r="L218" s="164">
        <f t="shared" si="46"/>
        <v>0</v>
      </c>
      <c r="M218" s="164">
        <f t="shared" si="46"/>
        <v>0</v>
      </c>
      <c r="N218" s="164">
        <f t="shared" si="44"/>
        <v>0</v>
      </c>
      <c r="O218" s="164">
        <f t="shared" si="36"/>
        <v>0</v>
      </c>
      <c r="P218" s="164">
        <f t="shared" si="37"/>
        <v>0</v>
      </c>
      <c r="Q218" s="164">
        <f t="shared" si="38"/>
        <v>0</v>
      </c>
      <c r="R218" s="164">
        <f t="shared" si="47"/>
        <v>0</v>
      </c>
      <c r="S218" s="164">
        <f t="shared" si="39"/>
        <v>0</v>
      </c>
      <c r="T218" s="164">
        <f t="shared" si="40"/>
        <v>0</v>
      </c>
    </row>
    <row r="219" spans="2:20" x14ac:dyDescent="0.2">
      <c r="B219" s="171"/>
      <c r="D219" s="171"/>
      <c r="E219" s="171"/>
      <c r="F219" s="158">
        <v>208</v>
      </c>
      <c r="G219" s="249">
        <f t="shared" si="41"/>
        <v>49979</v>
      </c>
      <c r="H219" s="158">
        <f t="shared" si="45"/>
        <v>31</v>
      </c>
      <c r="I219" s="254">
        <v>9.9900000000000003E-2</v>
      </c>
      <c r="J219" s="164">
        <f t="shared" si="42"/>
        <v>0</v>
      </c>
      <c r="K219" s="164">
        <f t="shared" si="43"/>
        <v>0</v>
      </c>
      <c r="L219" s="164">
        <f t="shared" si="46"/>
        <v>0</v>
      </c>
      <c r="M219" s="164">
        <f t="shared" si="46"/>
        <v>0</v>
      </c>
      <c r="N219" s="164">
        <f t="shared" si="44"/>
        <v>0</v>
      </c>
      <c r="O219" s="164">
        <f t="shared" si="36"/>
        <v>0</v>
      </c>
      <c r="P219" s="164">
        <f t="shared" si="37"/>
        <v>0</v>
      </c>
      <c r="Q219" s="164">
        <f t="shared" si="38"/>
        <v>0</v>
      </c>
      <c r="R219" s="164">
        <f t="shared" si="47"/>
        <v>0</v>
      </c>
      <c r="S219" s="164">
        <f t="shared" si="39"/>
        <v>0</v>
      </c>
      <c r="T219" s="164">
        <f t="shared" si="40"/>
        <v>0</v>
      </c>
    </row>
    <row r="220" spans="2:20" x14ac:dyDescent="0.2">
      <c r="B220" s="171"/>
      <c r="D220" s="171"/>
      <c r="E220" s="171"/>
      <c r="F220" s="158">
        <v>209</v>
      </c>
      <c r="G220" s="249">
        <f t="shared" si="41"/>
        <v>50009</v>
      </c>
      <c r="H220" s="158">
        <f t="shared" si="45"/>
        <v>30</v>
      </c>
      <c r="I220" s="254">
        <v>9.9900000000000003E-2</v>
      </c>
      <c r="J220" s="164">
        <f t="shared" si="42"/>
        <v>0</v>
      </c>
      <c r="K220" s="164">
        <f t="shared" si="43"/>
        <v>0</v>
      </c>
      <c r="L220" s="164">
        <f t="shared" si="46"/>
        <v>0</v>
      </c>
      <c r="M220" s="164">
        <f t="shared" si="46"/>
        <v>0</v>
      </c>
      <c r="N220" s="164">
        <f t="shared" si="44"/>
        <v>0</v>
      </c>
      <c r="O220" s="164">
        <f t="shared" si="36"/>
        <v>0</v>
      </c>
      <c r="P220" s="164">
        <f t="shared" si="37"/>
        <v>0</v>
      </c>
      <c r="Q220" s="164">
        <f t="shared" si="38"/>
        <v>0</v>
      </c>
      <c r="R220" s="164">
        <f t="shared" si="47"/>
        <v>0</v>
      </c>
      <c r="S220" s="164">
        <f t="shared" si="39"/>
        <v>0</v>
      </c>
      <c r="T220" s="164">
        <f t="shared" si="40"/>
        <v>0</v>
      </c>
    </row>
    <row r="221" spans="2:20" x14ac:dyDescent="0.2">
      <c r="B221" s="171"/>
      <c r="D221" s="171"/>
      <c r="F221" s="158">
        <v>210</v>
      </c>
      <c r="G221" s="249">
        <f t="shared" si="41"/>
        <v>50040</v>
      </c>
      <c r="H221" s="158">
        <f t="shared" si="45"/>
        <v>31</v>
      </c>
      <c r="I221" s="254">
        <v>9.9900000000000003E-2</v>
      </c>
      <c r="J221" s="164">
        <f t="shared" si="42"/>
        <v>0</v>
      </c>
      <c r="K221" s="164">
        <f t="shared" si="43"/>
        <v>0</v>
      </c>
      <c r="L221" s="164">
        <f t="shared" si="46"/>
        <v>0</v>
      </c>
      <c r="M221" s="164">
        <f t="shared" si="46"/>
        <v>0</v>
      </c>
      <c r="N221" s="164">
        <f t="shared" si="44"/>
        <v>0</v>
      </c>
      <c r="O221" s="164">
        <f t="shared" si="36"/>
        <v>0</v>
      </c>
      <c r="P221" s="164">
        <f t="shared" si="37"/>
        <v>0</v>
      </c>
      <c r="Q221" s="164">
        <f t="shared" si="38"/>
        <v>0</v>
      </c>
      <c r="R221" s="164">
        <f t="shared" si="47"/>
        <v>0</v>
      </c>
      <c r="S221" s="164">
        <f t="shared" si="39"/>
        <v>0</v>
      </c>
      <c r="T221" s="164">
        <f t="shared" si="40"/>
        <v>0</v>
      </c>
    </row>
    <row r="222" spans="2:20" x14ac:dyDescent="0.2">
      <c r="B222" s="171"/>
      <c r="D222" s="171"/>
      <c r="F222" s="158">
        <v>211</v>
      </c>
      <c r="G222" s="249">
        <f t="shared" si="41"/>
        <v>50071</v>
      </c>
      <c r="H222" s="158">
        <f t="shared" si="45"/>
        <v>31</v>
      </c>
      <c r="I222" s="254">
        <v>9.9900000000000003E-2</v>
      </c>
      <c r="J222" s="164">
        <f t="shared" si="42"/>
        <v>0</v>
      </c>
      <c r="K222" s="164">
        <f t="shared" si="43"/>
        <v>0</v>
      </c>
      <c r="L222" s="164">
        <f t="shared" ref="L222:M277" si="48">S221</f>
        <v>0</v>
      </c>
      <c r="M222" s="164">
        <f t="shared" si="48"/>
        <v>0</v>
      </c>
      <c r="N222" s="164">
        <f t="shared" si="44"/>
        <v>0</v>
      </c>
      <c r="O222" s="164">
        <f t="shared" si="36"/>
        <v>0</v>
      </c>
      <c r="P222" s="164">
        <f t="shared" si="37"/>
        <v>0</v>
      </c>
      <c r="Q222" s="164">
        <f t="shared" si="38"/>
        <v>0</v>
      </c>
      <c r="R222" s="164">
        <f t="shared" si="47"/>
        <v>0</v>
      </c>
      <c r="S222" s="164">
        <f t="shared" si="39"/>
        <v>0</v>
      </c>
      <c r="T222" s="164">
        <f t="shared" si="40"/>
        <v>0</v>
      </c>
    </row>
    <row r="223" spans="2:20" x14ac:dyDescent="0.2">
      <c r="B223" s="171"/>
      <c r="D223" s="171"/>
      <c r="F223" s="158">
        <v>212</v>
      </c>
      <c r="G223" s="249">
        <f t="shared" si="41"/>
        <v>50099</v>
      </c>
      <c r="H223" s="158">
        <f t="shared" si="45"/>
        <v>28</v>
      </c>
      <c r="I223" s="254">
        <v>9.9900000000000003E-2</v>
      </c>
      <c r="J223" s="164">
        <f t="shared" si="42"/>
        <v>0</v>
      </c>
      <c r="K223" s="164">
        <f t="shared" si="43"/>
        <v>0</v>
      </c>
      <c r="L223" s="164">
        <f t="shared" si="48"/>
        <v>0</v>
      </c>
      <c r="M223" s="164">
        <f t="shared" si="48"/>
        <v>0</v>
      </c>
      <c r="N223" s="164">
        <f t="shared" si="44"/>
        <v>0</v>
      </c>
      <c r="O223" s="164">
        <f t="shared" si="36"/>
        <v>0</v>
      </c>
      <c r="P223" s="164">
        <f t="shared" si="37"/>
        <v>0</v>
      </c>
      <c r="Q223" s="164">
        <f t="shared" si="38"/>
        <v>0</v>
      </c>
      <c r="R223" s="164">
        <f t="shared" si="47"/>
        <v>0</v>
      </c>
      <c r="S223" s="164">
        <f t="shared" si="39"/>
        <v>0</v>
      </c>
      <c r="T223" s="164">
        <f t="shared" si="40"/>
        <v>0</v>
      </c>
    </row>
    <row r="224" spans="2:20" x14ac:dyDescent="0.2">
      <c r="B224" s="171"/>
      <c r="D224" s="171"/>
      <c r="F224" s="158">
        <v>213</v>
      </c>
      <c r="G224" s="249">
        <f t="shared" si="41"/>
        <v>50130</v>
      </c>
      <c r="H224" s="158">
        <f t="shared" si="45"/>
        <v>31</v>
      </c>
      <c r="I224" s="254">
        <v>9.9900000000000003E-2</v>
      </c>
      <c r="J224" s="164">
        <f t="shared" si="42"/>
        <v>0</v>
      </c>
      <c r="K224" s="164">
        <f t="shared" si="43"/>
        <v>0</v>
      </c>
      <c r="L224" s="164">
        <f t="shared" si="48"/>
        <v>0</v>
      </c>
      <c r="M224" s="164">
        <f t="shared" si="48"/>
        <v>0</v>
      </c>
      <c r="N224" s="164">
        <f t="shared" si="44"/>
        <v>0</v>
      </c>
      <c r="O224" s="164">
        <f t="shared" si="36"/>
        <v>0</v>
      </c>
      <c r="P224" s="164">
        <f t="shared" si="37"/>
        <v>0</v>
      </c>
      <c r="Q224" s="164">
        <f t="shared" si="38"/>
        <v>0</v>
      </c>
      <c r="R224" s="164">
        <f t="shared" si="47"/>
        <v>0</v>
      </c>
      <c r="S224" s="164">
        <f t="shared" si="39"/>
        <v>0</v>
      </c>
      <c r="T224" s="164">
        <f t="shared" si="40"/>
        <v>0</v>
      </c>
    </row>
    <row r="225" spans="2:20" x14ac:dyDescent="0.2">
      <c r="B225" s="171"/>
      <c r="D225" s="171"/>
      <c r="F225" s="158">
        <v>214</v>
      </c>
      <c r="G225" s="249">
        <f t="shared" si="41"/>
        <v>50160</v>
      </c>
      <c r="H225" s="158">
        <f t="shared" si="45"/>
        <v>30</v>
      </c>
      <c r="I225" s="254">
        <v>9.9900000000000003E-2</v>
      </c>
      <c r="J225" s="164">
        <f t="shared" si="42"/>
        <v>0</v>
      </c>
      <c r="K225" s="164">
        <f t="shared" si="43"/>
        <v>0</v>
      </c>
      <c r="L225" s="164">
        <f t="shared" si="48"/>
        <v>0</v>
      </c>
      <c r="M225" s="164">
        <f t="shared" si="48"/>
        <v>0</v>
      </c>
      <c r="N225" s="164">
        <f t="shared" si="44"/>
        <v>0</v>
      </c>
      <c r="O225" s="164">
        <f t="shared" si="36"/>
        <v>0</v>
      </c>
      <c r="P225" s="164">
        <f t="shared" si="37"/>
        <v>0</v>
      </c>
      <c r="Q225" s="164">
        <f t="shared" si="38"/>
        <v>0</v>
      </c>
      <c r="R225" s="164">
        <f t="shared" si="47"/>
        <v>0</v>
      </c>
      <c r="S225" s="164">
        <f t="shared" si="39"/>
        <v>0</v>
      </c>
      <c r="T225" s="164">
        <f t="shared" si="40"/>
        <v>0</v>
      </c>
    </row>
    <row r="226" spans="2:20" x14ac:dyDescent="0.2">
      <c r="B226" s="171"/>
      <c r="D226" s="171"/>
      <c r="F226" s="158">
        <v>215</v>
      </c>
      <c r="G226" s="249">
        <f t="shared" si="41"/>
        <v>50191</v>
      </c>
      <c r="H226" s="158">
        <f t="shared" si="45"/>
        <v>31</v>
      </c>
      <c r="I226" s="254">
        <v>9.9900000000000003E-2</v>
      </c>
      <c r="J226" s="164">
        <f t="shared" si="42"/>
        <v>0</v>
      </c>
      <c r="K226" s="164">
        <f t="shared" si="43"/>
        <v>0</v>
      </c>
      <c r="L226" s="164">
        <f t="shared" si="48"/>
        <v>0</v>
      </c>
      <c r="M226" s="164">
        <f t="shared" si="48"/>
        <v>0</v>
      </c>
      <c r="N226" s="164">
        <f t="shared" si="44"/>
        <v>0</v>
      </c>
      <c r="O226" s="164">
        <f t="shared" si="36"/>
        <v>0</v>
      </c>
      <c r="P226" s="164">
        <f t="shared" si="37"/>
        <v>0</v>
      </c>
      <c r="Q226" s="164">
        <f t="shared" si="38"/>
        <v>0</v>
      </c>
      <c r="R226" s="164">
        <f t="shared" si="47"/>
        <v>0</v>
      </c>
      <c r="S226" s="164">
        <f t="shared" si="39"/>
        <v>0</v>
      </c>
      <c r="T226" s="164">
        <f t="shared" si="40"/>
        <v>0</v>
      </c>
    </row>
    <row r="227" spans="2:20" x14ac:dyDescent="0.2">
      <c r="B227" s="171"/>
      <c r="D227" s="171"/>
      <c r="F227" s="158">
        <v>216</v>
      </c>
      <c r="G227" s="249">
        <f t="shared" si="41"/>
        <v>50221</v>
      </c>
      <c r="H227" s="158">
        <f t="shared" si="45"/>
        <v>30</v>
      </c>
      <c r="I227" s="254">
        <v>9.9900000000000003E-2</v>
      </c>
      <c r="J227" s="164">
        <f t="shared" si="42"/>
        <v>0</v>
      </c>
      <c r="K227" s="164">
        <f t="shared" si="43"/>
        <v>0</v>
      </c>
      <c r="L227" s="164">
        <f t="shared" si="48"/>
        <v>0</v>
      </c>
      <c r="M227" s="164">
        <f t="shared" si="48"/>
        <v>0</v>
      </c>
      <c r="N227" s="164">
        <f t="shared" si="44"/>
        <v>0</v>
      </c>
      <c r="O227" s="164">
        <f t="shared" si="36"/>
        <v>0</v>
      </c>
      <c r="P227" s="164">
        <f t="shared" si="37"/>
        <v>0</v>
      </c>
      <c r="Q227" s="164">
        <f t="shared" si="38"/>
        <v>0</v>
      </c>
      <c r="R227" s="164">
        <f t="shared" si="47"/>
        <v>0</v>
      </c>
      <c r="S227" s="164">
        <f t="shared" si="39"/>
        <v>0</v>
      </c>
      <c r="T227" s="164">
        <f t="shared" si="40"/>
        <v>0</v>
      </c>
    </row>
    <row r="228" spans="2:20" x14ac:dyDescent="0.2">
      <c r="B228" s="171"/>
      <c r="D228" s="171"/>
      <c r="F228" s="158">
        <v>217</v>
      </c>
      <c r="G228" s="249">
        <f t="shared" si="41"/>
        <v>50252</v>
      </c>
      <c r="H228" s="158">
        <f t="shared" si="45"/>
        <v>31</v>
      </c>
      <c r="I228" s="254">
        <v>9.9900000000000003E-2</v>
      </c>
      <c r="J228" s="164">
        <f t="shared" si="42"/>
        <v>0</v>
      </c>
      <c r="K228" s="164">
        <f t="shared" si="43"/>
        <v>0</v>
      </c>
      <c r="L228" s="164">
        <f t="shared" si="48"/>
        <v>0</v>
      </c>
      <c r="M228" s="164">
        <f t="shared" si="48"/>
        <v>0</v>
      </c>
      <c r="N228" s="164">
        <f t="shared" si="44"/>
        <v>0</v>
      </c>
      <c r="O228" s="164">
        <f t="shared" si="36"/>
        <v>0</v>
      </c>
      <c r="P228" s="164">
        <f t="shared" si="37"/>
        <v>0</v>
      </c>
      <c r="Q228" s="164">
        <f t="shared" si="38"/>
        <v>0</v>
      </c>
      <c r="R228" s="164">
        <f t="shared" si="47"/>
        <v>0</v>
      </c>
      <c r="S228" s="164">
        <f t="shared" si="39"/>
        <v>0</v>
      </c>
      <c r="T228" s="164">
        <f t="shared" si="40"/>
        <v>0</v>
      </c>
    </row>
    <row r="229" spans="2:20" x14ac:dyDescent="0.2">
      <c r="B229" s="171"/>
      <c r="D229" s="171"/>
      <c r="F229" s="158">
        <v>218</v>
      </c>
      <c r="G229" s="249">
        <f t="shared" si="41"/>
        <v>50283</v>
      </c>
      <c r="H229" s="158">
        <f t="shared" si="45"/>
        <v>31</v>
      </c>
      <c r="I229" s="254">
        <v>9.9900000000000003E-2</v>
      </c>
      <c r="J229" s="164">
        <f t="shared" si="42"/>
        <v>0</v>
      </c>
      <c r="K229" s="164">
        <f t="shared" si="43"/>
        <v>0</v>
      </c>
      <c r="L229" s="164">
        <f t="shared" si="48"/>
        <v>0</v>
      </c>
      <c r="M229" s="164">
        <f t="shared" si="48"/>
        <v>0</v>
      </c>
      <c r="N229" s="164">
        <f t="shared" si="44"/>
        <v>0</v>
      </c>
      <c r="O229" s="164">
        <f t="shared" si="36"/>
        <v>0</v>
      </c>
      <c r="P229" s="164">
        <f t="shared" si="37"/>
        <v>0</v>
      </c>
      <c r="Q229" s="164">
        <f t="shared" si="38"/>
        <v>0</v>
      </c>
      <c r="R229" s="164">
        <f t="shared" si="47"/>
        <v>0</v>
      </c>
      <c r="S229" s="164">
        <f t="shared" si="39"/>
        <v>0</v>
      </c>
      <c r="T229" s="164">
        <f t="shared" si="40"/>
        <v>0</v>
      </c>
    </row>
    <row r="230" spans="2:20" x14ac:dyDescent="0.2">
      <c r="B230" s="171"/>
      <c r="D230" s="171"/>
      <c r="F230" s="158">
        <v>219</v>
      </c>
      <c r="G230" s="249">
        <f t="shared" si="41"/>
        <v>50313</v>
      </c>
      <c r="H230" s="158">
        <f t="shared" si="45"/>
        <v>30</v>
      </c>
      <c r="I230" s="254">
        <v>9.9900000000000003E-2</v>
      </c>
      <c r="J230" s="164">
        <f t="shared" si="42"/>
        <v>0</v>
      </c>
      <c r="K230" s="164">
        <f t="shared" si="43"/>
        <v>0</v>
      </c>
      <c r="L230" s="164">
        <f t="shared" si="48"/>
        <v>0</v>
      </c>
      <c r="M230" s="164">
        <f t="shared" si="48"/>
        <v>0</v>
      </c>
      <c r="N230" s="164">
        <f t="shared" si="44"/>
        <v>0</v>
      </c>
      <c r="O230" s="164">
        <f t="shared" si="36"/>
        <v>0</v>
      </c>
      <c r="P230" s="164">
        <f t="shared" si="37"/>
        <v>0</v>
      </c>
      <c r="Q230" s="164">
        <f t="shared" si="38"/>
        <v>0</v>
      </c>
      <c r="R230" s="164">
        <f t="shared" si="47"/>
        <v>0</v>
      </c>
      <c r="S230" s="164">
        <f t="shared" si="39"/>
        <v>0</v>
      </c>
      <c r="T230" s="164">
        <f t="shared" si="40"/>
        <v>0</v>
      </c>
    </row>
    <row r="231" spans="2:20" x14ac:dyDescent="0.2">
      <c r="B231" s="171"/>
      <c r="D231" s="171"/>
      <c r="F231" s="158">
        <v>220</v>
      </c>
      <c r="G231" s="249">
        <f t="shared" si="41"/>
        <v>50344</v>
      </c>
      <c r="H231" s="158">
        <f t="shared" si="45"/>
        <v>31</v>
      </c>
      <c r="I231" s="254">
        <v>9.9900000000000003E-2</v>
      </c>
      <c r="J231" s="164">
        <f t="shared" si="42"/>
        <v>0</v>
      </c>
      <c r="K231" s="164">
        <f t="shared" si="43"/>
        <v>0</v>
      </c>
      <c r="L231" s="164">
        <f t="shared" si="48"/>
        <v>0</v>
      </c>
      <c r="M231" s="164">
        <f t="shared" si="48"/>
        <v>0</v>
      </c>
      <c r="N231" s="164">
        <f t="shared" si="44"/>
        <v>0</v>
      </c>
      <c r="O231" s="164">
        <f t="shared" si="36"/>
        <v>0</v>
      </c>
      <c r="P231" s="164">
        <f t="shared" si="37"/>
        <v>0</v>
      </c>
      <c r="Q231" s="164">
        <f t="shared" si="38"/>
        <v>0</v>
      </c>
      <c r="R231" s="164">
        <f t="shared" si="47"/>
        <v>0</v>
      </c>
      <c r="S231" s="164">
        <f t="shared" si="39"/>
        <v>0</v>
      </c>
      <c r="T231" s="164">
        <f t="shared" si="40"/>
        <v>0</v>
      </c>
    </row>
    <row r="232" spans="2:20" x14ac:dyDescent="0.2">
      <c r="B232" s="171"/>
      <c r="D232" s="171"/>
      <c r="F232" s="158">
        <v>221</v>
      </c>
      <c r="G232" s="249">
        <f t="shared" si="41"/>
        <v>50374</v>
      </c>
      <c r="H232" s="158">
        <f t="shared" si="45"/>
        <v>30</v>
      </c>
      <c r="I232" s="254">
        <v>9.9900000000000003E-2</v>
      </c>
      <c r="J232" s="164">
        <f t="shared" si="42"/>
        <v>0</v>
      </c>
      <c r="K232" s="164">
        <f t="shared" si="43"/>
        <v>0</v>
      </c>
      <c r="L232" s="164">
        <f t="shared" si="48"/>
        <v>0</v>
      </c>
      <c r="M232" s="164">
        <f t="shared" si="48"/>
        <v>0</v>
      </c>
      <c r="N232" s="164">
        <f t="shared" si="44"/>
        <v>0</v>
      </c>
      <c r="O232" s="164">
        <f t="shared" si="36"/>
        <v>0</v>
      </c>
      <c r="P232" s="164">
        <f t="shared" si="37"/>
        <v>0</v>
      </c>
      <c r="Q232" s="164">
        <f t="shared" si="38"/>
        <v>0</v>
      </c>
      <c r="R232" s="164">
        <f t="shared" si="47"/>
        <v>0</v>
      </c>
      <c r="S232" s="164">
        <f t="shared" si="39"/>
        <v>0</v>
      </c>
      <c r="T232" s="164">
        <f t="shared" si="40"/>
        <v>0</v>
      </c>
    </row>
    <row r="233" spans="2:20" x14ac:dyDescent="0.2">
      <c r="B233" s="171"/>
      <c r="D233" s="171"/>
      <c r="F233" s="158">
        <v>222</v>
      </c>
      <c r="G233" s="249">
        <f t="shared" si="41"/>
        <v>50405</v>
      </c>
      <c r="H233" s="158">
        <f t="shared" si="45"/>
        <v>31</v>
      </c>
      <c r="I233" s="254">
        <v>9.9900000000000003E-2</v>
      </c>
      <c r="J233" s="164">
        <f t="shared" si="42"/>
        <v>0</v>
      </c>
      <c r="K233" s="164">
        <f t="shared" si="43"/>
        <v>0</v>
      </c>
      <c r="L233" s="164">
        <f t="shared" si="48"/>
        <v>0</v>
      </c>
      <c r="M233" s="164">
        <f t="shared" si="48"/>
        <v>0</v>
      </c>
      <c r="N233" s="164">
        <f t="shared" si="44"/>
        <v>0</v>
      </c>
      <c r="O233" s="164">
        <f t="shared" si="36"/>
        <v>0</v>
      </c>
      <c r="P233" s="164">
        <f t="shared" si="37"/>
        <v>0</v>
      </c>
      <c r="Q233" s="164">
        <f t="shared" si="38"/>
        <v>0</v>
      </c>
      <c r="R233" s="164">
        <f t="shared" si="47"/>
        <v>0</v>
      </c>
      <c r="S233" s="164">
        <f t="shared" si="39"/>
        <v>0</v>
      </c>
      <c r="T233" s="164">
        <f t="shared" si="40"/>
        <v>0</v>
      </c>
    </row>
    <row r="234" spans="2:20" x14ac:dyDescent="0.2">
      <c r="B234" s="171"/>
      <c r="D234" s="171"/>
      <c r="F234" s="158">
        <v>223</v>
      </c>
      <c r="G234" s="249">
        <f t="shared" si="41"/>
        <v>50436</v>
      </c>
      <c r="H234" s="158">
        <f t="shared" si="45"/>
        <v>31</v>
      </c>
      <c r="I234" s="254">
        <v>9.9900000000000003E-2</v>
      </c>
      <c r="J234" s="164">
        <f t="shared" si="42"/>
        <v>0</v>
      </c>
      <c r="K234" s="164">
        <f t="shared" si="43"/>
        <v>0</v>
      </c>
      <c r="L234" s="164">
        <f t="shared" si="48"/>
        <v>0</v>
      </c>
      <c r="M234" s="164">
        <f t="shared" si="48"/>
        <v>0</v>
      </c>
      <c r="N234" s="164">
        <f t="shared" si="44"/>
        <v>0</v>
      </c>
      <c r="O234" s="164">
        <f t="shared" si="36"/>
        <v>0</v>
      </c>
      <c r="P234" s="164">
        <f t="shared" si="37"/>
        <v>0</v>
      </c>
      <c r="Q234" s="164">
        <f t="shared" si="38"/>
        <v>0</v>
      </c>
      <c r="R234" s="164">
        <f t="shared" si="47"/>
        <v>0</v>
      </c>
      <c r="S234" s="164">
        <f t="shared" si="39"/>
        <v>0</v>
      </c>
      <c r="T234" s="164">
        <f t="shared" si="40"/>
        <v>0</v>
      </c>
    </row>
    <row r="235" spans="2:20" x14ac:dyDescent="0.2">
      <c r="B235" s="171"/>
      <c r="D235" s="171"/>
      <c r="F235" s="158">
        <v>224</v>
      </c>
      <c r="G235" s="249">
        <f t="shared" si="41"/>
        <v>50464</v>
      </c>
      <c r="H235" s="158">
        <f t="shared" si="45"/>
        <v>28</v>
      </c>
      <c r="I235" s="254">
        <v>9.9900000000000003E-2</v>
      </c>
      <c r="J235" s="164">
        <f t="shared" si="42"/>
        <v>0</v>
      </c>
      <c r="K235" s="164">
        <f t="shared" si="43"/>
        <v>0</v>
      </c>
      <c r="L235" s="164">
        <f t="shared" si="48"/>
        <v>0</v>
      </c>
      <c r="M235" s="164">
        <f t="shared" si="48"/>
        <v>0</v>
      </c>
      <c r="N235" s="164">
        <f t="shared" si="44"/>
        <v>0</v>
      </c>
      <c r="O235" s="164">
        <f t="shared" si="36"/>
        <v>0</v>
      </c>
      <c r="P235" s="164">
        <f t="shared" si="37"/>
        <v>0</v>
      </c>
      <c r="Q235" s="164">
        <f t="shared" si="38"/>
        <v>0</v>
      </c>
      <c r="R235" s="164">
        <f t="shared" si="47"/>
        <v>0</v>
      </c>
      <c r="S235" s="164">
        <f t="shared" si="39"/>
        <v>0</v>
      </c>
      <c r="T235" s="164">
        <f t="shared" si="40"/>
        <v>0</v>
      </c>
    </row>
    <row r="236" spans="2:20" x14ac:dyDescent="0.2">
      <c r="B236" s="171"/>
      <c r="D236" s="171"/>
      <c r="F236" s="158">
        <v>225</v>
      </c>
      <c r="G236" s="249">
        <f t="shared" si="41"/>
        <v>50495</v>
      </c>
      <c r="H236" s="158">
        <f t="shared" si="45"/>
        <v>31</v>
      </c>
      <c r="I236" s="254">
        <v>9.9900000000000003E-2</v>
      </c>
      <c r="J236" s="164">
        <f t="shared" si="42"/>
        <v>0</v>
      </c>
      <c r="K236" s="164">
        <f t="shared" si="43"/>
        <v>0</v>
      </c>
      <c r="L236" s="164">
        <f t="shared" si="48"/>
        <v>0</v>
      </c>
      <c r="M236" s="164">
        <f t="shared" si="48"/>
        <v>0</v>
      </c>
      <c r="N236" s="164">
        <f t="shared" si="44"/>
        <v>0</v>
      </c>
      <c r="O236" s="164">
        <f t="shared" si="36"/>
        <v>0</v>
      </c>
      <c r="P236" s="164">
        <f t="shared" si="37"/>
        <v>0</v>
      </c>
      <c r="Q236" s="164">
        <f t="shared" si="38"/>
        <v>0</v>
      </c>
      <c r="R236" s="164">
        <f t="shared" si="47"/>
        <v>0</v>
      </c>
      <c r="S236" s="164">
        <f t="shared" si="39"/>
        <v>0</v>
      </c>
      <c r="T236" s="164">
        <f t="shared" si="40"/>
        <v>0</v>
      </c>
    </row>
    <row r="237" spans="2:20" x14ac:dyDescent="0.2">
      <c r="B237" s="171"/>
      <c r="D237" s="171"/>
      <c r="F237" s="158">
        <v>226</v>
      </c>
      <c r="G237" s="249">
        <f t="shared" si="41"/>
        <v>50525</v>
      </c>
      <c r="H237" s="158">
        <f t="shared" si="45"/>
        <v>30</v>
      </c>
      <c r="I237" s="254">
        <v>9.9900000000000003E-2</v>
      </c>
      <c r="J237" s="164">
        <f t="shared" si="42"/>
        <v>0</v>
      </c>
      <c r="K237" s="164">
        <f t="shared" si="43"/>
        <v>0</v>
      </c>
      <c r="L237" s="164">
        <f t="shared" si="48"/>
        <v>0</v>
      </c>
      <c r="M237" s="164">
        <f t="shared" si="48"/>
        <v>0</v>
      </c>
      <c r="N237" s="164">
        <f t="shared" si="44"/>
        <v>0</v>
      </c>
      <c r="O237" s="164">
        <f t="shared" si="36"/>
        <v>0</v>
      </c>
      <c r="P237" s="164">
        <f t="shared" si="37"/>
        <v>0</v>
      </c>
      <c r="Q237" s="164">
        <f t="shared" si="38"/>
        <v>0</v>
      </c>
      <c r="R237" s="164">
        <f t="shared" si="47"/>
        <v>0</v>
      </c>
      <c r="S237" s="164">
        <f t="shared" si="39"/>
        <v>0</v>
      </c>
      <c r="T237" s="164">
        <f t="shared" si="40"/>
        <v>0</v>
      </c>
    </row>
    <row r="238" spans="2:20" x14ac:dyDescent="0.2">
      <c r="B238" s="171"/>
      <c r="D238" s="171"/>
      <c r="F238" s="158">
        <v>227</v>
      </c>
      <c r="G238" s="249">
        <f t="shared" si="41"/>
        <v>50556</v>
      </c>
      <c r="H238" s="158">
        <f t="shared" si="45"/>
        <v>31</v>
      </c>
      <c r="I238" s="254">
        <v>9.9900000000000003E-2</v>
      </c>
      <c r="J238" s="164">
        <f t="shared" si="42"/>
        <v>0</v>
      </c>
      <c r="K238" s="164">
        <f t="shared" si="43"/>
        <v>0</v>
      </c>
      <c r="L238" s="164">
        <f t="shared" si="48"/>
        <v>0</v>
      </c>
      <c r="M238" s="164">
        <f t="shared" si="48"/>
        <v>0</v>
      </c>
      <c r="N238" s="164">
        <f t="shared" si="44"/>
        <v>0</v>
      </c>
      <c r="O238" s="164">
        <f t="shared" si="36"/>
        <v>0</v>
      </c>
      <c r="P238" s="164">
        <f t="shared" si="37"/>
        <v>0</v>
      </c>
      <c r="Q238" s="164">
        <f t="shared" si="38"/>
        <v>0</v>
      </c>
      <c r="R238" s="164">
        <f t="shared" si="47"/>
        <v>0</v>
      </c>
      <c r="S238" s="164">
        <f t="shared" si="39"/>
        <v>0</v>
      </c>
      <c r="T238" s="164">
        <f t="shared" si="40"/>
        <v>0</v>
      </c>
    </row>
    <row r="239" spans="2:20" x14ac:dyDescent="0.2">
      <c r="B239" s="171"/>
      <c r="D239" s="171"/>
      <c r="F239" s="158">
        <v>228</v>
      </c>
      <c r="G239" s="249">
        <f t="shared" si="41"/>
        <v>50586</v>
      </c>
      <c r="H239" s="158">
        <f t="shared" si="45"/>
        <v>30</v>
      </c>
      <c r="I239" s="254">
        <v>9.9900000000000003E-2</v>
      </c>
      <c r="J239" s="164">
        <f t="shared" si="42"/>
        <v>0</v>
      </c>
      <c r="K239" s="164">
        <f t="shared" si="43"/>
        <v>0</v>
      </c>
      <c r="L239" s="164">
        <f t="shared" si="48"/>
        <v>0</v>
      </c>
      <c r="M239" s="164">
        <f t="shared" si="48"/>
        <v>0</v>
      </c>
      <c r="N239" s="164">
        <f t="shared" si="44"/>
        <v>0</v>
      </c>
      <c r="O239" s="164">
        <f t="shared" si="36"/>
        <v>0</v>
      </c>
      <c r="P239" s="164">
        <f t="shared" si="37"/>
        <v>0</v>
      </c>
      <c r="Q239" s="164">
        <f t="shared" si="38"/>
        <v>0</v>
      </c>
      <c r="R239" s="164">
        <f t="shared" si="47"/>
        <v>0</v>
      </c>
      <c r="S239" s="164">
        <f t="shared" si="39"/>
        <v>0</v>
      </c>
      <c r="T239" s="164">
        <f t="shared" si="40"/>
        <v>0</v>
      </c>
    </row>
    <row r="240" spans="2:20" x14ac:dyDescent="0.2">
      <c r="B240" s="171"/>
      <c r="D240" s="171"/>
      <c r="F240" s="158">
        <v>229</v>
      </c>
      <c r="G240" s="249">
        <f t="shared" si="41"/>
        <v>50617</v>
      </c>
      <c r="H240" s="158">
        <f t="shared" si="45"/>
        <v>31</v>
      </c>
      <c r="I240" s="254">
        <v>9.9900000000000003E-2</v>
      </c>
      <c r="J240" s="164">
        <f t="shared" si="42"/>
        <v>0</v>
      </c>
      <c r="K240" s="164">
        <f t="shared" si="43"/>
        <v>0</v>
      </c>
      <c r="L240" s="164">
        <f t="shared" si="48"/>
        <v>0</v>
      </c>
      <c r="M240" s="164">
        <f t="shared" si="48"/>
        <v>0</v>
      </c>
      <c r="N240" s="164">
        <f t="shared" si="44"/>
        <v>0</v>
      </c>
      <c r="O240" s="164">
        <f t="shared" si="36"/>
        <v>0</v>
      </c>
      <c r="P240" s="164">
        <f t="shared" si="37"/>
        <v>0</v>
      </c>
      <c r="Q240" s="164">
        <f t="shared" si="38"/>
        <v>0</v>
      </c>
      <c r="R240" s="164">
        <f t="shared" si="47"/>
        <v>0</v>
      </c>
      <c r="S240" s="164">
        <f t="shared" si="39"/>
        <v>0</v>
      </c>
      <c r="T240" s="164">
        <f t="shared" si="40"/>
        <v>0</v>
      </c>
    </row>
    <row r="241" spans="2:20" x14ac:dyDescent="0.2">
      <c r="B241" s="171"/>
      <c r="D241" s="171"/>
      <c r="F241" s="158">
        <v>230</v>
      </c>
      <c r="G241" s="249">
        <f t="shared" si="41"/>
        <v>50648</v>
      </c>
      <c r="H241" s="158">
        <f t="shared" si="45"/>
        <v>31</v>
      </c>
      <c r="I241" s="254">
        <v>9.9900000000000003E-2</v>
      </c>
      <c r="J241" s="164">
        <f t="shared" si="42"/>
        <v>0</v>
      </c>
      <c r="K241" s="164">
        <f t="shared" si="43"/>
        <v>0</v>
      </c>
      <c r="L241" s="164">
        <f t="shared" si="48"/>
        <v>0</v>
      </c>
      <c r="M241" s="164">
        <f t="shared" si="48"/>
        <v>0</v>
      </c>
      <c r="N241" s="164">
        <f t="shared" si="44"/>
        <v>0</v>
      </c>
      <c r="O241" s="164">
        <f t="shared" si="36"/>
        <v>0</v>
      </c>
      <c r="P241" s="164">
        <f t="shared" si="37"/>
        <v>0</v>
      </c>
      <c r="Q241" s="164">
        <f t="shared" si="38"/>
        <v>0</v>
      </c>
      <c r="R241" s="164">
        <f t="shared" si="47"/>
        <v>0</v>
      </c>
      <c r="S241" s="164">
        <f t="shared" si="39"/>
        <v>0</v>
      </c>
      <c r="T241" s="164">
        <f t="shared" si="40"/>
        <v>0</v>
      </c>
    </row>
    <row r="242" spans="2:20" x14ac:dyDescent="0.2">
      <c r="B242" s="171"/>
      <c r="D242" s="171"/>
      <c r="F242" s="158">
        <v>231</v>
      </c>
      <c r="G242" s="249">
        <f t="shared" si="41"/>
        <v>50678</v>
      </c>
      <c r="H242" s="158">
        <f t="shared" si="45"/>
        <v>30</v>
      </c>
      <c r="I242" s="254">
        <v>9.9900000000000003E-2</v>
      </c>
      <c r="J242" s="164">
        <f t="shared" si="42"/>
        <v>0</v>
      </c>
      <c r="K242" s="164">
        <f t="shared" si="43"/>
        <v>0</v>
      </c>
      <c r="L242" s="164">
        <f t="shared" si="48"/>
        <v>0</v>
      </c>
      <c r="M242" s="164">
        <f t="shared" si="48"/>
        <v>0</v>
      </c>
      <c r="N242" s="164">
        <f t="shared" si="44"/>
        <v>0</v>
      </c>
      <c r="O242" s="164">
        <f t="shared" si="36"/>
        <v>0</v>
      </c>
      <c r="P242" s="164">
        <f t="shared" si="37"/>
        <v>0</v>
      </c>
      <c r="Q242" s="164">
        <f t="shared" si="38"/>
        <v>0</v>
      </c>
      <c r="R242" s="164">
        <f t="shared" si="47"/>
        <v>0</v>
      </c>
      <c r="S242" s="164">
        <f t="shared" si="39"/>
        <v>0</v>
      </c>
      <c r="T242" s="164">
        <f t="shared" si="40"/>
        <v>0</v>
      </c>
    </row>
    <row r="243" spans="2:20" x14ac:dyDescent="0.2">
      <c r="B243" s="171"/>
      <c r="D243" s="171"/>
      <c r="F243" s="158">
        <v>232</v>
      </c>
      <c r="G243" s="249">
        <f t="shared" si="41"/>
        <v>50709</v>
      </c>
      <c r="H243" s="158">
        <f t="shared" si="45"/>
        <v>31</v>
      </c>
      <c r="I243" s="254">
        <v>9.9900000000000003E-2</v>
      </c>
      <c r="J243" s="164">
        <f t="shared" si="42"/>
        <v>0</v>
      </c>
      <c r="K243" s="164">
        <f t="shared" si="43"/>
        <v>0</v>
      </c>
      <c r="L243" s="164">
        <f t="shared" si="48"/>
        <v>0</v>
      </c>
      <c r="M243" s="164">
        <f t="shared" si="48"/>
        <v>0</v>
      </c>
      <c r="N243" s="164">
        <f t="shared" si="44"/>
        <v>0</v>
      </c>
      <c r="O243" s="164">
        <f t="shared" si="36"/>
        <v>0</v>
      </c>
      <c r="P243" s="164">
        <f t="shared" si="37"/>
        <v>0</v>
      </c>
      <c r="Q243" s="164">
        <f t="shared" si="38"/>
        <v>0</v>
      </c>
      <c r="R243" s="164">
        <f t="shared" si="47"/>
        <v>0</v>
      </c>
      <c r="S243" s="164">
        <f t="shared" si="39"/>
        <v>0</v>
      </c>
      <c r="T243" s="164">
        <f t="shared" si="40"/>
        <v>0</v>
      </c>
    </row>
    <row r="244" spans="2:20" x14ac:dyDescent="0.2">
      <c r="B244" s="171"/>
      <c r="D244" s="171"/>
      <c r="F244" s="158">
        <v>233</v>
      </c>
      <c r="G244" s="249">
        <f t="shared" si="41"/>
        <v>50739</v>
      </c>
      <c r="H244" s="158">
        <f t="shared" si="45"/>
        <v>30</v>
      </c>
      <c r="I244" s="254">
        <v>9.9900000000000003E-2</v>
      </c>
      <c r="J244" s="164">
        <f t="shared" si="42"/>
        <v>0</v>
      </c>
      <c r="K244" s="164">
        <f t="shared" si="43"/>
        <v>0</v>
      </c>
      <c r="L244" s="164">
        <f t="shared" si="48"/>
        <v>0</v>
      </c>
      <c r="M244" s="164">
        <f t="shared" si="48"/>
        <v>0</v>
      </c>
      <c r="N244" s="164">
        <f t="shared" si="44"/>
        <v>0</v>
      </c>
      <c r="O244" s="164">
        <f t="shared" si="36"/>
        <v>0</v>
      </c>
      <c r="P244" s="164">
        <f t="shared" si="37"/>
        <v>0</v>
      </c>
      <c r="Q244" s="164">
        <f t="shared" si="38"/>
        <v>0</v>
      </c>
      <c r="R244" s="164">
        <f t="shared" si="47"/>
        <v>0</v>
      </c>
      <c r="S244" s="164">
        <f t="shared" si="39"/>
        <v>0</v>
      </c>
      <c r="T244" s="164">
        <f t="shared" si="40"/>
        <v>0</v>
      </c>
    </row>
    <row r="245" spans="2:20" x14ac:dyDescent="0.2">
      <c r="B245" s="171"/>
      <c r="D245" s="171"/>
      <c r="F245" s="158">
        <v>234</v>
      </c>
      <c r="G245" s="249">
        <f t="shared" si="41"/>
        <v>50770</v>
      </c>
      <c r="H245" s="158">
        <f t="shared" si="45"/>
        <v>31</v>
      </c>
      <c r="I245" s="254">
        <v>9.9900000000000003E-2</v>
      </c>
      <c r="J245" s="164">
        <f t="shared" si="42"/>
        <v>0</v>
      </c>
      <c r="K245" s="164">
        <f t="shared" si="43"/>
        <v>0</v>
      </c>
      <c r="L245" s="164">
        <f t="shared" si="48"/>
        <v>0</v>
      </c>
      <c r="M245" s="164">
        <f t="shared" si="48"/>
        <v>0</v>
      </c>
      <c r="N245" s="164">
        <f t="shared" si="44"/>
        <v>0</v>
      </c>
      <c r="O245" s="164">
        <f t="shared" si="36"/>
        <v>0</v>
      </c>
      <c r="P245" s="164">
        <f t="shared" si="37"/>
        <v>0</v>
      </c>
      <c r="Q245" s="164">
        <f t="shared" si="38"/>
        <v>0</v>
      </c>
      <c r="R245" s="164">
        <f t="shared" si="47"/>
        <v>0</v>
      </c>
      <c r="S245" s="164">
        <f t="shared" si="39"/>
        <v>0</v>
      </c>
      <c r="T245" s="164">
        <f t="shared" si="40"/>
        <v>0</v>
      </c>
    </row>
    <row r="246" spans="2:20" x14ac:dyDescent="0.2">
      <c r="B246" s="171"/>
      <c r="D246" s="171"/>
      <c r="F246" s="158">
        <v>235</v>
      </c>
      <c r="G246" s="249">
        <f t="shared" si="41"/>
        <v>50801</v>
      </c>
      <c r="H246" s="158">
        <f t="shared" si="45"/>
        <v>31</v>
      </c>
      <c r="I246" s="254">
        <v>9.9900000000000003E-2</v>
      </c>
      <c r="J246" s="164">
        <f t="shared" si="42"/>
        <v>0</v>
      </c>
      <c r="K246" s="164">
        <f t="shared" si="43"/>
        <v>0</v>
      </c>
      <c r="L246" s="164">
        <f t="shared" si="48"/>
        <v>0</v>
      </c>
      <c r="M246" s="164">
        <f t="shared" si="48"/>
        <v>0</v>
      </c>
      <c r="N246" s="164">
        <f t="shared" si="44"/>
        <v>0</v>
      </c>
      <c r="O246" s="164">
        <f t="shared" si="36"/>
        <v>0</v>
      </c>
      <c r="P246" s="164">
        <f t="shared" si="37"/>
        <v>0</v>
      </c>
      <c r="Q246" s="164">
        <f t="shared" si="38"/>
        <v>0</v>
      </c>
      <c r="R246" s="164">
        <f t="shared" si="47"/>
        <v>0</v>
      </c>
      <c r="S246" s="164">
        <f t="shared" si="39"/>
        <v>0</v>
      </c>
      <c r="T246" s="164">
        <f t="shared" si="40"/>
        <v>0</v>
      </c>
    </row>
    <row r="247" spans="2:20" x14ac:dyDescent="0.2">
      <c r="B247" s="171"/>
      <c r="D247" s="171"/>
      <c r="F247" s="158">
        <v>236</v>
      </c>
      <c r="G247" s="249">
        <f t="shared" si="41"/>
        <v>50829</v>
      </c>
      <c r="H247" s="158">
        <f t="shared" si="45"/>
        <v>28</v>
      </c>
      <c r="I247" s="254">
        <v>9.9900000000000003E-2</v>
      </c>
      <c r="J247" s="164">
        <f t="shared" si="42"/>
        <v>0</v>
      </c>
      <c r="K247" s="164">
        <f t="shared" si="43"/>
        <v>0</v>
      </c>
      <c r="L247" s="164">
        <f t="shared" si="48"/>
        <v>0</v>
      </c>
      <c r="M247" s="164">
        <f t="shared" si="48"/>
        <v>0</v>
      </c>
      <c r="N247" s="164">
        <f t="shared" si="44"/>
        <v>0</v>
      </c>
      <c r="O247" s="164">
        <f t="shared" si="36"/>
        <v>0</v>
      </c>
      <c r="P247" s="164">
        <f t="shared" si="37"/>
        <v>0</v>
      </c>
      <c r="Q247" s="164">
        <f t="shared" si="38"/>
        <v>0</v>
      </c>
      <c r="R247" s="164">
        <f t="shared" si="47"/>
        <v>0</v>
      </c>
      <c r="S247" s="164">
        <f t="shared" si="39"/>
        <v>0</v>
      </c>
      <c r="T247" s="164">
        <f t="shared" si="40"/>
        <v>0</v>
      </c>
    </row>
    <row r="248" spans="2:20" x14ac:dyDescent="0.2">
      <c r="B248" s="171"/>
      <c r="D248" s="171"/>
      <c r="F248" s="158">
        <v>237</v>
      </c>
      <c r="G248" s="249">
        <f t="shared" si="41"/>
        <v>50860</v>
      </c>
      <c r="H248" s="158">
        <f t="shared" si="45"/>
        <v>31</v>
      </c>
      <c r="I248" s="254">
        <v>9.9900000000000003E-2</v>
      </c>
      <c r="J248" s="164">
        <f t="shared" si="42"/>
        <v>0</v>
      </c>
      <c r="K248" s="164">
        <f t="shared" si="43"/>
        <v>0</v>
      </c>
      <c r="L248" s="164">
        <f t="shared" si="48"/>
        <v>0</v>
      </c>
      <c r="M248" s="164">
        <f t="shared" si="48"/>
        <v>0</v>
      </c>
      <c r="N248" s="164">
        <f t="shared" si="44"/>
        <v>0</v>
      </c>
      <c r="O248" s="164">
        <f t="shared" si="36"/>
        <v>0</v>
      </c>
      <c r="P248" s="164">
        <f t="shared" si="37"/>
        <v>0</v>
      </c>
      <c r="Q248" s="164">
        <f t="shared" si="38"/>
        <v>0</v>
      </c>
      <c r="R248" s="164">
        <f t="shared" si="47"/>
        <v>0</v>
      </c>
      <c r="S248" s="164">
        <f t="shared" si="39"/>
        <v>0</v>
      </c>
      <c r="T248" s="164">
        <f t="shared" si="40"/>
        <v>0</v>
      </c>
    </row>
    <row r="249" spans="2:20" x14ac:dyDescent="0.2">
      <c r="B249" s="171"/>
      <c r="D249" s="171"/>
      <c r="F249" s="158">
        <v>238</v>
      </c>
      <c r="G249" s="249">
        <f t="shared" si="41"/>
        <v>50890</v>
      </c>
      <c r="H249" s="158">
        <f t="shared" si="45"/>
        <v>30</v>
      </c>
      <c r="I249" s="254">
        <v>9.9900000000000003E-2</v>
      </c>
      <c r="J249" s="164">
        <f t="shared" si="42"/>
        <v>0</v>
      </c>
      <c r="K249" s="164">
        <f t="shared" si="43"/>
        <v>0</v>
      </c>
      <c r="L249" s="164">
        <f t="shared" si="48"/>
        <v>0</v>
      </c>
      <c r="M249" s="164">
        <f t="shared" si="48"/>
        <v>0</v>
      </c>
      <c r="N249" s="164">
        <f t="shared" si="44"/>
        <v>0</v>
      </c>
      <c r="O249" s="164">
        <f t="shared" si="36"/>
        <v>0</v>
      </c>
      <c r="P249" s="164">
        <f t="shared" si="37"/>
        <v>0</v>
      </c>
      <c r="Q249" s="164">
        <f t="shared" si="38"/>
        <v>0</v>
      </c>
      <c r="R249" s="164">
        <f t="shared" si="47"/>
        <v>0</v>
      </c>
      <c r="S249" s="164">
        <f t="shared" si="39"/>
        <v>0</v>
      </c>
      <c r="T249" s="164">
        <f t="shared" si="40"/>
        <v>0</v>
      </c>
    </row>
    <row r="250" spans="2:20" x14ac:dyDescent="0.2">
      <c r="B250" s="171"/>
      <c r="D250" s="171"/>
      <c r="F250" s="158">
        <v>239</v>
      </c>
      <c r="G250" s="249">
        <f t="shared" si="41"/>
        <v>50921</v>
      </c>
      <c r="H250" s="158">
        <f t="shared" si="45"/>
        <v>31</v>
      </c>
      <c r="I250" s="254">
        <v>9.9900000000000003E-2</v>
      </c>
      <c r="J250" s="164">
        <f t="shared" si="42"/>
        <v>0</v>
      </c>
      <c r="K250" s="164">
        <f t="shared" si="43"/>
        <v>0</v>
      </c>
      <c r="L250" s="164">
        <f t="shared" si="48"/>
        <v>0</v>
      </c>
      <c r="M250" s="164">
        <f t="shared" si="48"/>
        <v>0</v>
      </c>
      <c r="N250" s="164">
        <f t="shared" si="44"/>
        <v>0</v>
      </c>
      <c r="O250" s="164">
        <f t="shared" si="36"/>
        <v>0</v>
      </c>
      <c r="P250" s="164">
        <f t="shared" si="37"/>
        <v>0</v>
      </c>
      <c r="Q250" s="164">
        <f t="shared" si="38"/>
        <v>0</v>
      </c>
      <c r="R250" s="164">
        <f t="shared" si="47"/>
        <v>0</v>
      </c>
      <c r="S250" s="164">
        <f t="shared" si="39"/>
        <v>0</v>
      </c>
      <c r="T250" s="164">
        <f t="shared" si="40"/>
        <v>0</v>
      </c>
    </row>
    <row r="251" spans="2:20" x14ac:dyDescent="0.2">
      <c r="B251" s="171"/>
      <c r="D251" s="171"/>
      <c r="F251" s="158">
        <v>240</v>
      </c>
      <c r="G251" s="249">
        <f t="shared" si="41"/>
        <v>50951</v>
      </c>
      <c r="H251" s="158">
        <f t="shared" si="45"/>
        <v>30</v>
      </c>
      <c r="I251" s="254">
        <v>9.9900000000000003E-2</v>
      </c>
      <c r="J251" s="164">
        <f t="shared" si="42"/>
        <v>0</v>
      </c>
      <c r="K251" s="164">
        <f t="shared" si="43"/>
        <v>0</v>
      </c>
      <c r="L251" s="164">
        <f t="shared" si="48"/>
        <v>0</v>
      </c>
      <c r="M251" s="164">
        <f t="shared" si="48"/>
        <v>0</v>
      </c>
      <c r="N251" s="164">
        <f t="shared" si="44"/>
        <v>0</v>
      </c>
      <c r="O251" s="164">
        <f t="shared" si="36"/>
        <v>0</v>
      </c>
      <c r="P251" s="164">
        <f t="shared" si="37"/>
        <v>0</v>
      </c>
      <c r="Q251" s="164">
        <f t="shared" si="38"/>
        <v>0</v>
      </c>
      <c r="R251" s="164">
        <f t="shared" si="47"/>
        <v>0</v>
      </c>
      <c r="S251" s="164">
        <f t="shared" si="39"/>
        <v>0</v>
      </c>
      <c r="T251" s="164">
        <f t="shared" si="40"/>
        <v>0</v>
      </c>
    </row>
    <row r="252" spans="2:20" x14ac:dyDescent="0.2">
      <c r="B252" s="171"/>
      <c r="D252" s="171"/>
      <c r="F252" s="158">
        <v>241</v>
      </c>
      <c r="G252" s="249">
        <f t="shared" si="41"/>
        <v>50982</v>
      </c>
      <c r="H252" s="158">
        <f t="shared" si="45"/>
        <v>31</v>
      </c>
      <c r="I252" s="254">
        <v>9.9900000000000003E-2</v>
      </c>
      <c r="J252" s="164">
        <f t="shared" si="42"/>
        <v>0</v>
      </c>
      <c r="K252" s="164">
        <f t="shared" si="43"/>
        <v>0</v>
      </c>
      <c r="L252" s="164">
        <f t="shared" si="48"/>
        <v>0</v>
      </c>
      <c r="M252" s="164">
        <f t="shared" si="48"/>
        <v>0</v>
      </c>
      <c r="N252" s="164">
        <f t="shared" si="44"/>
        <v>0</v>
      </c>
      <c r="O252" s="164">
        <f t="shared" si="36"/>
        <v>0</v>
      </c>
      <c r="P252" s="164">
        <f t="shared" si="37"/>
        <v>0</v>
      </c>
      <c r="Q252" s="164">
        <f t="shared" si="38"/>
        <v>0</v>
      </c>
      <c r="R252" s="164">
        <f t="shared" si="47"/>
        <v>0</v>
      </c>
      <c r="S252" s="164">
        <f t="shared" si="39"/>
        <v>0</v>
      </c>
      <c r="T252" s="164">
        <f t="shared" si="40"/>
        <v>0</v>
      </c>
    </row>
    <row r="253" spans="2:20" x14ac:dyDescent="0.2">
      <c r="B253" s="171"/>
      <c r="D253" s="171"/>
      <c r="F253" s="158">
        <v>242</v>
      </c>
      <c r="G253" s="249">
        <f t="shared" si="41"/>
        <v>51013</v>
      </c>
      <c r="H253" s="158">
        <f t="shared" si="45"/>
        <v>31</v>
      </c>
      <c r="I253" s="254">
        <v>9.9900000000000003E-2</v>
      </c>
      <c r="J253" s="164">
        <f t="shared" si="42"/>
        <v>0</v>
      </c>
      <c r="K253" s="164">
        <f t="shared" si="43"/>
        <v>0</v>
      </c>
      <c r="L253" s="164">
        <f t="shared" si="48"/>
        <v>0</v>
      </c>
      <c r="M253" s="164">
        <f t="shared" si="48"/>
        <v>0</v>
      </c>
      <c r="N253" s="164">
        <f t="shared" si="44"/>
        <v>0</v>
      </c>
      <c r="O253" s="164">
        <f t="shared" si="36"/>
        <v>0</v>
      </c>
      <c r="P253" s="164">
        <f t="shared" si="37"/>
        <v>0</v>
      </c>
      <c r="Q253" s="164">
        <f t="shared" si="38"/>
        <v>0</v>
      </c>
      <c r="R253" s="164">
        <f t="shared" si="47"/>
        <v>0</v>
      </c>
      <c r="S253" s="164">
        <f t="shared" si="39"/>
        <v>0</v>
      </c>
      <c r="T253" s="164">
        <f t="shared" si="40"/>
        <v>0</v>
      </c>
    </row>
    <row r="254" spans="2:20" x14ac:dyDescent="0.2">
      <c r="B254" s="171"/>
      <c r="D254" s="171"/>
      <c r="F254" s="158">
        <v>243</v>
      </c>
      <c r="G254" s="249">
        <f t="shared" si="41"/>
        <v>51043</v>
      </c>
      <c r="H254" s="158">
        <f t="shared" si="45"/>
        <v>30</v>
      </c>
      <c r="I254" s="254">
        <v>9.9900000000000003E-2</v>
      </c>
      <c r="J254" s="164">
        <f t="shared" si="42"/>
        <v>0</v>
      </c>
      <c r="K254" s="164">
        <f t="shared" si="43"/>
        <v>0</v>
      </c>
      <c r="L254" s="164">
        <f t="shared" si="48"/>
        <v>0</v>
      </c>
      <c r="M254" s="164">
        <f t="shared" si="48"/>
        <v>0</v>
      </c>
      <c r="N254" s="164">
        <f t="shared" si="44"/>
        <v>0</v>
      </c>
      <c r="O254" s="164">
        <f t="shared" si="36"/>
        <v>0</v>
      </c>
      <c r="P254" s="164">
        <f t="shared" si="37"/>
        <v>0</v>
      </c>
      <c r="Q254" s="164">
        <f t="shared" si="38"/>
        <v>0</v>
      </c>
      <c r="R254" s="164">
        <f t="shared" si="47"/>
        <v>0</v>
      </c>
      <c r="S254" s="164">
        <f t="shared" si="39"/>
        <v>0</v>
      </c>
      <c r="T254" s="164">
        <f t="shared" si="40"/>
        <v>0</v>
      </c>
    </row>
    <row r="255" spans="2:20" x14ac:dyDescent="0.2">
      <c r="B255" s="171"/>
      <c r="D255" s="171"/>
      <c r="F255" s="158">
        <v>244</v>
      </c>
      <c r="G255" s="249">
        <f t="shared" si="41"/>
        <v>51074</v>
      </c>
      <c r="H255" s="158">
        <f t="shared" si="45"/>
        <v>31</v>
      </c>
      <c r="I255" s="254">
        <v>9.9900000000000003E-2</v>
      </c>
      <c r="J255" s="164">
        <f t="shared" si="42"/>
        <v>0</v>
      </c>
      <c r="K255" s="164">
        <f t="shared" si="43"/>
        <v>0</v>
      </c>
      <c r="L255" s="164">
        <f t="shared" si="48"/>
        <v>0</v>
      </c>
      <c r="M255" s="164">
        <f t="shared" si="48"/>
        <v>0</v>
      </c>
      <c r="N255" s="164">
        <f t="shared" si="44"/>
        <v>0</v>
      </c>
      <c r="O255" s="164">
        <f t="shared" si="36"/>
        <v>0</v>
      </c>
      <c r="P255" s="164">
        <f t="shared" si="37"/>
        <v>0</v>
      </c>
      <c r="Q255" s="164">
        <f t="shared" si="38"/>
        <v>0</v>
      </c>
      <c r="R255" s="164">
        <f t="shared" si="47"/>
        <v>0</v>
      </c>
      <c r="S255" s="164">
        <f t="shared" si="39"/>
        <v>0</v>
      </c>
      <c r="T255" s="164">
        <f t="shared" si="40"/>
        <v>0</v>
      </c>
    </row>
    <row r="256" spans="2:20" x14ac:dyDescent="0.2">
      <c r="B256" s="171"/>
      <c r="D256" s="171"/>
      <c r="F256" s="158">
        <v>245</v>
      </c>
      <c r="G256" s="249">
        <f t="shared" si="41"/>
        <v>51104</v>
      </c>
      <c r="H256" s="158">
        <f t="shared" si="45"/>
        <v>30</v>
      </c>
      <c r="I256" s="254">
        <v>9.9900000000000003E-2</v>
      </c>
      <c r="J256" s="164">
        <f t="shared" si="42"/>
        <v>0</v>
      </c>
      <c r="K256" s="164">
        <f t="shared" si="43"/>
        <v>0</v>
      </c>
      <c r="L256" s="164">
        <f t="shared" si="48"/>
        <v>0</v>
      </c>
      <c r="M256" s="164">
        <f t="shared" si="48"/>
        <v>0</v>
      </c>
      <c r="N256" s="164">
        <f t="shared" si="44"/>
        <v>0</v>
      </c>
      <c r="O256" s="164">
        <f t="shared" si="36"/>
        <v>0</v>
      </c>
      <c r="P256" s="164">
        <f t="shared" si="37"/>
        <v>0</v>
      </c>
      <c r="Q256" s="164">
        <f t="shared" si="38"/>
        <v>0</v>
      </c>
      <c r="R256" s="164">
        <f t="shared" si="47"/>
        <v>0</v>
      </c>
      <c r="S256" s="164">
        <f t="shared" si="39"/>
        <v>0</v>
      </c>
      <c r="T256" s="164">
        <f t="shared" si="40"/>
        <v>0</v>
      </c>
    </row>
    <row r="257" spans="2:20" x14ac:dyDescent="0.2">
      <c r="B257" s="171"/>
      <c r="D257" s="171"/>
      <c r="F257" s="158">
        <v>246</v>
      </c>
      <c r="G257" s="249">
        <f t="shared" si="41"/>
        <v>51135</v>
      </c>
      <c r="H257" s="158">
        <f t="shared" si="45"/>
        <v>31</v>
      </c>
      <c r="I257" s="254">
        <v>9.9900000000000003E-2</v>
      </c>
      <c r="J257" s="164">
        <f t="shared" si="42"/>
        <v>0</v>
      </c>
      <c r="K257" s="164">
        <f t="shared" si="43"/>
        <v>0</v>
      </c>
      <c r="L257" s="164">
        <f t="shared" si="48"/>
        <v>0</v>
      </c>
      <c r="M257" s="164">
        <f t="shared" si="48"/>
        <v>0</v>
      </c>
      <c r="N257" s="164">
        <f t="shared" si="44"/>
        <v>0</v>
      </c>
      <c r="O257" s="164">
        <f t="shared" si="36"/>
        <v>0</v>
      </c>
      <c r="P257" s="164">
        <f t="shared" si="37"/>
        <v>0</v>
      </c>
      <c r="Q257" s="164">
        <f t="shared" si="38"/>
        <v>0</v>
      </c>
      <c r="R257" s="164">
        <f t="shared" si="47"/>
        <v>0</v>
      </c>
      <c r="S257" s="164">
        <f t="shared" si="39"/>
        <v>0</v>
      </c>
      <c r="T257" s="164">
        <f t="shared" si="40"/>
        <v>0</v>
      </c>
    </row>
    <row r="258" spans="2:20" x14ac:dyDescent="0.2">
      <c r="B258" s="171"/>
      <c r="D258" s="171"/>
      <c r="F258" s="158">
        <v>247</v>
      </c>
      <c r="G258" s="249">
        <f t="shared" si="41"/>
        <v>51166</v>
      </c>
      <c r="H258" s="158">
        <f t="shared" si="45"/>
        <v>31</v>
      </c>
      <c r="I258" s="254">
        <v>9.9900000000000003E-2</v>
      </c>
      <c r="J258" s="164">
        <f t="shared" si="42"/>
        <v>0</v>
      </c>
      <c r="K258" s="164">
        <f t="shared" si="43"/>
        <v>0</v>
      </c>
      <c r="L258" s="164">
        <f t="shared" si="48"/>
        <v>0</v>
      </c>
      <c r="M258" s="164">
        <f t="shared" si="48"/>
        <v>0</v>
      </c>
      <c r="N258" s="164">
        <f t="shared" si="44"/>
        <v>0</v>
      </c>
      <c r="O258" s="164">
        <f t="shared" si="36"/>
        <v>0</v>
      </c>
      <c r="P258" s="164">
        <f t="shared" si="37"/>
        <v>0</v>
      </c>
      <c r="Q258" s="164">
        <f t="shared" si="38"/>
        <v>0</v>
      </c>
      <c r="R258" s="164">
        <f t="shared" si="47"/>
        <v>0</v>
      </c>
      <c r="S258" s="164">
        <f t="shared" si="39"/>
        <v>0</v>
      </c>
      <c r="T258" s="164">
        <f t="shared" si="40"/>
        <v>0</v>
      </c>
    </row>
    <row r="259" spans="2:20" x14ac:dyDescent="0.2">
      <c r="B259" s="171"/>
      <c r="D259" s="171"/>
      <c r="F259" s="158">
        <v>248</v>
      </c>
      <c r="G259" s="249">
        <f t="shared" si="41"/>
        <v>51195</v>
      </c>
      <c r="H259" s="158">
        <f t="shared" si="45"/>
        <v>29</v>
      </c>
      <c r="I259" s="254">
        <v>9.9900000000000003E-2</v>
      </c>
      <c r="J259" s="164">
        <f t="shared" si="42"/>
        <v>0</v>
      </c>
      <c r="K259" s="164">
        <f t="shared" si="43"/>
        <v>0</v>
      </c>
      <c r="L259" s="164">
        <f t="shared" si="48"/>
        <v>0</v>
      </c>
      <c r="M259" s="164">
        <f t="shared" si="48"/>
        <v>0</v>
      </c>
      <c r="N259" s="164">
        <f t="shared" si="44"/>
        <v>0</v>
      </c>
      <c r="O259" s="164">
        <f t="shared" si="36"/>
        <v>0</v>
      </c>
      <c r="P259" s="164">
        <f t="shared" si="37"/>
        <v>0</v>
      </c>
      <c r="Q259" s="164">
        <f t="shared" si="38"/>
        <v>0</v>
      </c>
      <c r="R259" s="164">
        <f t="shared" si="47"/>
        <v>0</v>
      </c>
      <c r="S259" s="164">
        <f t="shared" si="39"/>
        <v>0</v>
      </c>
      <c r="T259" s="164">
        <f t="shared" si="40"/>
        <v>0</v>
      </c>
    </row>
    <row r="260" spans="2:20" x14ac:dyDescent="0.2">
      <c r="B260" s="171"/>
      <c r="D260" s="171"/>
      <c r="F260" s="158">
        <v>249</v>
      </c>
      <c r="G260" s="249">
        <f t="shared" si="41"/>
        <v>51226</v>
      </c>
      <c r="H260" s="158">
        <f t="shared" si="45"/>
        <v>31</v>
      </c>
      <c r="I260" s="254">
        <v>9.9900000000000003E-2</v>
      </c>
      <c r="J260" s="164">
        <f t="shared" si="42"/>
        <v>0</v>
      </c>
      <c r="K260" s="164">
        <f t="shared" si="43"/>
        <v>0</v>
      </c>
      <c r="L260" s="164">
        <f t="shared" si="48"/>
        <v>0</v>
      </c>
      <c r="M260" s="164">
        <f t="shared" si="48"/>
        <v>0</v>
      </c>
      <c r="N260" s="164">
        <f t="shared" si="44"/>
        <v>0</v>
      </c>
      <c r="O260" s="164">
        <f t="shared" si="36"/>
        <v>0</v>
      </c>
      <c r="P260" s="164">
        <f t="shared" si="37"/>
        <v>0</v>
      </c>
      <c r="Q260" s="164">
        <f t="shared" si="38"/>
        <v>0</v>
      </c>
      <c r="R260" s="164">
        <f t="shared" si="47"/>
        <v>0</v>
      </c>
      <c r="S260" s="164">
        <f t="shared" si="39"/>
        <v>0</v>
      </c>
      <c r="T260" s="164">
        <f t="shared" si="40"/>
        <v>0</v>
      </c>
    </row>
    <row r="261" spans="2:20" x14ac:dyDescent="0.2">
      <c r="B261" s="171"/>
      <c r="D261" s="171"/>
      <c r="F261" s="158">
        <v>250</v>
      </c>
      <c r="G261" s="249">
        <f t="shared" si="41"/>
        <v>51256</v>
      </c>
      <c r="H261" s="158">
        <f t="shared" si="45"/>
        <v>30</v>
      </c>
      <c r="I261" s="254">
        <v>9.9900000000000003E-2</v>
      </c>
      <c r="J261" s="164">
        <f t="shared" si="42"/>
        <v>0</v>
      </c>
      <c r="K261" s="164">
        <f t="shared" si="43"/>
        <v>0</v>
      </c>
      <c r="L261" s="164">
        <f t="shared" si="48"/>
        <v>0</v>
      </c>
      <c r="M261" s="164">
        <f t="shared" si="48"/>
        <v>0</v>
      </c>
      <c r="N261" s="164">
        <f t="shared" si="44"/>
        <v>0</v>
      </c>
      <c r="O261" s="164">
        <f t="shared" si="36"/>
        <v>0</v>
      </c>
      <c r="P261" s="164">
        <f t="shared" si="37"/>
        <v>0</v>
      </c>
      <c r="Q261" s="164">
        <f t="shared" si="38"/>
        <v>0</v>
      </c>
      <c r="R261" s="164">
        <f t="shared" si="47"/>
        <v>0</v>
      </c>
      <c r="S261" s="164">
        <f t="shared" si="39"/>
        <v>0</v>
      </c>
      <c r="T261" s="164">
        <f t="shared" si="40"/>
        <v>0</v>
      </c>
    </row>
    <row r="262" spans="2:20" x14ac:dyDescent="0.2">
      <c r="B262" s="171"/>
      <c r="D262" s="171"/>
      <c r="F262" s="158">
        <v>251</v>
      </c>
      <c r="G262" s="249">
        <f t="shared" si="41"/>
        <v>51287</v>
      </c>
      <c r="H262" s="158">
        <f t="shared" si="45"/>
        <v>31</v>
      </c>
      <c r="I262" s="254">
        <v>9.9900000000000003E-2</v>
      </c>
      <c r="J262" s="164">
        <f t="shared" si="42"/>
        <v>0</v>
      </c>
      <c r="K262" s="164">
        <f t="shared" si="43"/>
        <v>0</v>
      </c>
      <c r="L262" s="164">
        <f t="shared" si="48"/>
        <v>0</v>
      </c>
      <c r="M262" s="164">
        <f t="shared" si="48"/>
        <v>0</v>
      </c>
      <c r="N262" s="164">
        <f t="shared" si="44"/>
        <v>0</v>
      </c>
      <c r="O262" s="164">
        <f t="shared" si="36"/>
        <v>0</v>
      </c>
      <c r="P262" s="164">
        <f t="shared" si="37"/>
        <v>0</v>
      </c>
      <c r="Q262" s="164">
        <f t="shared" si="38"/>
        <v>0</v>
      </c>
      <c r="R262" s="164">
        <f t="shared" si="47"/>
        <v>0</v>
      </c>
      <c r="S262" s="164">
        <f t="shared" si="39"/>
        <v>0</v>
      </c>
      <c r="T262" s="164">
        <f t="shared" si="40"/>
        <v>0</v>
      </c>
    </row>
    <row r="263" spans="2:20" x14ac:dyDescent="0.2">
      <c r="B263" s="171"/>
      <c r="D263" s="171"/>
      <c r="F263" s="158">
        <v>252</v>
      </c>
      <c r="G263" s="249">
        <f t="shared" si="41"/>
        <v>51317</v>
      </c>
      <c r="H263" s="158">
        <f t="shared" si="45"/>
        <v>30</v>
      </c>
      <c r="I263" s="254">
        <v>9.9900000000000003E-2</v>
      </c>
      <c r="J263" s="164">
        <f t="shared" si="42"/>
        <v>0</v>
      </c>
      <c r="K263" s="164">
        <f t="shared" si="43"/>
        <v>0</v>
      </c>
      <c r="L263" s="164">
        <f t="shared" si="48"/>
        <v>0</v>
      </c>
      <c r="M263" s="164">
        <f t="shared" si="48"/>
        <v>0</v>
      </c>
      <c r="N263" s="164">
        <f t="shared" si="44"/>
        <v>0</v>
      </c>
      <c r="O263" s="164">
        <f t="shared" si="36"/>
        <v>0</v>
      </c>
      <c r="P263" s="164">
        <f t="shared" si="37"/>
        <v>0</v>
      </c>
      <c r="Q263" s="164">
        <f t="shared" si="38"/>
        <v>0</v>
      </c>
      <c r="R263" s="164">
        <f t="shared" si="47"/>
        <v>0</v>
      </c>
      <c r="S263" s="164">
        <f t="shared" si="39"/>
        <v>0</v>
      </c>
      <c r="T263" s="164">
        <f t="shared" si="40"/>
        <v>0</v>
      </c>
    </row>
    <row r="264" spans="2:20" x14ac:dyDescent="0.2">
      <c r="F264" s="158">
        <v>253</v>
      </c>
      <c r="G264" s="249">
        <f t="shared" si="41"/>
        <v>51348</v>
      </c>
      <c r="H264" s="158">
        <f t="shared" si="45"/>
        <v>31</v>
      </c>
      <c r="I264" s="254">
        <v>9.9900000000000003E-2</v>
      </c>
      <c r="J264" s="164">
        <f t="shared" si="42"/>
        <v>0</v>
      </c>
      <c r="K264" s="164">
        <f t="shared" si="43"/>
        <v>0</v>
      </c>
      <c r="L264" s="164">
        <f t="shared" si="48"/>
        <v>0</v>
      </c>
      <c r="M264" s="164">
        <f t="shared" si="48"/>
        <v>0</v>
      </c>
      <c r="N264" s="164">
        <f t="shared" si="44"/>
        <v>0</v>
      </c>
      <c r="O264" s="164">
        <f t="shared" si="36"/>
        <v>0</v>
      </c>
      <c r="P264" s="164">
        <f t="shared" si="37"/>
        <v>0</v>
      </c>
      <c r="Q264" s="164">
        <f t="shared" si="38"/>
        <v>0</v>
      </c>
      <c r="R264" s="164">
        <f t="shared" si="47"/>
        <v>0</v>
      </c>
      <c r="S264" s="164">
        <f t="shared" si="39"/>
        <v>0</v>
      </c>
      <c r="T264" s="164">
        <f t="shared" si="40"/>
        <v>0</v>
      </c>
    </row>
    <row r="265" spans="2:20" x14ac:dyDescent="0.2">
      <c r="F265" s="158">
        <v>254</v>
      </c>
      <c r="G265" s="249">
        <f t="shared" si="41"/>
        <v>51379</v>
      </c>
      <c r="H265" s="158">
        <f t="shared" si="45"/>
        <v>31</v>
      </c>
      <c r="I265" s="254">
        <v>9.9900000000000003E-2</v>
      </c>
      <c r="J265" s="164">
        <f t="shared" si="42"/>
        <v>0</v>
      </c>
      <c r="K265" s="164">
        <f t="shared" si="43"/>
        <v>0</v>
      </c>
      <c r="L265" s="164">
        <f t="shared" si="48"/>
        <v>0</v>
      </c>
      <c r="M265" s="164">
        <f t="shared" si="48"/>
        <v>0</v>
      </c>
      <c r="N265" s="164">
        <f t="shared" si="44"/>
        <v>0</v>
      </c>
      <c r="O265" s="164">
        <f t="shared" si="36"/>
        <v>0</v>
      </c>
      <c r="P265" s="164">
        <f t="shared" si="37"/>
        <v>0</v>
      </c>
      <c r="Q265" s="164">
        <f t="shared" si="38"/>
        <v>0</v>
      </c>
      <c r="R265" s="164">
        <f t="shared" si="47"/>
        <v>0</v>
      </c>
      <c r="S265" s="164">
        <f t="shared" si="39"/>
        <v>0</v>
      </c>
      <c r="T265" s="164">
        <f t="shared" si="40"/>
        <v>0</v>
      </c>
    </row>
    <row r="266" spans="2:20" x14ac:dyDescent="0.2">
      <c r="F266" s="158">
        <v>255</v>
      </c>
      <c r="G266" s="249">
        <f t="shared" si="41"/>
        <v>51409</v>
      </c>
      <c r="H266" s="158">
        <f t="shared" si="45"/>
        <v>30</v>
      </c>
      <c r="I266" s="254">
        <v>9.9900000000000003E-2</v>
      </c>
      <c r="J266" s="164">
        <f t="shared" si="42"/>
        <v>0</v>
      </c>
      <c r="K266" s="164">
        <f t="shared" si="43"/>
        <v>0</v>
      </c>
      <c r="L266" s="164">
        <f t="shared" si="48"/>
        <v>0</v>
      </c>
      <c r="M266" s="164">
        <f t="shared" si="48"/>
        <v>0</v>
      </c>
      <c r="N266" s="164">
        <f t="shared" si="44"/>
        <v>0</v>
      </c>
      <c r="O266" s="164">
        <f t="shared" si="36"/>
        <v>0</v>
      </c>
      <c r="P266" s="164">
        <f t="shared" si="37"/>
        <v>0</v>
      </c>
      <c r="Q266" s="164">
        <f t="shared" si="38"/>
        <v>0</v>
      </c>
      <c r="R266" s="164">
        <f t="shared" si="47"/>
        <v>0</v>
      </c>
      <c r="S266" s="164">
        <f t="shared" si="39"/>
        <v>0</v>
      </c>
      <c r="T266" s="164">
        <f t="shared" si="40"/>
        <v>0</v>
      </c>
    </row>
    <row r="267" spans="2:20" x14ac:dyDescent="0.2">
      <c r="F267" s="158">
        <v>256</v>
      </c>
      <c r="G267" s="249">
        <f t="shared" si="41"/>
        <v>51440</v>
      </c>
      <c r="H267" s="158">
        <f t="shared" si="45"/>
        <v>31</v>
      </c>
      <c r="I267" s="254">
        <v>9.9900000000000003E-2</v>
      </c>
      <c r="J267" s="164">
        <f t="shared" si="42"/>
        <v>0</v>
      </c>
      <c r="K267" s="164">
        <f t="shared" si="43"/>
        <v>0</v>
      </c>
      <c r="L267" s="164">
        <f t="shared" si="48"/>
        <v>0</v>
      </c>
      <c r="M267" s="164">
        <f t="shared" si="48"/>
        <v>0</v>
      </c>
      <c r="N267" s="164">
        <f t="shared" si="44"/>
        <v>0</v>
      </c>
      <c r="O267" s="164">
        <f t="shared" si="36"/>
        <v>0</v>
      </c>
      <c r="P267" s="164">
        <f t="shared" si="37"/>
        <v>0</v>
      </c>
      <c r="Q267" s="164">
        <f t="shared" si="38"/>
        <v>0</v>
      </c>
      <c r="R267" s="164">
        <f t="shared" si="47"/>
        <v>0</v>
      </c>
      <c r="S267" s="164">
        <f t="shared" si="39"/>
        <v>0</v>
      </c>
      <c r="T267" s="164">
        <f t="shared" si="40"/>
        <v>0</v>
      </c>
    </row>
    <row r="268" spans="2:20" x14ac:dyDescent="0.2">
      <c r="F268" s="158">
        <v>257</v>
      </c>
      <c r="G268" s="249">
        <f t="shared" si="41"/>
        <v>51470</v>
      </c>
      <c r="H268" s="158">
        <f t="shared" si="45"/>
        <v>30</v>
      </c>
      <c r="I268" s="254">
        <v>9.9900000000000003E-2</v>
      </c>
      <c r="J268" s="164">
        <f t="shared" si="42"/>
        <v>0</v>
      </c>
      <c r="K268" s="164">
        <f t="shared" si="43"/>
        <v>0</v>
      </c>
      <c r="L268" s="164">
        <f t="shared" si="48"/>
        <v>0</v>
      </c>
      <c r="M268" s="164">
        <f t="shared" si="48"/>
        <v>0</v>
      </c>
      <c r="N268" s="164">
        <f t="shared" si="44"/>
        <v>0</v>
      </c>
      <c r="O268" s="164">
        <f t="shared" ref="O268:O311" si="49">MIN(J268-Q268-P268,L268)</f>
        <v>0</v>
      </c>
      <c r="P268" s="164">
        <f t="shared" ref="P268:P311" si="50">MIN(J268-Q268,N268)</f>
        <v>0</v>
      </c>
      <c r="Q268" s="164">
        <f t="shared" ref="Q268:Q311" si="51">MIN(J268,M268)</f>
        <v>0</v>
      </c>
      <c r="R268" s="164">
        <f t="shared" si="47"/>
        <v>0</v>
      </c>
      <c r="S268" s="164">
        <f t="shared" ref="S268:S311" si="52">L268-O268</f>
        <v>0</v>
      </c>
      <c r="T268" s="164">
        <f t="shared" ref="T268:T311" si="53">M268+R268-Q268</f>
        <v>0</v>
      </c>
    </row>
    <row r="269" spans="2:20" x14ac:dyDescent="0.2">
      <c r="F269" s="158">
        <v>258</v>
      </c>
      <c r="G269" s="249">
        <f t="shared" ref="G269:G311" si="54">EOMONTH($D$9,F269-1)</f>
        <v>51501</v>
      </c>
      <c r="H269" s="158">
        <f t="shared" si="45"/>
        <v>31</v>
      </c>
      <c r="I269" s="254">
        <v>9.9900000000000003E-2</v>
      </c>
      <c r="J269" s="164">
        <f t="shared" ref="J269:J311" si="55">IF(F269=$D$4,K269+N269,MIN($D$5,K269+N269))</f>
        <v>0</v>
      </c>
      <c r="K269" s="164">
        <f t="shared" ref="K269:K311" si="56">L269+M269</f>
        <v>0</v>
      </c>
      <c r="L269" s="164">
        <f t="shared" si="48"/>
        <v>0</v>
      </c>
      <c r="M269" s="164">
        <f t="shared" si="48"/>
        <v>0</v>
      </c>
      <c r="N269" s="164">
        <f t="shared" ref="N269:N311" si="57">L269*I269/365.25*H269</f>
        <v>0</v>
      </c>
      <c r="O269" s="164">
        <f t="shared" si="49"/>
        <v>0</v>
      </c>
      <c r="P269" s="164">
        <f t="shared" si="50"/>
        <v>0</v>
      </c>
      <c r="Q269" s="164">
        <f t="shared" si="51"/>
        <v>0</v>
      </c>
      <c r="R269" s="164">
        <f t="shared" si="47"/>
        <v>0</v>
      </c>
      <c r="S269" s="164">
        <f t="shared" si="52"/>
        <v>0</v>
      </c>
      <c r="T269" s="164">
        <f t="shared" si="53"/>
        <v>0</v>
      </c>
    </row>
    <row r="270" spans="2:20" x14ac:dyDescent="0.2">
      <c r="F270" s="158">
        <v>259</v>
      </c>
      <c r="G270" s="249">
        <f t="shared" si="54"/>
        <v>51532</v>
      </c>
      <c r="H270" s="158">
        <f t="shared" ref="H270:H311" si="58">G270-G269</f>
        <v>31</v>
      </c>
      <c r="I270" s="254">
        <v>9.9900000000000003E-2</v>
      </c>
      <c r="J270" s="164">
        <f t="shared" si="55"/>
        <v>0</v>
      </c>
      <c r="K270" s="164">
        <f t="shared" si="56"/>
        <v>0</v>
      </c>
      <c r="L270" s="164">
        <f t="shared" si="48"/>
        <v>0</v>
      </c>
      <c r="M270" s="164">
        <f t="shared" si="48"/>
        <v>0</v>
      </c>
      <c r="N270" s="164">
        <f t="shared" si="57"/>
        <v>0</v>
      </c>
      <c r="O270" s="164">
        <f t="shared" si="49"/>
        <v>0</v>
      </c>
      <c r="P270" s="164">
        <f t="shared" si="50"/>
        <v>0</v>
      </c>
      <c r="Q270" s="164">
        <f t="shared" si="51"/>
        <v>0</v>
      </c>
      <c r="R270" s="164">
        <f t="shared" ref="R270:R311" si="59">MAX(N270-P270,0)</f>
        <v>0</v>
      </c>
      <c r="S270" s="164">
        <f t="shared" si="52"/>
        <v>0</v>
      </c>
      <c r="T270" s="164">
        <f t="shared" si="53"/>
        <v>0</v>
      </c>
    </row>
    <row r="271" spans="2:20" x14ac:dyDescent="0.2">
      <c r="F271" s="158">
        <v>260</v>
      </c>
      <c r="G271" s="249">
        <f t="shared" si="54"/>
        <v>51560</v>
      </c>
      <c r="H271" s="158">
        <f t="shared" si="58"/>
        <v>28</v>
      </c>
      <c r="I271" s="254">
        <v>9.9900000000000003E-2</v>
      </c>
      <c r="J271" s="164">
        <f t="shared" si="55"/>
        <v>0</v>
      </c>
      <c r="K271" s="164">
        <f t="shared" si="56"/>
        <v>0</v>
      </c>
      <c r="L271" s="164">
        <f t="shared" si="48"/>
        <v>0</v>
      </c>
      <c r="M271" s="164">
        <f t="shared" si="48"/>
        <v>0</v>
      </c>
      <c r="N271" s="164">
        <f t="shared" si="57"/>
        <v>0</v>
      </c>
      <c r="O271" s="164">
        <f t="shared" si="49"/>
        <v>0</v>
      </c>
      <c r="P271" s="164">
        <f t="shared" si="50"/>
        <v>0</v>
      </c>
      <c r="Q271" s="164">
        <f t="shared" si="51"/>
        <v>0</v>
      </c>
      <c r="R271" s="164">
        <f t="shared" si="59"/>
        <v>0</v>
      </c>
      <c r="S271" s="164">
        <f t="shared" si="52"/>
        <v>0</v>
      </c>
      <c r="T271" s="164">
        <f t="shared" si="53"/>
        <v>0</v>
      </c>
    </row>
    <row r="272" spans="2:20" x14ac:dyDescent="0.2">
      <c r="F272" s="158">
        <v>261</v>
      </c>
      <c r="G272" s="249">
        <f t="shared" si="54"/>
        <v>51591</v>
      </c>
      <c r="H272" s="158">
        <f t="shared" si="58"/>
        <v>31</v>
      </c>
      <c r="I272" s="254">
        <v>9.9900000000000003E-2</v>
      </c>
      <c r="J272" s="164">
        <f t="shared" si="55"/>
        <v>0</v>
      </c>
      <c r="K272" s="164">
        <f t="shared" si="56"/>
        <v>0</v>
      </c>
      <c r="L272" s="164">
        <f t="shared" si="48"/>
        <v>0</v>
      </c>
      <c r="M272" s="164">
        <f t="shared" si="48"/>
        <v>0</v>
      </c>
      <c r="N272" s="164">
        <f t="shared" si="57"/>
        <v>0</v>
      </c>
      <c r="O272" s="164">
        <f t="shared" si="49"/>
        <v>0</v>
      </c>
      <c r="P272" s="164">
        <f t="shared" si="50"/>
        <v>0</v>
      </c>
      <c r="Q272" s="164">
        <f t="shared" si="51"/>
        <v>0</v>
      </c>
      <c r="R272" s="164">
        <f t="shared" si="59"/>
        <v>0</v>
      </c>
      <c r="S272" s="164">
        <f t="shared" si="52"/>
        <v>0</v>
      </c>
      <c r="T272" s="164">
        <f t="shared" si="53"/>
        <v>0</v>
      </c>
    </row>
    <row r="273" spans="6:20" x14ac:dyDescent="0.2">
      <c r="F273" s="158">
        <v>262</v>
      </c>
      <c r="G273" s="249">
        <f t="shared" si="54"/>
        <v>51621</v>
      </c>
      <c r="H273" s="158">
        <f t="shared" si="58"/>
        <v>30</v>
      </c>
      <c r="I273" s="254">
        <v>9.9900000000000003E-2</v>
      </c>
      <c r="J273" s="164">
        <f t="shared" si="55"/>
        <v>0</v>
      </c>
      <c r="K273" s="164">
        <f t="shared" si="56"/>
        <v>0</v>
      </c>
      <c r="L273" s="164">
        <f t="shared" si="48"/>
        <v>0</v>
      </c>
      <c r="M273" s="164">
        <f t="shared" si="48"/>
        <v>0</v>
      </c>
      <c r="N273" s="164">
        <f t="shared" si="57"/>
        <v>0</v>
      </c>
      <c r="O273" s="164">
        <f t="shared" si="49"/>
        <v>0</v>
      </c>
      <c r="P273" s="164">
        <f t="shared" si="50"/>
        <v>0</v>
      </c>
      <c r="Q273" s="164">
        <f t="shared" si="51"/>
        <v>0</v>
      </c>
      <c r="R273" s="164">
        <f t="shared" si="59"/>
        <v>0</v>
      </c>
      <c r="S273" s="164">
        <f t="shared" si="52"/>
        <v>0</v>
      </c>
      <c r="T273" s="164">
        <f t="shared" si="53"/>
        <v>0</v>
      </c>
    </row>
    <row r="274" spans="6:20" x14ac:dyDescent="0.2">
      <c r="F274" s="158">
        <v>263</v>
      </c>
      <c r="G274" s="249">
        <f t="shared" si="54"/>
        <v>51652</v>
      </c>
      <c r="H274" s="158">
        <f t="shared" si="58"/>
        <v>31</v>
      </c>
      <c r="I274" s="254">
        <v>9.9900000000000003E-2</v>
      </c>
      <c r="J274" s="164">
        <f t="shared" si="55"/>
        <v>0</v>
      </c>
      <c r="K274" s="164">
        <f t="shared" si="56"/>
        <v>0</v>
      </c>
      <c r="L274" s="164">
        <f t="shared" si="48"/>
        <v>0</v>
      </c>
      <c r="M274" s="164">
        <f t="shared" si="48"/>
        <v>0</v>
      </c>
      <c r="N274" s="164">
        <f t="shared" si="57"/>
        <v>0</v>
      </c>
      <c r="O274" s="164">
        <f t="shared" si="49"/>
        <v>0</v>
      </c>
      <c r="P274" s="164">
        <f t="shared" si="50"/>
        <v>0</v>
      </c>
      <c r="Q274" s="164">
        <f t="shared" si="51"/>
        <v>0</v>
      </c>
      <c r="R274" s="164">
        <f t="shared" si="59"/>
        <v>0</v>
      </c>
      <c r="S274" s="164">
        <f t="shared" si="52"/>
        <v>0</v>
      </c>
      <c r="T274" s="164">
        <f t="shared" si="53"/>
        <v>0</v>
      </c>
    </row>
    <row r="275" spans="6:20" x14ac:dyDescent="0.2">
      <c r="F275" s="158">
        <v>264</v>
      </c>
      <c r="G275" s="249">
        <f t="shared" si="54"/>
        <v>51682</v>
      </c>
      <c r="H275" s="158">
        <f t="shared" si="58"/>
        <v>30</v>
      </c>
      <c r="I275" s="254">
        <v>9.9900000000000003E-2</v>
      </c>
      <c r="J275" s="164">
        <f t="shared" si="55"/>
        <v>0</v>
      </c>
      <c r="K275" s="164">
        <f t="shared" si="56"/>
        <v>0</v>
      </c>
      <c r="L275" s="164">
        <f t="shared" si="48"/>
        <v>0</v>
      </c>
      <c r="M275" s="164">
        <f t="shared" si="48"/>
        <v>0</v>
      </c>
      <c r="N275" s="164">
        <f t="shared" si="57"/>
        <v>0</v>
      </c>
      <c r="O275" s="164">
        <f t="shared" si="49"/>
        <v>0</v>
      </c>
      <c r="P275" s="164">
        <f t="shared" si="50"/>
        <v>0</v>
      </c>
      <c r="Q275" s="164">
        <f t="shared" si="51"/>
        <v>0</v>
      </c>
      <c r="R275" s="164">
        <f t="shared" si="59"/>
        <v>0</v>
      </c>
      <c r="S275" s="164">
        <f t="shared" si="52"/>
        <v>0</v>
      </c>
      <c r="T275" s="164">
        <f t="shared" si="53"/>
        <v>0</v>
      </c>
    </row>
    <row r="276" spans="6:20" x14ac:dyDescent="0.2">
      <c r="F276" s="158">
        <v>265</v>
      </c>
      <c r="G276" s="249">
        <f t="shared" si="54"/>
        <v>51713</v>
      </c>
      <c r="H276" s="158">
        <f t="shared" si="58"/>
        <v>31</v>
      </c>
      <c r="I276" s="254">
        <v>9.9900000000000003E-2</v>
      </c>
      <c r="J276" s="164">
        <f t="shared" si="55"/>
        <v>0</v>
      </c>
      <c r="K276" s="164">
        <f t="shared" si="56"/>
        <v>0</v>
      </c>
      <c r="L276" s="164">
        <f t="shared" si="48"/>
        <v>0</v>
      </c>
      <c r="M276" s="164">
        <f t="shared" si="48"/>
        <v>0</v>
      </c>
      <c r="N276" s="164">
        <f t="shared" si="57"/>
        <v>0</v>
      </c>
      <c r="O276" s="164">
        <f t="shared" si="49"/>
        <v>0</v>
      </c>
      <c r="P276" s="164">
        <f t="shared" si="50"/>
        <v>0</v>
      </c>
      <c r="Q276" s="164">
        <f t="shared" si="51"/>
        <v>0</v>
      </c>
      <c r="R276" s="164">
        <f t="shared" si="59"/>
        <v>0</v>
      </c>
      <c r="S276" s="164">
        <f t="shared" si="52"/>
        <v>0</v>
      </c>
      <c r="T276" s="164">
        <f t="shared" si="53"/>
        <v>0</v>
      </c>
    </row>
    <row r="277" spans="6:20" x14ac:dyDescent="0.2">
      <c r="F277" s="158">
        <v>266</v>
      </c>
      <c r="G277" s="249">
        <f t="shared" si="54"/>
        <v>51744</v>
      </c>
      <c r="H277" s="158">
        <f t="shared" si="58"/>
        <v>31</v>
      </c>
      <c r="I277" s="254">
        <v>9.9900000000000003E-2</v>
      </c>
      <c r="J277" s="164">
        <f t="shared" si="55"/>
        <v>0</v>
      </c>
      <c r="K277" s="164">
        <f t="shared" si="56"/>
        <v>0</v>
      </c>
      <c r="L277" s="164">
        <f t="shared" si="48"/>
        <v>0</v>
      </c>
      <c r="M277" s="164">
        <f t="shared" si="48"/>
        <v>0</v>
      </c>
      <c r="N277" s="164">
        <f t="shared" si="57"/>
        <v>0</v>
      </c>
      <c r="O277" s="164">
        <f t="shared" si="49"/>
        <v>0</v>
      </c>
      <c r="P277" s="164">
        <f t="shared" si="50"/>
        <v>0</v>
      </c>
      <c r="Q277" s="164">
        <f t="shared" si="51"/>
        <v>0</v>
      </c>
      <c r="R277" s="164">
        <f t="shared" si="59"/>
        <v>0</v>
      </c>
      <c r="S277" s="164">
        <f t="shared" si="52"/>
        <v>0</v>
      </c>
      <c r="T277" s="164">
        <f t="shared" si="53"/>
        <v>0</v>
      </c>
    </row>
    <row r="278" spans="6:20" x14ac:dyDescent="0.2">
      <c r="F278" s="158">
        <v>267</v>
      </c>
      <c r="G278" s="249">
        <f t="shared" si="54"/>
        <v>51774</v>
      </c>
      <c r="H278" s="158">
        <f t="shared" si="58"/>
        <v>30</v>
      </c>
      <c r="I278" s="254">
        <v>9.9900000000000003E-2</v>
      </c>
      <c r="J278" s="164">
        <f t="shared" si="55"/>
        <v>0</v>
      </c>
      <c r="K278" s="164">
        <f t="shared" si="56"/>
        <v>0</v>
      </c>
      <c r="L278" s="164">
        <f t="shared" ref="L278:M311" si="60">S277</f>
        <v>0</v>
      </c>
      <c r="M278" s="164">
        <f t="shared" si="60"/>
        <v>0</v>
      </c>
      <c r="N278" s="164">
        <f t="shared" si="57"/>
        <v>0</v>
      </c>
      <c r="O278" s="164">
        <f t="shared" si="49"/>
        <v>0</v>
      </c>
      <c r="P278" s="164">
        <f t="shared" si="50"/>
        <v>0</v>
      </c>
      <c r="Q278" s="164">
        <f t="shared" si="51"/>
        <v>0</v>
      </c>
      <c r="R278" s="164">
        <f t="shared" si="59"/>
        <v>0</v>
      </c>
      <c r="S278" s="164">
        <f t="shared" si="52"/>
        <v>0</v>
      </c>
      <c r="T278" s="164">
        <f t="shared" si="53"/>
        <v>0</v>
      </c>
    </row>
    <row r="279" spans="6:20" x14ac:dyDescent="0.2">
      <c r="F279" s="158">
        <v>268</v>
      </c>
      <c r="G279" s="249">
        <f t="shared" si="54"/>
        <v>51805</v>
      </c>
      <c r="H279" s="158">
        <f t="shared" si="58"/>
        <v>31</v>
      </c>
      <c r="I279" s="254">
        <v>9.9900000000000003E-2</v>
      </c>
      <c r="J279" s="164">
        <f t="shared" si="55"/>
        <v>0</v>
      </c>
      <c r="K279" s="164">
        <f t="shared" si="56"/>
        <v>0</v>
      </c>
      <c r="L279" s="164">
        <f t="shared" si="60"/>
        <v>0</v>
      </c>
      <c r="M279" s="164">
        <f t="shared" si="60"/>
        <v>0</v>
      </c>
      <c r="N279" s="164">
        <f t="shared" si="57"/>
        <v>0</v>
      </c>
      <c r="O279" s="164">
        <f t="shared" si="49"/>
        <v>0</v>
      </c>
      <c r="P279" s="164">
        <f t="shared" si="50"/>
        <v>0</v>
      </c>
      <c r="Q279" s="164">
        <f t="shared" si="51"/>
        <v>0</v>
      </c>
      <c r="R279" s="164">
        <f t="shared" si="59"/>
        <v>0</v>
      </c>
      <c r="S279" s="164">
        <f t="shared" si="52"/>
        <v>0</v>
      </c>
      <c r="T279" s="164">
        <f t="shared" si="53"/>
        <v>0</v>
      </c>
    </row>
    <row r="280" spans="6:20" x14ac:dyDescent="0.2">
      <c r="F280" s="158">
        <v>269</v>
      </c>
      <c r="G280" s="249">
        <f t="shared" si="54"/>
        <v>51835</v>
      </c>
      <c r="H280" s="158">
        <f t="shared" si="58"/>
        <v>30</v>
      </c>
      <c r="I280" s="254">
        <v>9.9900000000000003E-2</v>
      </c>
      <c r="J280" s="164">
        <f t="shared" si="55"/>
        <v>0</v>
      </c>
      <c r="K280" s="164">
        <f t="shared" si="56"/>
        <v>0</v>
      </c>
      <c r="L280" s="164">
        <f t="shared" si="60"/>
        <v>0</v>
      </c>
      <c r="M280" s="164">
        <f t="shared" si="60"/>
        <v>0</v>
      </c>
      <c r="N280" s="164">
        <f t="shared" si="57"/>
        <v>0</v>
      </c>
      <c r="O280" s="164">
        <f t="shared" si="49"/>
        <v>0</v>
      </c>
      <c r="P280" s="164">
        <f t="shared" si="50"/>
        <v>0</v>
      </c>
      <c r="Q280" s="164">
        <f t="shared" si="51"/>
        <v>0</v>
      </c>
      <c r="R280" s="164">
        <f t="shared" si="59"/>
        <v>0</v>
      </c>
      <c r="S280" s="164">
        <f t="shared" si="52"/>
        <v>0</v>
      </c>
      <c r="T280" s="164">
        <f t="shared" si="53"/>
        <v>0</v>
      </c>
    </row>
    <row r="281" spans="6:20" x14ac:dyDescent="0.2">
      <c r="F281" s="158">
        <v>270</v>
      </c>
      <c r="G281" s="249">
        <f t="shared" si="54"/>
        <v>51866</v>
      </c>
      <c r="H281" s="158">
        <f t="shared" si="58"/>
        <v>31</v>
      </c>
      <c r="I281" s="254">
        <v>9.9900000000000003E-2</v>
      </c>
      <c r="J281" s="164">
        <f t="shared" si="55"/>
        <v>0</v>
      </c>
      <c r="K281" s="164">
        <f t="shared" si="56"/>
        <v>0</v>
      </c>
      <c r="L281" s="164">
        <f t="shared" si="60"/>
        <v>0</v>
      </c>
      <c r="M281" s="164">
        <f t="shared" si="60"/>
        <v>0</v>
      </c>
      <c r="N281" s="164">
        <f t="shared" si="57"/>
        <v>0</v>
      </c>
      <c r="O281" s="164">
        <f t="shared" si="49"/>
        <v>0</v>
      </c>
      <c r="P281" s="164">
        <f t="shared" si="50"/>
        <v>0</v>
      </c>
      <c r="Q281" s="164">
        <f t="shared" si="51"/>
        <v>0</v>
      </c>
      <c r="R281" s="164">
        <f t="shared" si="59"/>
        <v>0</v>
      </c>
      <c r="S281" s="164">
        <f t="shared" si="52"/>
        <v>0</v>
      </c>
      <c r="T281" s="164">
        <f t="shared" si="53"/>
        <v>0</v>
      </c>
    </row>
    <row r="282" spans="6:20" x14ac:dyDescent="0.2">
      <c r="F282" s="158">
        <v>271</v>
      </c>
      <c r="G282" s="249">
        <f t="shared" si="54"/>
        <v>51897</v>
      </c>
      <c r="H282" s="158">
        <f t="shared" si="58"/>
        <v>31</v>
      </c>
      <c r="I282" s="254">
        <v>9.9900000000000003E-2</v>
      </c>
      <c r="J282" s="164">
        <f t="shared" si="55"/>
        <v>0</v>
      </c>
      <c r="K282" s="164">
        <f t="shared" si="56"/>
        <v>0</v>
      </c>
      <c r="L282" s="164">
        <f t="shared" si="60"/>
        <v>0</v>
      </c>
      <c r="M282" s="164">
        <f t="shared" si="60"/>
        <v>0</v>
      </c>
      <c r="N282" s="164">
        <f t="shared" si="57"/>
        <v>0</v>
      </c>
      <c r="O282" s="164">
        <f t="shared" si="49"/>
        <v>0</v>
      </c>
      <c r="P282" s="164">
        <f t="shared" si="50"/>
        <v>0</v>
      </c>
      <c r="Q282" s="164">
        <f t="shared" si="51"/>
        <v>0</v>
      </c>
      <c r="R282" s="164">
        <f t="shared" si="59"/>
        <v>0</v>
      </c>
      <c r="S282" s="164">
        <f t="shared" si="52"/>
        <v>0</v>
      </c>
      <c r="T282" s="164">
        <f t="shared" si="53"/>
        <v>0</v>
      </c>
    </row>
    <row r="283" spans="6:20" x14ac:dyDescent="0.2">
      <c r="F283" s="158">
        <v>272</v>
      </c>
      <c r="G283" s="249">
        <f t="shared" si="54"/>
        <v>51925</v>
      </c>
      <c r="H283" s="158">
        <f t="shared" si="58"/>
        <v>28</v>
      </c>
      <c r="I283" s="254">
        <v>9.9900000000000003E-2</v>
      </c>
      <c r="J283" s="164">
        <f t="shared" si="55"/>
        <v>0</v>
      </c>
      <c r="K283" s="164">
        <f t="shared" si="56"/>
        <v>0</v>
      </c>
      <c r="L283" s="164">
        <f t="shared" si="60"/>
        <v>0</v>
      </c>
      <c r="M283" s="164">
        <f t="shared" si="60"/>
        <v>0</v>
      </c>
      <c r="N283" s="164">
        <f t="shared" si="57"/>
        <v>0</v>
      </c>
      <c r="O283" s="164">
        <f t="shared" si="49"/>
        <v>0</v>
      </c>
      <c r="P283" s="164">
        <f t="shared" si="50"/>
        <v>0</v>
      </c>
      <c r="Q283" s="164">
        <f t="shared" si="51"/>
        <v>0</v>
      </c>
      <c r="R283" s="164">
        <f t="shared" si="59"/>
        <v>0</v>
      </c>
      <c r="S283" s="164">
        <f t="shared" si="52"/>
        <v>0</v>
      </c>
      <c r="T283" s="164">
        <f t="shared" si="53"/>
        <v>0</v>
      </c>
    </row>
    <row r="284" spans="6:20" x14ac:dyDescent="0.2">
      <c r="F284" s="158">
        <v>273</v>
      </c>
      <c r="G284" s="249">
        <f t="shared" si="54"/>
        <v>51956</v>
      </c>
      <c r="H284" s="158">
        <f t="shared" si="58"/>
        <v>31</v>
      </c>
      <c r="I284" s="254">
        <v>9.9900000000000003E-2</v>
      </c>
      <c r="J284" s="164">
        <f t="shared" si="55"/>
        <v>0</v>
      </c>
      <c r="K284" s="164">
        <f t="shared" si="56"/>
        <v>0</v>
      </c>
      <c r="L284" s="164">
        <f t="shared" si="60"/>
        <v>0</v>
      </c>
      <c r="M284" s="164">
        <f t="shared" si="60"/>
        <v>0</v>
      </c>
      <c r="N284" s="164">
        <f t="shared" si="57"/>
        <v>0</v>
      </c>
      <c r="O284" s="164">
        <f t="shared" si="49"/>
        <v>0</v>
      </c>
      <c r="P284" s="164">
        <f t="shared" si="50"/>
        <v>0</v>
      </c>
      <c r="Q284" s="164">
        <f t="shared" si="51"/>
        <v>0</v>
      </c>
      <c r="R284" s="164">
        <f t="shared" si="59"/>
        <v>0</v>
      </c>
      <c r="S284" s="164">
        <f t="shared" si="52"/>
        <v>0</v>
      </c>
      <c r="T284" s="164">
        <f t="shared" si="53"/>
        <v>0</v>
      </c>
    </row>
    <row r="285" spans="6:20" x14ac:dyDescent="0.2">
      <c r="F285" s="158">
        <v>274</v>
      </c>
      <c r="G285" s="249">
        <f t="shared" si="54"/>
        <v>51986</v>
      </c>
      <c r="H285" s="158">
        <f t="shared" si="58"/>
        <v>30</v>
      </c>
      <c r="I285" s="254">
        <v>9.9900000000000003E-2</v>
      </c>
      <c r="J285" s="164">
        <f t="shared" si="55"/>
        <v>0</v>
      </c>
      <c r="K285" s="164">
        <f t="shared" si="56"/>
        <v>0</v>
      </c>
      <c r="L285" s="164">
        <f t="shared" si="60"/>
        <v>0</v>
      </c>
      <c r="M285" s="164">
        <f t="shared" si="60"/>
        <v>0</v>
      </c>
      <c r="N285" s="164">
        <f t="shared" si="57"/>
        <v>0</v>
      </c>
      <c r="O285" s="164">
        <f t="shared" si="49"/>
        <v>0</v>
      </c>
      <c r="P285" s="164">
        <f t="shared" si="50"/>
        <v>0</v>
      </c>
      <c r="Q285" s="164">
        <f t="shared" si="51"/>
        <v>0</v>
      </c>
      <c r="R285" s="164">
        <f t="shared" si="59"/>
        <v>0</v>
      </c>
      <c r="S285" s="164">
        <f t="shared" si="52"/>
        <v>0</v>
      </c>
      <c r="T285" s="164">
        <f t="shared" si="53"/>
        <v>0</v>
      </c>
    </row>
    <row r="286" spans="6:20" x14ac:dyDescent="0.2">
      <c r="F286" s="158">
        <v>275</v>
      </c>
      <c r="G286" s="249">
        <f t="shared" si="54"/>
        <v>52017</v>
      </c>
      <c r="H286" s="158">
        <f t="shared" si="58"/>
        <v>31</v>
      </c>
      <c r="I286" s="254">
        <v>9.9900000000000003E-2</v>
      </c>
      <c r="J286" s="164">
        <f t="shared" si="55"/>
        <v>0</v>
      </c>
      <c r="K286" s="164">
        <f t="shared" si="56"/>
        <v>0</v>
      </c>
      <c r="L286" s="164">
        <f t="shared" si="60"/>
        <v>0</v>
      </c>
      <c r="M286" s="164">
        <f t="shared" si="60"/>
        <v>0</v>
      </c>
      <c r="N286" s="164">
        <f t="shared" si="57"/>
        <v>0</v>
      </c>
      <c r="O286" s="164">
        <f t="shared" si="49"/>
        <v>0</v>
      </c>
      <c r="P286" s="164">
        <f t="shared" si="50"/>
        <v>0</v>
      </c>
      <c r="Q286" s="164">
        <f t="shared" si="51"/>
        <v>0</v>
      </c>
      <c r="R286" s="164">
        <f t="shared" si="59"/>
        <v>0</v>
      </c>
      <c r="S286" s="164">
        <f t="shared" si="52"/>
        <v>0</v>
      </c>
      <c r="T286" s="164">
        <f t="shared" si="53"/>
        <v>0</v>
      </c>
    </row>
    <row r="287" spans="6:20" x14ac:dyDescent="0.2">
      <c r="F287" s="158">
        <v>276</v>
      </c>
      <c r="G287" s="249">
        <f t="shared" si="54"/>
        <v>52047</v>
      </c>
      <c r="H287" s="158">
        <f t="shared" si="58"/>
        <v>30</v>
      </c>
      <c r="I287" s="254">
        <v>9.9900000000000003E-2</v>
      </c>
      <c r="J287" s="164">
        <f t="shared" si="55"/>
        <v>0</v>
      </c>
      <c r="K287" s="164">
        <f t="shared" si="56"/>
        <v>0</v>
      </c>
      <c r="L287" s="164">
        <f t="shared" si="60"/>
        <v>0</v>
      </c>
      <c r="M287" s="164">
        <f t="shared" si="60"/>
        <v>0</v>
      </c>
      <c r="N287" s="164">
        <f t="shared" si="57"/>
        <v>0</v>
      </c>
      <c r="O287" s="164">
        <f t="shared" si="49"/>
        <v>0</v>
      </c>
      <c r="P287" s="164">
        <f t="shared" si="50"/>
        <v>0</v>
      </c>
      <c r="Q287" s="164">
        <f t="shared" si="51"/>
        <v>0</v>
      </c>
      <c r="R287" s="164">
        <f t="shared" si="59"/>
        <v>0</v>
      </c>
      <c r="S287" s="164">
        <f t="shared" si="52"/>
        <v>0</v>
      </c>
      <c r="T287" s="164">
        <f t="shared" si="53"/>
        <v>0</v>
      </c>
    </row>
    <row r="288" spans="6:20" x14ac:dyDescent="0.2">
      <c r="F288" s="158">
        <v>277</v>
      </c>
      <c r="G288" s="249">
        <f t="shared" si="54"/>
        <v>52078</v>
      </c>
      <c r="H288" s="158">
        <f t="shared" si="58"/>
        <v>31</v>
      </c>
      <c r="I288" s="254">
        <v>9.9900000000000003E-2</v>
      </c>
      <c r="J288" s="164">
        <f t="shared" si="55"/>
        <v>0</v>
      </c>
      <c r="K288" s="164">
        <f t="shared" si="56"/>
        <v>0</v>
      </c>
      <c r="L288" s="164">
        <f t="shared" si="60"/>
        <v>0</v>
      </c>
      <c r="M288" s="164">
        <f t="shared" si="60"/>
        <v>0</v>
      </c>
      <c r="N288" s="164">
        <f t="shared" si="57"/>
        <v>0</v>
      </c>
      <c r="O288" s="164">
        <f t="shared" si="49"/>
        <v>0</v>
      </c>
      <c r="P288" s="164">
        <f t="shared" si="50"/>
        <v>0</v>
      </c>
      <c r="Q288" s="164">
        <f t="shared" si="51"/>
        <v>0</v>
      </c>
      <c r="R288" s="164">
        <f t="shared" si="59"/>
        <v>0</v>
      </c>
      <c r="S288" s="164">
        <f t="shared" si="52"/>
        <v>0</v>
      </c>
      <c r="T288" s="164">
        <f t="shared" si="53"/>
        <v>0</v>
      </c>
    </row>
    <row r="289" spans="6:20" x14ac:dyDescent="0.2">
      <c r="F289" s="158">
        <v>278</v>
      </c>
      <c r="G289" s="249">
        <f t="shared" si="54"/>
        <v>52109</v>
      </c>
      <c r="H289" s="158">
        <f t="shared" si="58"/>
        <v>31</v>
      </c>
      <c r="I289" s="254">
        <v>9.9900000000000003E-2</v>
      </c>
      <c r="J289" s="164">
        <f t="shared" si="55"/>
        <v>0</v>
      </c>
      <c r="K289" s="164">
        <f t="shared" si="56"/>
        <v>0</v>
      </c>
      <c r="L289" s="164">
        <f t="shared" si="60"/>
        <v>0</v>
      </c>
      <c r="M289" s="164">
        <f t="shared" si="60"/>
        <v>0</v>
      </c>
      <c r="N289" s="164">
        <f t="shared" si="57"/>
        <v>0</v>
      </c>
      <c r="O289" s="164">
        <f t="shared" si="49"/>
        <v>0</v>
      </c>
      <c r="P289" s="164">
        <f t="shared" si="50"/>
        <v>0</v>
      </c>
      <c r="Q289" s="164">
        <f t="shared" si="51"/>
        <v>0</v>
      </c>
      <c r="R289" s="164">
        <f t="shared" si="59"/>
        <v>0</v>
      </c>
      <c r="S289" s="164">
        <f t="shared" si="52"/>
        <v>0</v>
      </c>
      <c r="T289" s="164">
        <f t="shared" si="53"/>
        <v>0</v>
      </c>
    </row>
    <row r="290" spans="6:20" x14ac:dyDescent="0.2">
      <c r="F290" s="158">
        <v>279</v>
      </c>
      <c r="G290" s="249">
        <f t="shared" si="54"/>
        <v>52139</v>
      </c>
      <c r="H290" s="158">
        <f t="shared" si="58"/>
        <v>30</v>
      </c>
      <c r="I290" s="254">
        <v>9.9900000000000003E-2</v>
      </c>
      <c r="J290" s="164">
        <f t="shared" si="55"/>
        <v>0</v>
      </c>
      <c r="K290" s="164">
        <f t="shared" si="56"/>
        <v>0</v>
      </c>
      <c r="L290" s="164">
        <f t="shared" si="60"/>
        <v>0</v>
      </c>
      <c r="M290" s="164">
        <f t="shared" si="60"/>
        <v>0</v>
      </c>
      <c r="N290" s="164">
        <f t="shared" si="57"/>
        <v>0</v>
      </c>
      <c r="O290" s="164">
        <f t="shared" si="49"/>
        <v>0</v>
      </c>
      <c r="P290" s="164">
        <f t="shared" si="50"/>
        <v>0</v>
      </c>
      <c r="Q290" s="164">
        <f t="shared" si="51"/>
        <v>0</v>
      </c>
      <c r="R290" s="164">
        <f t="shared" si="59"/>
        <v>0</v>
      </c>
      <c r="S290" s="164">
        <f t="shared" si="52"/>
        <v>0</v>
      </c>
      <c r="T290" s="164">
        <f t="shared" si="53"/>
        <v>0</v>
      </c>
    </row>
    <row r="291" spans="6:20" x14ac:dyDescent="0.2">
      <c r="F291" s="158">
        <v>280</v>
      </c>
      <c r="G291" s="249">
        <f t="shared" si="54"/>
        <v>52170</v>
      </c>
      <c r="H291" s="158">
        <f t="shared" si="58"/>
        <v>31</v>
      </c>
      <c r="I291" s="254">
        <v>9.9900000000000003E-2</v>
      </c>
      <c r="J291" s="164">
        <f t="shared" si="55"/>
        <v>0</v>
      </c>
      <c r="K291" s="164">
        <f t="shared" si="56"/>
        <v>0</v>
      </c>
      <c r="L291" s="164">
        <f t="shared" si="60"/>
        <v>0</v>
      </c>
      <c r="M291" s="164">
        <f t="shared" si="60"/>
        <v>0</v>
      </c>
      <c r="N291" s="164">
        <f t="shared" si="57"/>
        <v>0</v>
      </c>
      <c r="O291" s="164">
        <f t="shared" si="49"/>
        <v>0</v>
      </c>
      <c r="P291" s="164">
        <f t="shared" si="50"/>
        <v>0</v>
      </c>
      <c r="Q291" s="164">
        <f t="shared" si="51"/>
        <v>0</v>
      </c>
      <c r="R291" s="164">
        <f t="shared" si="59"/>
        <v>0</v>
      </c>
      <c r="S291" s="164">
        <f t="shared" si="52"/>
        <v>0</v>
      </c>
      <c r="T291" s="164">
        <f t="shared" si="53"/>
        <v>0</v>
      </c>
    </row>
    <row r="292" spans="6:20" x14ac:dyDescent="0.2">
      <c r="F292" s="158">
        <v>281</v>
      </c>
      <c r="G292" s="249">
        <f t="shared" si="54"/>
        <v>52200</v>
      </c>
      <c r="H292" s="158">
        <f t="shared" si="58"/>
        <v>30</v>
      </c>
      <c r="I292" s="254">
        <v>9.9900000000000003E-2</v>
      </c>
      <c r="J292" s="164">
        <f t="shared" si="55"/>
        <v>0</v>
      </c>
      <c r="K292" s="164">
        <f t="shared" si="56"/>
        <v>0</v>
      </c>
      <c r="L292" s="164">
        <f t="shared" si="60"/>
        <v>0</v>
      </c>
      <c r="M292" s="164">
        <f t="shared" si="60"/>
        <v>0</v>
      </c>
      <c r="N292" s="164">
        <f t="shared" si="57"/>
        <v>0</v>
      </c>
      <c r="O292" s="164">
        <f t="shared" si="49"/>
        <v>0</v>
      </c>
      <c r="P292" s="164">
        <f t="shared" si="50"/>
        <v>0</v>
      </c>
      <c r="Q292" s="164">
        <f t="shared" si="51"/>
        <v>0</v>
      </c>
      <c r="R292" s="164">
        <f t="shared" si="59"/>
        <v>0</v>
      </c>
      <c r="S292" s="164">
        <f t="shared" si="52"/>
        <v>0</v>
      </c>
      <c r="T292" s="164">
        <f t="shared" si="53"/>
        <v>0</v>
      </c>
    </row>
    <row r="293" spans="6:20" x14ac:dyDescent="0.2">
      <c r="F293" s="158">
        <v>282</v>
      </c>
      <c r="G293" s="249">
        <f t="shared" si="54"/>
        <v>52231</v>
      </c>
      <c r="H293" s="158">
        <f t="shared" si="58"/>
        <v>31</v>
      </c>
      <c r="I293" s="254">
        <v>9.9900000000000003E-2</v>
      </c>
      <c r="J293" s="164">
        <f t="shared" si="55"/>
        <v>0</v>
      </c>
      <c r="K293" s="164">
        <f t="shared" si="56"/>
        <v>0</v>
      </c>
      <c r="L293" s="164">
        <f t="shared" si="60"/>
        <v>0</v>
      </c>
      <c r="M293" s="164">
        <f t="shared" si="60"/>
        <v>0</v>
      </c>
      <c r="N293" s="164">
        <f t="shared" si="57"/>
        <v>0</v>
      </c>
      <c r="O293" s="164">
        <f t="shared" si="49"/>
        <v>0</v>
      </c>
      <c r="P293" s="164">
        <f t="shared" si="50"/>
        <v>0</v>
      </c>
      <c r="Q293" s="164">
        <f t="shared" si="51"/>
        <v>0</v>
      </c>
      <c r="R293" s="164">
        <f t="shared" si="59"/>
        <v>0</v>
      </c>
      <c r="S293" s="164">
        <f t="shared" si="52"/>
        <v>0</v>
      </c>
      <c r="T293" s="164">
        <f t="shared" si="53"/>
        <v>0</v>
      </c>
    </row>
    <row r="294" spans="6:20" x14ac:dyDescent="0.2">
      <c r="F294" s="158">
        <v>283</v>
      </c>
      <c r="G294" s="249">
        <f t="shared" si="54"/>
        <v>52262</v>
      </c>
      <c r="H294" s="158">
        <f t="shared" si="58"/>
        <v>31</v>
      </c>
      <c r="I294" s="254">
        <v>9.9900000000000003E-2</v>
      </c>
      <c r="J294" s="164">
        <f t="shared" si="55"/>
        <v>0</v>
      </c>
      <c r="K294" s="164">
        <f t="shared" si="56"/>
        <v>0</v>
      </c>
      <c r="L294" s="164">
        <f t="shared" si="60"/>
        <v>0</v>
      </c>
      <c r="M294" s="164">
        <f t="shared" si="60"/>
        <v>0</v>
      </c>
      <c r="N294" s="164">
        <f t="shared" si="57"/>
        <v>0</v>
      </c>
      <c r="O294" s="164">
        <f t="shared" si="49"/>
        <v>0</v>
      </c>
      <c r="P294" s="164">
        <f t="shared" si="50"/>
        <v>0</v>
      </c>
      <c r="Q294" s="164">
        <f t="shared" si="51"/>
        <v>0</v>
      </c>
      <c r="R294" s="164">
        <f t="shared" si="59"/>
        <v>0</v>
      </c>
      <c r="S294" s="164">
        <f t="shared" si="52"/>
        <v>0</v>
      </c>
      <c r="T294" s="164">
        <f t="shared" si="53"/>
        <v>0</v>
      </c>
    </row>
    <row r="295" spans="6:20" x14ac:dyDescent="0.2">
      <c r="F295" s="158">
        <v>284</v>
      </c>
      <c r="G295" s="249">
        <f t="shared" si="54"/>
        <v>52290</v>
      </c>
      <c r="H295" s="158">
        <f t="shared" si="58"/>
        <v>28</v>
      </c>
      <c r="I295" s="254">
        <v>9.9900000000000003E-2</v>
      </c>
      <c r="J295" s="164">
        <f t="shared" si="55"/>
        <v>0</v>
      </c>
      <c r="K295" s="164">
        <f t="shared" si="56"/>
        <v>0</v>
      </c>
      <c r="L295" s="164">
        <f t="shared" si="60"/>
        <v>0</v>
      </c>
      <c r="M295" s="164">
        <f t="shared" si="60"/>
        <v>0</v>
      </c>
      <c r="N295" s="164">
        <f t="shared" si="57"/>
        <v>0</v>
      </c>
      <c r="O295" s="164">
        <f t="shared" si="49"/>
        <v>0</v>
      </c>
      <c r="P295" s="164">
        <f t="shared" si="50"/>
        <v>0</v>
      </c>
      <c r="Q295" s="164">
        <f t="shared" si="51"/>
        <v>0</v>
      </c>
      <c r="R295" s="164">
        <f t="shared" si="59"/>
        <v>0</v>
      </c>
      <c r="S295" s="164">
        <f t="shared" si="52"/>
        <v>0</v>
      </c>
      <c r="T295" s="164">
        <f t="shared" si="53"/>
        <v>0</v>
      </c>
    </row>
    <row r="296" spans="6:20" x14ac:dyDescent="0.2">
      <c r="F296" s="158">
        <v>285</v>
      </c>
      <c r="G296" s="249">
        <f t="shared" si="54"/>
        <v>52321</v>
      </c>
      <c r="H296" s="158">
        <f t="shared" si="58"/>
        <v>31</v>
      </c>
      <c r="I296" s="254">
        <v>9.9900000000000003E-2</v>
      </c>
      <c r="J296" s="164">
        <f t="shared" si="55"/>
        <v>0</v>
      </c>
      <c r="K296" s="164">
        <f t="shared" si="56"/>
        <v>0</v>
      </c>
      <c r="L296" s="164">
        <f t="shared" si="60"/>
        <v>0</v>
      </c>
      <c r="M296" s="164">
        <f t="shared" si="60"/>
        <v>0</v>
      </c>
      <c r="N296" s="164">
        <f t="shared" si="57"/>
        <v>0</v>
      </c>
      <c r="O296" s="164">
        <f t="shared" si="49"/>
        <v>0</v>
      </c>
      <c r="P296" s="164">
        <f t="shared" si="50"/>
        <v>0</v>
      </c>
      <c r="Q296" s="164">
        <f t="shared" si="51"/>
        <v>0</v>
      </c>
      <c r="R296" s="164">
        <f t="shared" si="59"/>
        <v>0</v>
      </c>
      <c r="S296" s="164">
        <f t="shared" si="52"/>
        <v>0</v>
      </c>
      <c r="T296" s="164">
        <f t="shared" si="53"/>
        <v>0</v>
      </c>
    </row>
    <row r="297" spans="6:20" x14ac:dyDescent="0.2">
      <c r="F297" s="158">
        <v>286</v>
      </c>
      <c r="G297" s="249">
        <f t="shared" si="54"/>
        <v>52351</v>
      </c>
      <c r="H297" s="158">
        <f t="shared" si="58"/>
        <v>30</v>
      </c>
      <c r="I297" s="254">
        <v>9.9900000000000003E-2</v>
      </c>
      <c r="J297" s="164">
        <f t="shared" si="55"/>
        <v>0</v>
      </c>
      <c r="K297" s="164">
        <f t="shared" si="56"/>
        <v>0</v>
      </c>
      <c r="L297" s="164">
        <f t="shared" si="60"/>
        <v>0</v>
      </c>
      <c r="M297" s="164">
        <f t="shared" si="60"/>
        <v>0</v>
      </c>
      <c r="N297" s="164">
        <f t="shared" si="57"/>
        <v>0</v>
      </c>
      <c r="O297" s="164">
        <f t="shared" si="49"/>
        <v>0</v>
      </c>
      <c r="P297" s="164">
        <f t="shared" si="50"/>
        <v>0</v>
      </c>
      <c r="Q297" s="164">
        <f t="shared" si="51"/>
        <v>0</v>
      </c>
      <c r="R297" s="164">
        <f t="shared" si="59"/>
        <v>0</v>
      </c>
      <c r="S297" s="164">
        <f t="shared" si="52"/>
        <v>0</v>
      </c>
      <c r="T297" s="164">
        <f t="shared" si="53"/>
        <v>0</v>
      </c>
    </row>
    <row r="298" spans="6:20" x14ac:dyDescent="0.2">
      <c r="F298" s="158">
        <v>287</v>
      </c>
      <c r="G298" s="249">
        <f t="shared" si="54"/>
        <v>52382</v>
      </c>
      <c r="H298" s="158">
        <f t="shared" si="58"/>
        <v>31</v>
      </c>
      <c r="I298" s="254">
        <v>9.9900000000000003E-2</v>
      </c>
      <c r="J298" s="164">
        <f t="shared" si="55"/>
        <v>0</v>
      </c>
      <c r="K298" s="164">
        <f t="shared" si="56"/>
        <v>0</v>
      </c>
      <c r="L298" s="164">
        <f t="shared" si="60"/>
        <v>0</v>
      </c>
      <c r="M298" s="164">
        <f t="shared" si="60"/>
        <v>0</v>
      </c>
      <c r="N298" s="164">
        <f t="shared" si="57"/>
        <v>0</v>
      </c>
      <c r="O298" s="164">
        <f t="shared" si="49"/>
        <v>0</v>
      </c>
      <c r="P298" s="164">
        <f t="shared" si="50"/>
        <v>0</v>
      </c>
      <c r="Q298" s="164">
        <f t="shared" si="51"/>
        <v>0</v>
      </c>
      <c r="R298" s="164">
        <f t="shared" si="59"/>
        <v>0</v>
      </c>
      <c r="S298" s="164">
        <f t="shared" si="52"/>
        <v>0</v>
      </c>
      <c r="T298" s="164">
        <f t="shared" si="53"/>
        <v>0</v>
      </c>
    </row>
    <row r="299" spans="6:20" x14ac:dyDescent="0.2">
      <c r="F299" s="158">
        <v>288</v>
      </c>
      <c r="G299" s="249">
        <f t="shared" si="54"/>
        <v>52412</v>
      </c>
      <c r="H299" s="158">
        <f t="shared" si="58"/>
        <v>30</v>
      </c>
      <c r="I299" s="254">
        <v>9.9900000000000003E-2</v>
      </c>
      <c r="J299" s="164">
        <f t="shared" si="55"/>
        <v>0</v>
      </c>
      <c r="K299" s="164">
        <f t="shared" si="56"/>
        <v>0</v>
      </c>
      <c r="L299" s="164">
        <f t="shared" si="60"/>
        <v>0</v>
      </c>
      <c r="M299" s="164">
        <f t="shared" si="60"/>
        <v>0</v>
      </c>
      <c r="N299" s="164">
        <f t="shared" si="57"/>
        <v>0</v>
      </c>
      <c r="O299" s="164">
        <f t="shared" si="49"/>
        <v>0</v>
      </c>
      <c r="P299" s="164">
        <f t="shared" si="50"/>
        <v>0</v>
      </c>
      <c r="Q299" s="164">
        <f t="shared" si="51"/>
        <v>0</v>
      </c>
      <c r="R299" s="164">
        <f t="shared" si="59"/>
        <v>0</v>
      </c>
      <c r="S299" s="164">
        <f t="shared" si="52"/>
        <v>0</v>
      </c>
      <c r="T299" s="164">
        <f t="shared" si="53"/>
        <v>0</v>
      </c>
    </row>
    <row r="300" spans="6:20" x14ac:dyDescent="0.2">
      <c r="F300" s="158">
        <v>289</v>
      </c>
      <c r="G300" s="249">
        <f t="shared" si="54"/>
        <v>52443</v>
      </c>
      <c r="H300" s="158">
        <f t="shared" si="58"/>
        <v>31</v>
      </c>
      <c r="I300" s="254">
        <v>9.9900000000000003E-2</v>
      </c>
      <c r="J300" s="164">
        <f t="shared" si="55"/>
        <v>0</v>
      </c>
      <c r="K300" s="164">
        <f t="shared" si="56"/>
        <v>0</v>
      </c>
      <c r="L300" s="164">
        <f t="shared" si="60"/>
        <v>0</v>
      </c>
      <c r="M300" s="164">
        <f t="shared" si="60"/>
        <v>0</v>
      </c>
      <c r="N300" s="164">
        <f t="shared" si="57"/>
        <v>0</v>
      </c>
      <c r="O300" s="164">
        <f t="shared" si="49"/>
        <v>0</v>
      </c>
      <c r="P300" s="164">
        <f t="shared" si="50"/>
        <v>0</v>
      </c>
      <c r="Q300" s="164">
        <f t="shared" si="51"/>
        <v>0</v>
      </c>
      <c r="R300" s="164">
        <f t="shared" si="59"/>
        <v>0</v>
      </c>
      <c r="S300" s="164">
        <f t="shared" si="52"/>
        <v>0</v>
      </c>
      <c r="T300" s="164">
        <f t="shared" si="53"/>
        <v>0</v>
      </c>
    </row>
    <row r="301" spans="6:20" x14ac:dyDescent="0.2">
      <c r="F301" s="158">
        <v>290</v>
      </c>
      <c r="G301" s="249">
        <f t="shared" si="54"/>
        <v>52474</v>
      </c>
      <c r="H301" s="158">
        <f t="shared" si="58"/>
        <v>31</v>
      </c>
      <c r="I301" s="254">
        <v>9.9900000000000003E-2</v>
      </c>
      <c r="J301" s="164">
        <f t="shared" si="55"/>
        <v>0</v>
      </c>
      <c r="K301" s="164">
        <f t="shared" si="56"/>
        <v>0</v>
      </c>
      <c r="L301" s="164">
        <f t="shared" si="60"/>
        <v>0</v>
      </c>
      <c r="M301" s="164">
        <f t="shared" si="60"/>
        <v>0</v>
      </c>
      <c r="N301" s="164">
        <f t="shared" si="57"/>
        <v>0</v>
      </c>
      <c r="O301" s="164">
        <f t="shared" si="49"/>
        <v>0</v>
      </c>
      <c r="P301" s="164">
        <f t="shared" si="50"/>
        <v>0</v>
      </c>
      <c r="Q301" s="164">
        <f t="shared" si="51"/>
        <v>0</v>
      </c>
      <c r="R301" s="164">
        <f t="shared" si="59"/>
        <v>0</v>
      </c>
      <c r="S301" s="164">
        <f t="shared" si="52"/>
        <v>0</v>
      </c>
      <c r="T301" s="164">
        <f t="shared" si="53"/>
        <v>0</v>
      </c>
    </row>
    <row r="302" spans="6:20" x14ac:dyDescent="0.2">
      <c r="F302" s="158">
        <v>291</v>
      </c>
      <c r="G302" s="249">
        <f t="shared" si="54"/>
        <v>52504</v>
      </c>
      <c r="H302" s="158">
        <f t="shared" si="58"/>
        <v>30</v>
      </c>
      <c r="I302" s="254">
        <v>9.9900000000000003E-2</v>
      </c>
      <c r="J302" s="164">
        <f t="shared" si="55"/>
        <v>0</v>
      </c>
      <c r="K302" s="164">
        <f t="shared" si="56"/>
        <v>0</v>
      </c>
      <c r="L302" s="164">
        <f t="shared" si="60"/>
        <v>0</v>
      </c>
      <c r="M302" s="164">
        <f t="shared" si="60"/>
        <v>0</v>
      </c>
      <c r="N302" s="164">
        <f t="shared" si="57"/>
        <v>0</v>
      </c>
      <c r="O302" s="164">
        <f t="shared" si="49"/>
        <v>0</v>
      </c>
      <c r="P302" s="164">
        <f t="shared" si="50"/>
        <v>0</v>
      </c>
      <c r="Q302" s="164">
        <f t="shared" si="51"/>
        <v>0</v>
      </c>
      <c r="R302" s="164">
        <f t="shared" si="59"/>
        <v>0</v>
      </c>
      <c r="S302" s="164">
        <f t="shared" si="52"/>
        <v>0</v>
      </c>
      <c r="T302" s="164">
        <f t="shared" si="53"/>
        <v>0</v>
      </c>
    </row>
    <row r="303" spans="6:20" x14ac:dyDescent="0.2">
      <c r="F303" s="158">
        <v>292</v>
      </c>
      <c r="G303" s="249">
        <f t="shared" si="54"/>
        <v>52535</v>
      </c>
      <c r="H303" s="158">
        <f t="shared" si="58"/>
        <v>31</v>
      </c>
      <c r="I303" s="254">
        <v>9.9900000000000003E-2</v>
      </c>
      <c r="J303" s="164">
        <f t="shared" si="55"/>
        <v>0</v>
      </c>
      <c r="K303" s="164">
        <f t="shared" si="56"/>
        <v>0</v>
      </c>
      <c r="L303" s="164">
        <f t="shared" si="60"/>
        <v>0</v>
      </c>
      <c r="M303" s="164">
        <f t="shared" si="60"/>
        <v>0</v>
      </c>
      <c r="N303" s="164">
        <f t="shared" si="57"/>
        <v>0</v>
      </c>
      <c r="O303" s="164">
        <f t="shared" si="49"/>
        <v>0</v>
      </c>
      <c r="P303" s="164">
        <f t="shared" si="50"/>
        <v>0</v>
      </c>
      <c r="Q303" s="164">
        <f t="shared" si="51"/>
        <v>0</v>
      </c>
      <c r="R303" s="164">
        <f t="shared" si="59"/>
        <v>0</v>
      </c>
      <c r="S303" s="164">
        <f t="shared" si="52"/>
        <v>0</v>
      </c>
      <c r="T303" s="164">
        <f t="shared" si="53"/>
        <v>0</v>
      </c>
    </row>
    <row r="304" spans="6:20" x14ac:dyDescent="0.2">
      <c r="F304" s="158">
        <v>293</v>
      </c>
      <c r="G304" s="249">
        <f t="shared" si="54"/>
        <v>52565</v>
      </c>
      <c r="H304" s="158">
        <f t="shared" si="58"/>
        <v>30</v>
      </c>
      <c r="I304" s="254">
        <v>9.9900000000000003E-2</v>
      </c>
      <c r="J304" s="164">
        <f t="shared" si="55"/>
        <v>0</v>
      </c>
      <c r="K304" s="164">
        <f t="shared" si="56"/>
        <v>0</v>
      </c>
      <c r="L304" s="164">
        <f t="shared" si="60"/>
        <v>0</v>
      </c>
      <c r="M304" s="164">
        <f t="shared" si="60"/>
        <v>0</v>
      </c>
      <c r="N304" s="164">
        <f t="shared" si="57"/>
        <v>0</v>
      </c>
      <c r="O304" s="164">
        <f t="shared" si="49"/>
        <v>0</v>
      </c>
      <c r="P304" s="164">
        <f t="shared" si="50"/>
        <v>0</v>
      </c>
      <c r="Q304" s="164">
        <f t="shared" si="51"/>
        <v>0</v>
      </c>
      <c r="R304" s="164">
        <f t="shared" si="59"/>
        <v>0</v>
      </c>
      <c r="S304" s="164">
        <f t="shared" si="52"/>
        <v>0</v>
      </c>
      <c r="T304" s="164">
        <f t="shared" si="53"/>
        <v>0</v>
      </c>
    </row>
    <row r="305" spans="6:20" x14ac:dyDescent="0.2">
      <c r="F305" s="158">
        <v>294</v>
      </c>
      <c r="G305" s="249">
        <f t="shared" si="54"/>
        <v>52596</v>
      </c>
      <c r="H305" s="158">
        <f t="shared" si="58"/>
        <v>31</v>
      </c>
      <c r="I305" s="254">
        <v>9.9900000000000003E-2</v>
      </c>
      <c r="J305" s="164">
        <f t="shared" si="55"/>
        <v>0</v>
      </c>
      <c r="K305" s="164">
        <f t="shared" si="56"/>
        <v>0</v>
      </c>
      <c r="L305" s="164">
        <f t="shared" si="60"/>
        <v>0</v>
      </c>
      <c r="M305" s="164">
        <f t="shared" si="60"/>
        <v>0</v>
      </c>
      <c r="N305" s="164">
        <f t="shared" si="57"/>
        <v>0</v>
      </c>
      <c r="O305" s="164">
        <f t="shared" si="49"/>
        <v>0</v>
      </c>
      <c r="P305" s="164">
        <f t="shared" si="50"/>
        <v>0</v>
      </c>
      <c r="Q305" s="164">
        <f t="shared" si="51"/>
        <v>0</v>
      </c>
      <c r="R305" s="164">
        <f t="shared" si="59"/>
        <v>0</v>
      </c>
      <c r="S305" s="164">
        <f t="shared" si="52"/>
        <v>0</v>
      </c>
      <c r="T305" s="164">
        <f t="shared" si="53"/>
        <v>0</v>
      </c>
    </row>
    <row r="306" spans="6:20" x14ac:dyDescent="0.2">
      <c r="F306" s="158">
        <v>295</v>
      </c>
      <c r="G306" s="249">
        <f t="shared" si="54"/>
        <v>52627</v>
      </c>
      <c r="H306" s="158">
        <f t="shared" si="58"/>
        <v>31</v>
      </c>
      <c r="I306" s="254">
        <v>9.9900000000000003E-2</v>
      </c>
      <c r="J306" s="164">
        <f t="shared" si="55"/>
        <v>0</v>
      </c>
      <c r="K306" s="164">
        <f t="shared" si="56"/>
        <v>0</v>
      </c>
      <c r="L306" s="164">
        <f t="shared" si="60"/>
        <v>0</v>
      </c>
      <c r="M306" s="164">
        <f t="shared" si="60"/>
        <v>0</v>
      </c>
      <c r="N306" s="164">
        <f t="shared" si="57"/>
        <v>0</v>
      </c>
      <c r="O306" s="164">
        <f t="shared" si="49"/>
        <v>0</v>
      </c>
      <c r="P306" s="164">
        <f t="shared" si="50"/>
        <v>0</v>
      </c>
      <c r="Q306" s="164">
        <f t="shared" si="51"/>
        <v>0</v>
      </c>
      <c r="R306" s="164">
        <f t="shared" si="59"/>
        <v>0</v>
      </c>
      <c r="S306" s="164">
        <f t="shared" si="52"/>
        <v>0</v>
      </c>
      <c r="T306" s="164">
        <f t="shared" si="53"/>
        <v>0</v>
      </c>
    </row>
    <row r="307" spans="6:20" x14ac:dyDescent="0.2">
      <c r="F307" s="158">
        <v>296</v>
      </c>
      <c r="G307" s="249">
        <f t="shared" si="54"/>
        <v>52656</v>
      </c>
      <c r="H307" s="158">
        <f t="shared" si="58"/>
        <v>29</v>
      </c>
      <c r="I307" s="254">
        <v>9.9900000000000003E-2</v>
      </c>
      <c r="J307" s="164">
        <f t="shared" si="55"/>
        <v>0</v>
      </c>
      <c r="K307" s="164">
        <f t="shared" si="56"/>
        <v>0</v>
      </c>
      <c r="L307" s="164">
        <f t="shared" si="60"/>
        <v>0</v>
      </c>
      <c r="M307" s="164">
        <f t="shared" si="60"/>
        <v>0</v>
      </c>
      <c r="N307" s="164">
        <f t="shared" si="57"/>
        <v>0</v>
      </c>
      <c r="O307" s="164">
        <f t="shared" si="49"/>
        <v>0</v>
      </c>
      <c r="P307" s="164">
        <f t="shared" si="50"/>
        <v>0</v>
      </c>
      <c r="Q307" s="164">
        <f t="shared" si="51"/>
        <v>0</v>
      </c>
      <c r="R307" s="164">
        <f t="shared" si="59"/>
        <v>0</v>
      </c>
      <c r="S307" s="164">
        <f t="shared" si="52"/>
        <v>0</v>
      </c>
      <c r="T307" s="164">
        <f t="shared" si="53"/>
        <v>0</v>
      </c>
    </row>
    <row r="308" spans="6:20" x14ac:dyDescent="0.2">
      <c r="F308" s="158">
        <v>297</v>
      </c>
      <c r="G308" s="249">
        <f t="shared" si="54"/>
        <v>52687</v>
      </c>
      <c r="H308" s="158">
        <f t="shared" si="58"/>
        <v>31</v>
      </c>
      <c r="I308" s="254">
        <v>9.9900000000000003E-2</v>
      </c>
      <c r="J308" s="164">
        <f t="shared" si="55"/>
        <v>0</v>
      </c>
      <c r="K308" s="164">
        <f t="shared" si="56"/>
        <v>0</v>
      </c>
      <c r="L308" s="164">
        <f t="shared" si="60"/>
        <v>0</v>
      </c>
      <c r="M308" s="164">
        <f t="shared" si="60"/>
        <v>0</v>
      </c>
      <c r="N308" s="164">
        <f t="shared" si="57"/>
        <v>0</v>
      </c>
      <c r="O308" s="164">
        <f t="shared" si="49"/>
        <v>0</v>
      </c>
      <c r="P308" s="164">
        <f t="shared" si="50"/>
        <v>0</v>
      </c>
      <c r="Q308" s="164">
        <f t="shared" si="51"/>
        <v>0</v>
      </c>
      <c r="R308" s="164">
        <f t="shared" si="59"/>
        <v>0</v>
      </c>
      <c r="S308" s="164">
        <f t="shared" si="52"/>
        <v>0</v>
      </c>
      <c r="T308" s="164">
        <f t="shared" si="53"/>
        <v>0</v>
      </c>
    </row>
    <row r="309" spans="6:20" x14ac:dyDescent="0.2">
      <c r="F309" s="158">
        <v>298</v>
      </c>
      <c r="G309" s="249">
        <f t="shared" si="54"/>
        <v>52717</v>
      </c>
      <c r="H309" s="158">
        <f t="shared" si="58"/>
        <v>30</v>
      </c>
      <c r="I309" s="254">
        <v>9.9900000000000003E-2</v>
      </c>
      <c r="J309" s="164">
        <f t="shared" si="55"/>
        <v>0</v>
      </c>
      <c r="K309" s="164">
        <f t="shared" si="56"/>
        <v>0</v>
      </c>
      <c r="L309" s="164">
        <f t="shared" si="60"/>
        <v>0</v>
      </c>
      <c r="M309" s="164">
        <f t="shared" si="60"/>
        <v>0</v>
      </c>
      <c r="N309" s="164">
        <f t="shared" si="57"/>
        <v>0</v>
      </c>
      <c r="O309" s="164">
        <f t="shared" si="49"/>
        <v>0</v>
      </c>
      <c r="P309" s="164">
        <f t="shared" si="50"/>
        <v>0</v>
      </c>
      <c r="Q309" s="164">
        <f t="shared" si="51"/>
        <v>0</v>
      </c>
      <c r="R309" s="164">
        <f t="shared" si="59"/>
        <v>0</v>
      </c>
      <c r="S309" s="164">
        <f t="shared" si="52"/>
        <v>0</v>
      </c>
      <c r="T309" s="164">
        <f t="shared" si="53"/>
        <v>0</v>
      </c>
    </row>
    <row r="310" spans="6:20" x14ac:dyDescent="0.2">
      <c r="F310" s="158">
        <v>299</v>
      </c>
      <c r="G310" s="249">
        <f t="shared" si="54"/>
        <v>52748</v>
      </c>
      <c r="H310" s="158">
        <f t="shared" si="58"/>
        <v>31</v>
      </c>
      <c r="I310" s="254">
        <v>9.9900000000000003E-2</v>
      </c>
      <c r="J310" s="164">
        <f t="shared" si="55"/>
        <v>0</v>
      </c>
      <c r="K310" s="164">
        <f t="shared" si="56"/>
        <v>0</v>
      </c>
      <c r="L310" s="164">
        <f t="shared" si="60"/>
        <v>0</v>
      </c>
      <c r="M310" s="164">
        <f t="shared" si="60"/>
        <v>0</v>
      </c>
      <c r="N310" s="164">
        <f t="shared" si="57"/>
        <v>0</v>
      </c>
      <c r="O310" s="164">
        <f t="shared" si="49"/>
        <v>0</v>
      </c>
      <c r="P310" s="164">
        <f t="shared" si="50"/>
        <v>0</v>
      </c>
      <c r="Q310" s="164">
        <f t="shared" si="51"/>
        <v>0</v>
      </c>
      <c r="R310" s="164">
        <f t="shared" si="59"/>
        <v>0</v>
      </c>
      <c r="S310" s="164">
        <f t="shared" si="52"/>
        <v>0</v>
      </c>
      <c r="T310" s="164">
        <f t="shared" si="53"/>
        <v>0</v>
      </c>
    </row>
    <row r="311" spans="6:20" x14ac:dyDescent="0.2">
      <c r="F311" s="158">
        <v>300</v>
      </c>
      <c r="G311" s="249">
        <f t="shared" si="54"/>
        <v>52778</v>
      </c>
      <c r="H311" s="158">
        <f t="shared" si="58"/>
        <v>30</v>
      </c>
      <c r="I311" s="254">
        <v>9.9900000000000003E-2</v>
      </c>
      <c r="J311" s="164">
        <f t="shared" si="55"/>
        <v>0</v>
      </c>
      <c r="K311" s="164">
        <f t="shared" si="56"/>
        <v>0</v>
      </c>
      <c r="L311" s="164">
        <f t="shared" si="60"/>
        <v>0</v>
      </c>
      <c r="M311" s="164">
        <f t="shared" si="60"/>
        <v>0</v>
      </c>
      <c r="N311" s="164">
        <f t="shared" si="57"/>
        <v>0</v>
      </c>
      <c r="O311" s="164">
        <f t="shared" si="49"/>
        <v>0</v>
      </c>
      <c r="P311" s="164">
        <f t="shared" si="50"/>
        <v>0</v>
      </c>
      <c r="Q311" s="164">
        <f t="shared" si="51"/>
        <v>0</v>
      </c>
      <c r="R311" s="164">
        <f t="shared" si="59"/>
        <v>0</v>
      </c>
      <c r="S311" s="164">
        <f t="shared" si="52"/>
        <v>0</v>
      </c>
      <c r="T311" s="164">
        <f t="shared" si="53"/>
        <v>0</v>
      </c>
    </row>
    <row r="312" spans="6:20" x14ac:dyDescent="0.2">
      <c r="F312" s="158">
        <v>301</v>
      </c>
      <c r="G312" s="249">
        <f t="shared" ref="G312:G372" si="61">EOMONTH($D$9,F312-1)</f>
        <v>52809</v>
      </c>
      <c r="H312" s="158">
        <f t="shared" ref="H312:H372" si="62">G312-G311</f>
        <v>31</v>
      </c>
      <c r="I312" s="254">
        <v>9.9900000000000003E-2</v>
      </c>
      <c r="J312" s="164">
        <f t="shared" ref="J312:J372" si="63">IF(F312=$D$4,K312+N312,MIN($D$5,K312+N312))</f>
        <v>0</v>
      </c>
      <c r="K312" s="164">
        <f t="shared" ref="K312:K372" si="64">L312+M312</f>
        <v>0</v>
      </c>
      <c r="L312" s="164">
        <f t="shared" ref="L312:L372" si="65">S311</f>
        <v>0</v>
      </c>
      <c r="M312" s="164">
        <f t="shared" ref="M312:M372" si="66">T311</f>
        <v>0</v>
      </c>
      <c r="N312" s="164">
        <f t="shared" ref="N312:N372" si="67">L312*I312/365.25*H312</f>
        <v>0</v>
      </c>
      <c r="O312" s="164">
        <f t="shared" ref="O312:O372" si="68">MIN(J312-Q312-P312,L312)</f>
        <v>0</v>
      </c>
      <c r="P312" s="164">
        <f t="shared" ref="P312:P372" si="69">MIN(J312-Q312,N312)</f>
        <v>0</v>
      </c>
      <c r="Q312" s="164">
        <f t="shared" ref="Q312:Q372" si="70">MIN(J312,M312)</f>
        <v>0</v>
      </c>
      <c r="R312" s="164">
        <f t="shared" ref="R312:R372" si="71">MAX(N312-P312,0)</f>
        <v>0</v>
      </c>
      <c r="S312" s="164">
        <f t="shared" ref="S312:S372" si="72">L312-O312</f>
        <v>0</v>
      </c>
      <c r="T312" s="164">
        <f t="shared" ref="T312:T372" si="73">M312+R312-Q312</f>
        <v>0</v>
      </c>
    </row>
    <row r="313" spans="6:20" x14ac:dyDescent="0.2">
      <c r="F313" s="158">
        <v>302</v>
      </c>
      <c r="G313" s="249">
        <f t="shared" si="61"/>
        <v>52840</v>
      </c>
      <c r="H313" s="158">
        <f t="shared" si="62"/>
        <v>31</v>
      </c>
      <c r="I313" s="254">
        <v>9.9900000000000003E-2</v>
      </c>
      <c r="J313" s="164">
        <f t="shared" si="63"/>
        <v>0</v>
      </c>
      <c r="K313" s="164">
        <f t="shared" si="64"/>
        <v>0</v>
      </c>
      <c r="L313" s="164">
        <f t="shared" si="65"/>
        <v>0</v>
      </c>
      <c r="M313" s="164">
        <f t="shared" si="66"/>
        <v>0</v>
      </c>
      <c r="N313" s="164">
        <f t="shared" si="67"/>
        <v>0</v>
      </c>
      <c r="O313" s="164">
        <f t="shared" si="68"/>
        <v>0</v>
      </c>
      <c r="P313" s="164">
        <f t="shared" si="69"/>
        <v>0</v>
      </c>
      <c r="Q313" s="164">
        <f t="shared" si="70"/>
        <v>0</v>
      </c>
      <c r="R313" s="164">
        <f t="shared" si="71"/>
        <v>0</v>
      </c>
      <c r="S313" s="164">
        <f t="shared" si="72"/>
        <v>0</v>
      </c>
      <c r="T313" s="164">
        <f t="shared" si="73"/>
        <v>0</v>
      </c>
    </row>
    <row r="314" spans="6:20" x14ac:dyDescent="0.2">
      <c r="F314" s="158">
        <v>303</v>
      </c>
      <c r="G314" s="249">
        <f t="shared" si="61"/>
        <v>52870</v>
      </c>
      <c r="H314" s="158">
        <f t="shared" si="62"/>
        <v>30</v>
      </c>
      <c r="I314" s="254">
        <v>9.9900000000000003E-2</v>
      </c>
      <c r="J314" s="164">
        <f t="shared" si="63"/>
        <v>0</v>
      </c>
      <c r="K314" s="164">
        <f t="shared" si="64"/>
        <v>0</v>
      </c>
      <c r="L314" s="164">
        <f t="shared" si="65"/>
        <v>0</v>
      </c>
      <c r="M314" s="164">
        <f t="shared" si="66"/>
        <v>0</v>
      </c>
      <c r="N314" s="164">
        <f t="shared" si="67"/>
        <v>0</v>
      </c>
      <c r="O314" s="164">
        <f t="shared" si="68"/>
        <v>0</v>
      </c>
      <c r="P314" s="164">
        <f t="shared" si="69"/>
        <v>0</v>
      </c>
      <c r="Q314" s="164">
        <f t="shared" si="70"/>
        <v>0</v>
      </c>
      <c r="R314" s="164">
        <f t="shared" si="71"/>
        <v>0</v>
      </c>
      <c r="S314" s="164">
        <f t="shared" si="72"/>
        <v>0</v>
      </c>
      <c r="T314" s="164">
        <f t="shared" si="73"/>
        <v>0</v>
      </c>
    </row>
    <row r="315" spans="6:20" x14ac:dyDescent="0.2">
      <c r="F315" s="158">
        <v>304</v>
      </c>
      <c r="G315" s="249">
        <f t="shared" si="61"/>
        <v>52901</v>
      </c>
      <c r="H315" s="158">
        <f t="shared" si="62"/>
        <v>31</v>
      </c>
      <c r="I315" s="254">
        <v>9.9900000000000003E-2</v>
      </c>
      <c r="J315" s="164">
        <f t="shared" si="63"/>
        <v>0</v>
      </c>
      <c r="K315" s="164">
        <f t="shared" si="64"/>
        <v>0</v>
      </c>
      <c r="L315" s="164">
        <f t="shared" si="65"/>
        <v>0</v>
      </c>
      <c r="M315" s="164">
        <f t="shared" si="66"/>
        <v>0</v>
      </c>
      <c r="N315" s="164">
        <f t="shared" si="67"/>
        <v>0</v>
      </c>
      <c r="O315" s="164">
        <f t="shared" si="68"/>
        <v>0</v>
      </c>
      <c r="P315" s="164">
        <f t="shared" si="69"/>
        <v>0</v>
      </c>
      <c r="Q315" s="164">
        <f t="shared" si="70"/>
        <v>0</v>
      </c>
      <c r="R315" s="164">
        <f t="shared" si="71"/>
        <v>0</v>
      </c>
      <c r="S315" s="164">
        <f t="shared" si="72"/>
        <v>0</v>
      </c>
      <c r="T315" s="164">
        <f t="shared" si="73"/>
        <v>0</v>
      </c>
    </row>
    <row r="316" spans="6:20" x14ac:dyDescent="0.2">
      <c r="F316" s="158">
        <v>305</v>
      </c>
      <c r="G316" s="249">
        <f t="shared" si="61"/>
        <v>52931</v>
      </c>
      <c r="H316" s="158">
        <f t="shared" si="62"/>
        <v>30</v>
      </c>
      <c r="I316" s="254">
        <v>9.9900000000000003E-2</v>
      </c>
      <c r="J316" s="164">
        <f t="shared" si="63"/>
        <v>0</v>
      </c>
      <c r="K316" s="164">
        <f t="shared" si="64"/>
        <v>0</v>
      </c>
      <c r="L316" s="164">
        <f t="shared" si="65"/>
        <v>0</v>
      </c>
      <c r="M316" s="164">
        <f t="shared" si="66"/>
        <v>0</v>
      </c>
      <c r="N316" s="164">
        <f t="shared" si="67"/>
        <v>0</v>
      </c>
      <c r="O316" s="164">
        <f t="shared" si="68"/>
        <v>0</v>
      </c>
      <c r="P316" s="164">
        <f t="shared" si="69"/>
        <v>0</v>
      </c>
      <c r="Q316" s="164">
        <f t="shared" si="70"/>
        <v>0</v>
      </c>
      <c r="R316" s="164">
        <f t="shared" si="71"/>
        <v>0</v>
      </c>
      <c r="S316" s="164">
        <f t="shared" si="72"/>
        <v>0</v>
      </c>
      <c r="T316" s="164">
        <f t="shared" si="73"/>
        <v>0</v>
      </c>
    </row>
    <row r="317" spans="6:20" x14ac:dyDescent="0.2">
      <c r="F317" s="158">
        <v>306</v>
      </c>
      <c r="G317" s="249">
        <f t="shared" si="61"/>
        <v>52962</v>
      </c>
      <c r="H317" s="158">
        <f t="shared" si="62"/>
        <v>31</v>
      </c>
      <c r="I317" s="254">
        <v>9.9900000000000003E-2</v>
      </c>
      <c r="J317" s="164">
        <f t="shared" si="63"/>
        <v>0</v>
      </c>
      <c r="K317" s="164">
        <f t="shared" si="64"/>
        <v>0</v>
      </c>
      <c r="L317" s="164">
        <f t="shared" si="65"/>
        <v>0</v>
      </c>
      <c r="M317" s="164">
        <f t="shared" si="66"/>
        <v>0</v>
      </c>
      <c r="N317" s="164">
        <f t="shared" si="67"/>
        <v>0</v>
      </c>
      <c r="O317" s="164">
        <f t="shared" si="68"/>
        <v>0</v>
      </c>
      <c r="P317" s="164">
        <f t="shared" si="69"/>
        <v>0</v>
      </c>
      <c r="Q317" s="164">
        <f t="shared" si="70"/>
        <v>0</v>
      </c>
      <c r="R317" s="164">
        <f t="shared" si="71"/>
        <v>0</v>
      </c>
      <c r="S317" s="164">
        <f t="shared" si="72"/>
        <v>0</v>
      </c>
      <c r="T317" s="164">
        <f t="shared" si="73"/>
        <v>0</v>
      </c>
    </row>
    <row r="318" spans="6:20" x14ac:dyDescent="0.2">
      <c r="F318" s="158">
        <v>307</v>
      </c>
      <c r="G318" s="249">
        <f t="shared" si="61"/>
        <v>52993</v>
      </c>
      <c r="H318" s="158">
        <f t="shared" si="62"/>
        <v>31</v>
      </c>
      <c r="I318" s="254">
        <v>9.9900000000000003E-2</v>
      </c>
      <c r="J318" s="164">
        <f t="shared" si="63"/>
        <v>0</v>
      </c>
      <c r="K318" s="164">
        <f t="shared" si="64"/>
        <v>0</v>
      </c>
      <c r="L318" s="164">
        <f t="shared" si="65"/>
        <v>0</v>
      </c>
      <c r="M318" s="164">
        <f t="shared" si="66"/>
        <v>0</v>
      </c>
      <c r="N318" s="164">
        <f t="shared" si="67"/>
        <v>0</v>
      </c>
      <c r="O318" s="164">
        <f t="shared" si="68"/>
        <v>0</v>
      </c>
      <c r="P318" s="164">
        <f t="shared" si="69"/>
        <v>0</v>
      </c>
      <c r="Q318" s="164">
        <f t="shared" si="70"/>
        <v>0</v>
      </c>
      <c r="R318" s="164">
        <f t="shared" si="71"/>
        <v>0</v>
      </c>
      <c r="S318" s="164">
        <f t="shared" si="72"/>
        <v>0</v>
      </c>
      <c r="T318" s="164">
        <f t="shared" si="73"/>
        <v>0</v>
      </c>
    </row>
    <row r="319" spans="6:20" x14ac:dyDescent="0.2">
      <c r="F319" s="158">
        <v>308</v>
      </c>
      <c r="G319" s="249">
        <f t="shared" si="61"/>
        <v>53021</v>
      </c>
      <c r="H319" s="158">
        <f t="shared" si="62"/>
        <v>28</v>
      </c>
      <c r="I319" s="254">
        <v>9.9900000000000003E-2</v>
      </c>
      <c r="J319" s="164">
        <f t="shared" si="63"/>
        <v>0</v>
      </c>
      <c r="K319" s="164">
        <f t="shared" si="64"/>
        <v>0</v>
      </c>
      <c r="L319" s="164">
        <f t="shared" si="65"/>
        <v>0</v>
      </c>
      <c r="M319" s="164">
        <f t="shared" si="66"/>
        <v>0</v>
      </c>
      <c r="N319" s="164">
        <f t="shared" si="67"/>
        <v>0</v>
      </c>
      <c r="O319" s="164">
        <f t="shared" si="68"/>
        <v>0</v>
      </c>
      <c r="P319" s="164">
        <f t="shared" si="69"/>
        <v>0</v>
      </c>
      <c r="Q319" s="164">
        <f t="shared" si="70"/>
        <v>0</v>
      </c>
      <c r="R319" s="164">
        <f t="shared" si="71"/>
        <v>0</v>
      </c>
      <c r="S319" s="164">
        <f t="shared" si="72"/>
        <v>0</v>
      </c>
      <c r="T319" s="164">
        <f t="shared" si="73"/>
        <v>0</v>
      </c>
    </row>
    <row r="320" spans="6:20" x14ac:dyDescent="0.2">
      <c r="F320" s="158">
        <v>309</v>
      </c>
      <c r="G320" s="249">
        <f t="shared" si="61"/>
        <v>53052</v>
      </c>
      <c r="H320" s="158">
        <f t="shared" si="62"/>
        <v>31</v>
      </c>
      <c r="I320" s="254">
        <v>9.9900000000000003E-2</v>
      </c>
      <c r="J320" s="164">
        <f t="shared" si="63"/>
        <v>0</v>
      </c>
      <c r="K320" s="164">
        <f t="shared" si="64"/>
        <v>0</v>
      </c>
      <c r="L320" s="164">
        <f t="shared" si="65"/>
        <v>0</v>
      </c>
      <c r="M320" s="164">
        <f t="shared" si="66"/>
        <v>0</v>
      </c>
      <c r="N320" s="164">
        <f t="shared" si="67"/>
        <v>0</v>
      </c>
      <c r="O320" s="164">
        <f t="shared" si="68"/>
        <v>0</v>
      </c>
      <c r="P320" s="164">
        <f t="shared" si="69"/>
        <v>0</v>
      </c>
      <c r="Q320" s="164">
        <f t="shared" si="70"/>
        <v>0</v>
      </c>
      <c r="R320" s="164">
        <f t="shared" si="71"/>
        <v>0</v>
      </c>
      <c r="S320" s="164">
        <f t="shared" si="72"/>
        <v>0</v>
      </c>
      <c r="T320" s="164">
        <f t="shared" si="73"/>
        <v>0</v>
      </c>
    </row>
    <row r="321" spans="6:20" x14ac:dyDescent="0.2">
      <c r="F321" s="158">
        <v>310</v>
      </c>
      <c r="G321" s="249">
        <f t="shared" si="61"/>
        <v>53082</v>
      </c>
      <c r="H321" s="158">
        <f t="shared" si="62"/>
        <v>30</v>
      </c>
      <c r="I321" s="254">
        <v>9.9900000000000003E-2</v>
      </c>
      <c r="J321" s="164">
        <f t="shared" si="63"/>
        <v>0</v>
      </c>
      <c r="K321" s="164">
        <f t="shared" si="64"/>
        <v>0</v>
      </c>
      <c r="L321" s="164">
        <f t="shared" si="65"/>
        <v>0</v>
      </c>
      <c r="M321" s="164">
        <f t="shared" si="66"/>
        <v>0</v>
      </c>
      <c r="N321" s="164">
        <f t="shared" si="67"/>
        <v>0</v>
      </c>
      <c r="O321" s="164">
        <f t="shared" si="68"/>
        <v>0</v>
      </c>
      <c r="P321" s="164">
        <f t="shared" si="69"/>
        <v>0</v>
      </c>
      <c r="Q321" s="164">
        <f t="shared" si="70"/>
        <v>0</v>
      </c>
      <c r="R321" s="164">
        <f t="shared" si="71"/>
        <v>0</v>
      </c>
      <c r="S321" s="164">
        <f t="shared" si="72"/>
        <v>0</v>
      </c>
      <c r="T321" s="164">
        <f t="shared" si="73"/>
        <v>0</v>
      </c>
    </row>
    <row r="322" spans="6:20" x14ac:dyDescent="0.2">
      <c r="F322" s="158">
        <v>311</v>
      </c>
      <c r="G322" s="249">
        <f t="shared" si="61"/>
        <v>53113</v>
      </c>
      <c r="H322" s="158">
        <f t="shared" si="62"/>
        <v>31</v>
      </c>
      <c r="I322" s="254">
        <v>9.9900000000000003E-2</v>
      </c>
      <c r="J322" s="164">
        <f t="shared" si="63"/>
        <v>0</v>
      </c>
      <c r="K322" s="164">
        <f t="shared" si="64"/>
        <v>0</v>
      </c>
      <c r="L322" s="164">
        <f t="shared" si="65"/>
        <v>0</v>
      </c>
      <c r="M322" s="164">
        <f t="shared" si="66"/>
        <v>0</v>
      </c>
      <c r="N322" s="164">
        <f t="shared" si="67"/>
        <v>0</v>
      </c>
      <c r="O322" s="164">
        <f t="shared" si="68"/>
        <v>0</v>
      </c>
      <c r="P322" s="164">
        <f t="shared" si="69"/>
        <v>0</v>
      </c>
      <c r="Q322" s="164">
        <f t="shared" si="70"/>
        <v>0</v>
      </c>
      <c r="R322" s="164">
        <f t="shared" si="71"/>
        <v>0</v>
      </c>
      <c r="S322" s="164">
        <f t="shared" si="72"/>
        <v>0</v>
      </c>
      <c r="T322" s="164">
        <f t="shared" si="73"/>
        <v>0</v>
      </c>
    </row>
    <row r="323" spans="6:20" x14ac:dyDescent="0.2">
      <c r="F323" s="158">
        <v>312</v>
      </c>
      <c r="G323" s="249">
        <f t="shared" si="61"/>
        <v>53143</v>
      </c>
      <c r="H323" s="158">
        <f t="shared" si="62"/>
        <v>30</v>
      </c>
      <c r="I323" s="254">
        <v>9.9900000000000003E-2</v>
      </c>
      <c r="J323" s="164">
        <f t="shared" si="63"/>
        <v>0</v>
      </c>
      <c r="K323" s="164">
        <f t="shared" si="64"/>
        <v>0</v>
      </c>
      <c r="L323" s="164">
        <f t="shared" si="65"/>
        <v>0</v>
      </c>
      <c r="M323" s="164">
        <f t="shared" si="66"/>
        <v>0</v>
      </c>
      <c r="N323" s="164">
        <f t="shared" si="67"/>
        <v>0</v>
      </c>
      <c r="O323" s="164">
        <f t="shared" si="68"/>
        <v>0</v>
      </c>
      <c r="P323" s="164">
        <f t="shared" si="69"/>
        <v>0</v>
      </c>
      <c r="Q323" s="164">
        <f t="shared" si="70"/>
        <v>0</v>
      </c>
      <c r="R323" s="164">
        <f t="shared" si="71"/>
        <v>0</v>
      </c>
      <c r="S323" s="164">
        <f t="shared" si="72"/>
        <v>0</v>
      </c>
      <c r="T323" s="164">
        <f t="shared" si="73"/>
        <v>0</v>
      </c>
    </row>
    <row r="324" spans="6:20" x14ac:dyDescent="0.2">
      <c r="F324" s="158">
        <v>313</v>
      </c>
      <c r="G324" s="249">
        <f t="shared" si="61"/>
        <v>53174</v>
      </c>
      <c r="H324" s="158">
        <f t="shared" si="62"/>
        <v>31</v>
      </c>
      <c r="I324" s="254">
        <v>9.9900000000000003E-2</v>
      </c>
      <c r="J324" s="164">
        <f t="shared" si="63"/>
        <v>0</v>
      </c>
      <c r="K324" s="164">
        <f t="shared" si="64"/>
        <v>0</v>
      </c>
      <c r="L324" s="164">
        <f t="shared" si="65"/>
        <v>0</v>
      </c>
      <c r="M324" s="164">
        <f t="shared" si="66"/>
        <v>0</v>
      </c>
      <c r="N324" s="164">
        <f t="shared" si="67"/>
        <v>0</v>
      </c>
      <c r="O324" s="164">
        <f t="shared" si="68"/>
        <v>0</v>
      </c>
      <c r="P324" s="164">
        <f t="shared" si="69"/>
        <v>0</v>
      </c>
      <c r="Q324" s="164">
        <f t="shared" si="70"/>
        <v>0</v>
      </c>
      <c r="R324" s="164">
        <f t="shared" si="71"/>
        <v>0</v>
      </c>
      <c r="S324" s="164">
        <f t="shared" si="72"/>
        <v>0</v>
      </c>
      <c r="T324" s="164">
        <f t="shared" si="73"/>
        <v>0</v>
      </c>
    </row>
    <row r="325" spans="6:20" x14ac:dyDescent="0.2">
      <c r="F325" s="158">
        <v>314</v>
      </c>
      <c r="G325" s="249">
        <f t="shared" si="61"/>
        <v>53205</v>
      </c>
      <c r="H325" s="158">
        <f t="shared" si="62"/>
        <v>31</v>
      </c>
      <c r="I325" s="254">
        <v>9.9900000000000003E-2</v>
      </c>
      <c r="J325" s="164">
        <f t="shared" si="63"/>
        <v>0</v>
      </c>
      <c r="K325" s="164">
        <f t="shared" si="64"/>
        <v>0</v>
      </c>
      <c r="L325" s="164">
        <f t="shared" si="65"/>
        <v>0</v>
      </c>
      <c r="M325" s="164">
        <f t="shared" si="66"/>
        <v>0</v>
      </c>
      <c r="N325" s="164">
        <f t="shared" si="67"/>
        <v>0</v>
      </c>
      <c r="O325" s="164">
        <f t="shared" si="68"/>
        <v>0</v>
      </c>
      <c r="P325" s="164">
        <f t="shared" si="69"/>
        <v>0</v>
      </c>
      <c r="Q325" s="164">
        <f t="shared" si="70"/>
        <v>0</v>
      </c>
      <c r="R325" s="164">
        <f t="shared" si="71"/>
        <v>0</v>
      </c>
      <c r="S325" s="164">
        <f t="shared" si="72"/>
        <v>0</v>
      </c>
      <c r="T325" s="164">
        <f t="shared" si="73"/>
        <v>0</v>
      </c>
    </row>
    <row r="326" spans="6:20" x14ac:dyDescent="0.2">
      <c r="F326" s="158">
        <v>315</v>
      </c>
      <c r="G326" s="249">
        <f t="shared" si="61"/>
        <v>53235</v>
      </c>
      <c r="H326" s="158">
        <f t="shared" si="62"/>
        <v>30</v>
      </c>
      <c r="I326" s="254">
        <v>9.9900000000000003E-2</v>
      </c>
      <c r="J326" s="164">
        <f t="shared" si="63"/>
        <v>0</v>
      </c>
      <c r="K326" s="164">
        <f t="shared" si="64"/>
        <v>0</v>
      </c>
      <c r="L326" s="164">
        <f t="shared" si="65"/>
        <v>0</v>
      </c>
      <c r="M326" s="164">
        <f t="shared" si="66"/>
        <v>0</v>
      </c>
      <c r="N326" s="164">
        <f t="shared" si="67"/>
        <v>0</v>
      </c>
      <c r="O326" s="164">
        <f t="shared" si="68"/>
        <v>0</v>
      </c>
      <c r="P326" s="164">
        <f t="shared" si="69"/>
        <v>0</v>
      </c>
      <c r="Q326" s="164">
        <f t="shared" si="70"/>
        <v>0</v>
      </c>
      <c r="R326" s="164">
        <f t="shared" si="71"/>
        <v>0</v>
      </c>
      <c r="S326" s="164">
        <f t="shared" si="72"/>
        <v>0</v>
      </c>
      <c r="T326" s="164">
        <f t="shared" si="73"/>
        <v>0</v>
      </c>
    </row>
    <row r="327" spans="6:20" x14ac:dyDescent="0.2">
      <c r="F327" s="158">
        <v>316</v>
      </c>
      <c r="G327" s="249">
        <f t="shared" si="61"/>
        <v>53266</v>
      </c>
      <c r="H327" s="158">
        <f t="shared" si="62"/>
        <v>31</v>
      </c>
      <c r="I327" s="254">
        <v>9.9900000000000003E-2</v>
      </c>
      <c r="J327" s="164">
        <f t="shared" si="63"/>
        <v>0</v>
      </c>
      <c r="K327" s="164">
        <f t="shared" si="64"/>
        <v>0</v>
      </c>
      <c r="L327" s="164">
        <f t="shared" si="65"/>
        <v>0</v>
      </c>
      <c r="M327" s="164">
        <f t="shared" si="66"/>
        <v>0</v>
      </c>
      <c r="N327" s="164">
        <f t="shared" si="67"/>
        <v>0</v>
      </c>
      <c r="O327" s="164">
        <f t="shared" si="68"/>
        <v>0</v>
      </c>
      <c r="P327" s="164">
        <f t="shared" si="69"/>
        <v>0</v>
      </c>
      <c r="Q327" s="164">
        <f t="shared" si="70"/>
        <v>0</v>
      </c>
      <c r="R327" s="164">
        <f t="shared" si="71"/>
        <v>0</v>
      </c>
      <c r="S327" s="164">
        <f t="shared" si="72"/>
        <v>0</v>
      </c>
      <c r="T327" s="164">
        <f t="shared" si="73"/>
        <v>0</v>
      </c>
    </row>
    <row r="328" spans="6:20" x14ac:dyDescent="0.2">
      <c r="F328" s="158">
        <v>317</v>
      </c>
      <c r="G328" s="249">
        <f t="shared" si="61"/>
        <v>53296</v>
      </c>
      <c r="H328" s="158">
        <f t="shared" si="62"/>
        <v>30</v>
      </c>
      <c r="I328" s="254">
        <v>9.9900000000000003E-2</v>
      </c>
      <c r="J328" s="164">
        <f t="shared" si="63"/>
        <v>0</v>
      </c>
      <c r="K328" s="164">
        <f t="shared" si="64"/>
        <v>0</v>
      </c>
      <c r="L328" s="164">
        <f t="shared" si="65"/>
        <v>0</v>
      </c>
      <c r="M328" s="164">
        <f t="shared" si="66"/>
        <v>0</v>
      </c>
      <c r="N328" s="164">
        <f t="shared" si="67"/>
        <v>0</v>
      </c>
      <c r="O328" s="164">
        <f t="shared" si="68"/>
        <v>0</v>
      </c>
      <c r="P328" s="164">
        <f t="shared" si="69"/>
        <v>0</v>
      </c>
      <c r="Q328" s="164">
        <f t="shared" si="70"/>
        <v>0</v>
      </c>
      <c r="R328" s="164">
        <f t="shared" si="71"/>
        <v>0</v>
      </c>
      <c r="S328" s="164">
        <f t="shared" si="72"/>
        <v>0</v>
      </c>
      <c r="T328" s="164">
        <f t="shared" si="73"/>
        <v>0</v>
      </c>
    </row>
    <row r="329" spans="6:20" x14ac:dyDescent="0.2">
      <c r="F329" s="158">
        <v>318</v>
      </c>
      <c r="G329" s="249">
        <f t="shared" si="61"/>
        <v>53327</v>
      </c>
      <c r="H329" s="158">
        <f t="shared" si="62"/>
        <v>31</v>
      </c>
      <c r="I329" s="254">
        <v>9.9900000000000003E-2</v>
      </c>
      <c r="J329" s="164">
        <f t="shared" si="63"/>
        <v>0</v>
      </c>
      <c r="K329" s="164">
        <f t="shared" si="64"/>
        <v>0</v>
      </c>
      <c r="L329" s="164">
        <f t="shared" si="65"/>
        <v>0</v>
      </c>
      <c r="M329" s="164">
        <f t="shared" si="66"/>
        <v>0</v>
      </c>
      <c r="N329" s="164">
        <f t="shared" si="67"/>
        <v>0</v>
      </c>
      <c r="O329" s="164">
        <f t="shared" si="68"/>
        <v>0</v>
      </c>
      <c r="P329" s="164">
        <f t="shared" si="69"/>
        <v>0</v>
      </c>
      <c r="Q329" s="164">
        <f t="shared" si="70"/>
        <v>0</v>
      </c>
      <c r="R329" s="164">
        <f t="shared" si="71"/>
        <v>0</v>
      </c>
      <c r="S329" s="164">
        <f t="shared" si="72"/>
        <v>0</v>
      </c>
      <c r="T329" s="164">
        <f t="shared" si="73"/>
        <v>0</v>
      </c>
    </row>
    <row r="330" spans="6:20" x14ac:dyDescent="0.2">
      <c r="F330" s="158">
        <v>319</v>
      </c>
      <c r="G330" s="249">
        <f t="shared" si="61"/>
        <v>53358</v>
      </c>
      <c r="H330" s="158">
        <f t="shared" si="62"/>
        <v>31</v>
      </c>
      <c r="I330" s="254">
        <v>9.9900000000000003E-2</v>
      </c>
      <c r="J330" s="164">
        <f t="shared" si="63"/>
        <v>0</v>
      </c>
      <c r="K330" s="164">
        <f t="shared" si="64"/>
        <v>0</v>
      </c>
      <c r="L330" s="164">
        <f t="shared" si="65"/>
        <v>0</v>
      </c>
      <c r="M330" s="164">
        <f t="shared" si="66"/>
        <v>0</v>
      </c>
      <c r="N330" s="164">
        <f t="shared" si="67"/>
        <v>0</v>
      </c>
      <c r="O330" s="164">
        <f t="shared" si="68"/>
        <v>0</v>
      </c>
      <c r="P330" s="164">
        <f t="shared" si="69"/>
        <v>0</v>
      </c>
      <c r="Q330" s="164">
        <f t="shared" si="70"/>
        <v>0</v>
      </c>
      <c r="R330" s="164">
        <f t="shared" si="71"/>
        <v>0</v>
      </c>
      <c r="S330" s="164">
        <f t="shared" si="72"/>
        <v>0</v>
      </c>
      <c r="T330" s="164">
        <f t="shared" si="73"/>
        <v>0</v>
      </c>
    </row>
    <row r="331" spans="6:20" x14ac:dyDescent="0.2">
      <c r="F331" s="158">
        <v>320</v>
      </c>
      <c r="G331" s="249">
        <f t="shared" si="61"/>
        <v>53386</v>
      </c>
      <c r="H331" s="158">
        <f t="shared" si="62"/>
        <v>28</v>
      </c>
      <c r="I331" s="254">
        <v>9.9900000000000003E-2</v>
      </c>
      <c r="J331" s="164">
        <f t="shared" si="63"/>
        <v>0</v>
      </c>
      <c r="K331" s="164">
        <f t="shared" si="64"/>
        <v>0</v>
      </c>
      <c r="L331" s="164">
        <f t="shared" si="65"/>
        <v>0</v>
      </c>
      <c r="M331" s="164">
        <f t="shared" si="66"/>
        <v>0</v>
      </c>
      <c r="N331" s="164">
        <f t="shared" si="67"/>
        <v>0</v>
      </c>
      <c r="O331" s="164">
        <f t="shared" si="68"/>
        <v>0</v>
      </c>
      <c r="P331" s="164">
        <f t="shared" si="69"/>
        <v>0</v>
      </c>
      <c r="Q331" s="164">
        <f t="shared" si="70"/>
        <v>0</v>
      </c>
      <c r="R331" s="164">
        <f t="shared" si="71"/>
        <v>0</v>
      </c>
      <c r="S331" s="164">
        <f t="shared" si="72"/>
        <v>0</v>
      </c>
      <c r="T331" s="164">
        <f t="shared" si="73"/>
        <v>0</v>
      </c>
    </row>
    <row r="332" spans="6:20" x14ac:dyDescent="0.2">
      <c r="F332" s="158">
        <v>321</v>
      </c>
      <c r="G332" s="249">
        <f t="shared" si="61"/>
        <v>53417</v>
      </c>
      <c r="H332" s="158">
        <f t="shared" si="62"/>
        <v>31</v>
      </c>
      <c r="I332" s="254">
        <v>9.9900000000000003E-2</v>
      </c>
      <c r="J332" s="164">
        <f t="shared" si="63"/>
        <v>0</v>
      </c>
      <c r="K332" s="164">
        <f t="shared" si="64"/>
        <v>0</v>
      </c>
      <c r="L332" s="164">
        <f t="shared" si="65"/>
        <v>0</v>
      </c>
      <c r="M332" s="164">
        <f t="shared" si="66"/>
        <v>0</v>
      </c>
      <c r="N332" s="164">
        <f t="shared" si="67"/>
        <v>0</v>
      </c>
      <c r="O332" s="164">
        <f t="shared" si="68"/>
        <v>0</v>
      </c>
      <c r="P332" s="164">
        <f t="shared" si="69"/>
        <v>0</v>
      </c>
      <c r="Q332" s="164">
        <f t="shared" si="70"/>
        <v>0</v>
      </c>
      <c r="R332" s="164">
        <f t="shared" si="71"/>
        <v>0</v>
      </c>
      <c r="S332" s="164">
        <f t="shared" si="72"/>
        <v>0</v>
      </c>
      <c r="T332" s="164">
        <f t="shared" si="73"/>
        <v>0</v>
      </c>
    </row>
    <row r="333" spans="6:20" x14ac:dyDescent="0.2">
      <c r="F333" s="158">
        <v>322</v>
      </c>
      <c r="G333" s="249">
        <f t="shared" si="61"/>
        <v>53447</v>
      </c>
      <c r="H333" s="158">
        <f t="shared" si="62"/>
        <v>30</v>
      </c>
      <c r="I333" s="254">
        <v>9.9900000000000003E-2</v>
      </c>
      <c r="J333" s="164">
        <f t="shared" si="63"/>
        <v>0</v>
      </c>
      <c r="K333" s="164">
        <f t="shared" si="64"/>
        <v>0</v>
      </c>
      <c r="L333" s="164">
        <f t="shared" si="65"/>
        <v>0</v>
      </c>
      <c r="M333" s="164">
        <f t="shared" si="66"/>
        <v>0</v>
      </c>
      <c r="N333" s="164">
        <f t="shared" si="67"/>
        <v>0</v>
      </c>
      <c r="O333" s="164">
        <f t="shared" si="68"/>
        <v>0</v>
      </c>
      <c r="P333" s="164">
        <f t="shared" si="69"/>
        <v>0</v>
      </c>
      <c r="Q333" s="164">
        <f t="shared" si="70"/>
        <v>0</v>
      </c>
      <c r="R333" s="164">
        <f t="shared" si="71"/>
        <v>0</v>
      </c>
      <c r="S333" s="164">
        <f t="shared" si="72"/>
        <v>0</v>
      </c>
      <c r="T333" s="164">
        <f t="shared" si="73"/>
        <v>0</v>
      </c>
    </row>
    <row r="334" spans="6:20" x14ac:dyDescent="0.2">
      <c r="F334" s="158">
        <v>323</v>
      </c>
      <c r="G334" s="249">
        <f t="shared" si="61"/>
        <v>53478</v>
      </c>
      <c r="H334" s="158">
        <f t="shared" si="62"/>
        <v>31</v>
      </c>
      <c r="I334" s="254">
        <v>9.9900000000000003E-2</v>
      </c>
      <c r="J334" s="164">
        <f t="shared" si="63"/>
        <v>0</v>
      </c>
      <c r="K334" s="164">
        <f t="shared" si="64"/>
        <v>0</v>
      </c>
      <c r="L334" s="164">
        <f t="shared" si="65"/>
        <v>0</v>
      </c>
      <c r="M334" s="164">
        <f t="shared" si="66"/>
        <v>0</v>
      </c>
      <c r="N334" s="164">
        <f t="shared" si="67"/>
        <v>0</v>
      </c>
      <c r="O334" s="164">
        <f t="shared" si="68"/>
        <v>0</v>
      </c>
      <c r="P334" s="164">
        <f t="shared" si="69"/>
        <v>0</v>
      </c>
      <c r="Q334" s="164">
        <f t="shared" si="70"/>
        <v>0</v>
      </c>
      <c r="R334" s="164">
        <f t="shared" si="71"/>
        <v>0</v>
      </c>
      <c r="S334" s="164">
        <f t="shared" si="72"/>
        <v>0</v>
      </c>
      <c r="T334" s="164">
        <f t="shared" si="73"/>
        <v>0</v>
      </c>
    </row>
    <row r="335" spans="6:20" x14ac:dyDescent="0.2">
      <c r="F335" s="158">
        <v>324</v>
      </c>
      <c r="G335" s="249">
        <f t="shared" si="61"/>
        <v>53508</v>
      </c>
      <c r="H335" s="158">
        <f t="shared" si="62"/>
        <v>30</v>
      </c>
      <c r="I335" s="254">
        <v>9.9900000000000003E-2</v>
      </c>
      <c r="J335" s="164">
        <f t="shared" si="63"/>
        <v>0</v>
      </c>
      <c r="K335" s="164">
        <f t="shared" si="64"/>
        <v>0</v>
      </c>
      <c r="L335" s="164">
        <f t="shared" si="65"/>
        <v>0</v>
      </c>
      <c r="M335" s="164">
        <f t="shared" si="66"/>
        <v>0</v>
      </c>
      <c r="N335" s="164">
        <f t="shared" si="67"/>
        <v>0</v>
      </c>
      <c r="O335" s="164">
        <f t="shared" si="68"/>
        <v>0</v>
      </c>
      <c r="P335" s="164">
        <f t="shared" si="69"/>
        <v>0</v>
      </c>
      <c r="Q335" s="164">
        <f t="shared" si="70"/>
        <v>0</v>
      </c>
      <c r="R335" s="164">
        <f t="shared" si="71"/>
        <v>0</v>
      </c>
      <c r="S335" s="164">
        <f t="shared" si="72"/>
        <v>0</v>
      </c>
      <c r="T335" s="164">
        <f t="shared" si="73"/>
        <v>0</v>
      </c>
    </row>
    <row r="336" spans="6:20" x14ac:dyDescent="0.2">
      <c r="F336" s="158">
        <v>325</v>
      </c>
      <c r="G336" s="249">
        <f t="shared" si="61"/>
        <v>53539</v>
      </c>
      <c r="H336" s="158">
        <f t="shared" si="62"/>
        <v>31</v>
      </c>
      <c r="I336" s="254">
        <v>9.9900000000000003E-2</v>
      </c>
      <c r="J336" s="164">
        <f t="shared" si="63"/>
        <v>0</v>
      </c>
      <c r="K336" s="164">
        <f t="shared" si="64"/>
        <v>0</v>
      </c>
      <c r="L336" s="164">
        <f t="shared" si="65"/>
        <v>0</v>
      </c>
      <c r="M336" s="164">
        <f t="shared" si="66"/>
        <v>0</v>
      </c>
      <c r="N336" s="164">
        <f t="shared" si="67"/>
        <v>0</v>
      </c>
      <c r="O336" s="164">
        <f t="shared" si="68"/>
        <v>0</v>
      </c>
      <c r="P336" s="164">
        <f t="shared" si="69"/>
        <v>0</v>
      </c>
      <c r="Q336" s="164">
        <f t="shared" si="70"/>
        <v>0</v>
      </c>
      <c r="R336" s="164">
        <f t="shared" si="71"/>
        <v>0</v>
      </c>
      <c r="S336" s="164">
        <f t="shared" si="72"/>
        <v>0</v>
      </c>
      <c r="T336" s="164">
        <f t="shared" si="73"/>
        <v>0</v>
      </c>
    </row>
    <row r="337" spans="6:20" x14ac:dyDescent="0.2">
      <c r="F337" s="158">
        <v>326</v>
      </c>
      <c r="G337" s="249">
        <f t="shared" si="61"/>
        <v>53570</v>
      </c>
      <c r="H337" s="158">
        <f t="shared" si="62"/>
        <v>31</v>
      </c>
      <c r="I337" s="254">
        <v>9.9900000000000003E-2</v>
      </c>
      <c r="J337" s="164">
        <f t="shared" si="63"/>
        <v>0</v>
      </c>
      <c r="K337" s="164">
        <f t="shared" si="64"/>
        <v>0</v>
      </c>
      <c r="L337" s="164">
        <f t="shared" si="65"/>
        <v>0</v>
      </c>
      <c r="M337" s="164">
        <f t="shared" si="66"/>
        <v>0</v>
      </c>
      <c r="N337" s="164">
        <f t="shared" si="67"/>
        <v>0</v>
      </c>
      <c r="O337" s="164">
        <f t="shared" si="68"/>
        <v>0</v>
      </c>
      <c r="P337" s="164">
        <f t="shared" si="69"/>
        <v>0</v>
      </c>
      <c r="Q337" s="164">
        <f t="shared" si="70"/>
        <v>0</v>
      </c>
      <c r="R337" s="164">
        <f t="shared" si="71"/>
        <v>0</v>
      </c>
      <c r="S337" s="164">
        <f t="shared" si="72"/>
        <v>0</v>
      </c>
      <c r="T337" s="164">
        <f t="shared" si="73"/>
        <v>0</v>
      </c>
    </row>
    <row r="338" spans="6:20" x14ac:dyDescent="0.2">
      <c r="F338" s="158">
        <v>327</v>
      </c>
      <c r="G338" s="249">
        <f t="shared" si="61"/>
        <v>53600</v>
      </c>
      <c r="H338" s="158">
        <f t="shared" si="62"/>
        <v>30</v>
      </c>
      <c r="I338" s="254">
        <v>9.9900000000000003E-2</v>
      </c>
      <c r="J338" s="164">
        <f t="shared" si="63"/>
        <v>0</v>
      </c>
      <c r="K338" s="164">
        <f t="shared" si="64"/>
        <v>0</v>
      </c>
      <c r="L338" s="164">
        <f t="shared" si="65"/>
        <v>0</v>
      </c>
      <c r="M338" s="164">
        <f t="shared" si="66"/>
        <v>0</v>
      </c>
      <c r="N338" s="164">
        <f t="shared" si="67"/>
        <v>0</v>
      </c>
      <c r="O338" s="164">
        <f t="shared" si="68"/>
        <v>0</v>
      </c>
      <c r="P338" s="164">
        <f t="shared" si="69"/>
        <v>0</v>
      </c>
      <c r="Q338" s="164">
        <f t="shared" si="70"/>
        <v>0</v>
      </c>
      <c r="R338" s="164">
        <f t="shared" si="71"/>
        <v>0</v>
      </c>
      <c r="S338" s="164">
        <f t="shared" si="72"/>
        <v>0</v>
      </c>
      <c r="T338" s="164">
        <f t="shared" si="73"/>
        <v>0</v>
      </c>
    </row>
    <row r="339" spans="6:20" x14ac:dyDescent="0.2">
      <c r="F339" s="158">
        <v>328</v>
      </c>
      <c r="G339" s="249">
        <f t="shared" si="61"/>
        <v>53631</v>
      </c>
      <c r="H339" s="158">
        <f t="shared" si="62"/>
        <v>31</v>
      </c>
      <c r="I339" s="254">
        <v>9.9900000000000003E-2</v>
      </c>
      <c r="J339" s="164">
        <f t="shared" si="63"/>
        <v>0</v>
      </c>
      <c r="K339" s="164">
        <f t="shared" si="64"/>
        <v>0</v>
      </c>
      <c r="L339" s="164">
        <f t="shared" si="65"/>
        <v>0</v>
      </c>
      <c r="M339" s="164">
        <f t="shared" si="66"/>
        <v>0</v>
      </c>
      <c r="N339" s="164">
        <f t="shared" si="67"/>
        <v>0</v>
      </c>
      <c r="O339" s="164">
        <f t="shared" si="68"/>
        <v>0</v>
      </c>
      <c r="P339" s="164">
        <f t="shared" si="69"/>
        <v>0</v>
      </c>
      <c r="Q339" s="164">
        <f t="shared" si="70"/>
        <v>0</v>
      </c>
      <c r="R339" s="164">
        <f t="shared" si="71"/>
        <v>0</v>
      </c>
      <c r="S339" s="164">
        <f t="shared" si="72"/>
        <v>0</v>
      </c>
      <c r="T339" s="164">
        <f t="shared" si="73"/>
        <v>0</v>
      </c>
    </row>
    <row r="340" spans="6:20" x14ac:dyDescent="0.2">
      <c r="F340" s="158">
        <v>329</v>
      </c>
      <c r="G340" s="249">
        <f t="shared" si="61"/>
        <v>53661</v>
      </c>
      <c r="H340" s="158">
        <f t="shared" si="62"/>
        <v>30</v>
      </c>
      <c r="I340" s="254">
        <v>9.9900000000000003E-2</v>
      </c>
      <c r="J340" s="164">
        <f t="shared" si="63"/>
        <v>0</v>
      </c>
      <c r="K340" s="164">
        <f t="shared" si="64"/>
        <v>0</v>
      </c>
      <c r="L340" s="164">
        <f t="shared" si="65"/>
        <v>0</v>
      </c>
      <c r="M340" s="164">
        <f t="shared" si="66"/>
        <v>0</v>
      </c>
      <c r="N340" s="164">
        <f t="shared" si="67"/>
        <v>0</v>
      </c>
      <c r="O340" s="164">
        <f t="shared" si="68"/>
        <v>0</v>
      </c>
      <c r="P340" s="164">
        <f t="shared" si="69"/>
        <v>0</v>
      </c>
      <c r="Q340" s="164">
        <f t="shared" si="70"/>
        <v>0</v>
      </c>
      <c r="R340" s="164">
        <f t="shared" si="71"/>
        <v>0</v>
      </c>
      <c r="S340" s="164">
        <f t="shared" si="72"/>
        <v>0</v>
      </c>
      <c r="T340" s="164">
        <f t="shared" si="73"/>
        <v>0</v>
      </c>
    </row>
    <row r="341" spans="6:20" x14ac:dyDescent="0.2">
      <c r="F341" s="158">
        <v>330</v>
      </c>
      <c r="G341" s="249">
        <f t="shared" si="61"/>
        <v>53692</v>
      </c>
      <c r="H341" s="158">
        <f t="shared" si="62"/>
        <v>31</v>
      </c>
      <c r="I341" s="254">
        <v>9.9900000000000003E-2</v>
      </c>
      <c r="J341" s="164">
        <f t="shared" si="63"/>
        <v>0</v>
      </c>
      <c r="K341" s="164">
        <f t="shared" si="64"/>
        <v>0</v>
      </c>
      <c r="L341" s="164">
        <f t="shared" si="65"/>
        <v>0</v>
      </c>
      <c r="M341" s="164">
        <f t="shared" si="66"/>
        <v>0</v>
      </c>
      <c r="N341" s="164">
        <f t="shared" si="67"/>
        <v>0</v>
      </c>
      <c r="O341" s="164">
        <f t="shared" si="68"/>
        <v>0</v>
      </c>
      <c r="P341" s="164">
        <f t="shared" si="69"/>
        <v>0</v>
      </c>
      <c r="Q341" s="164">
        <f t="shared" si="70"/>
        <v>0</v>
      </c>
      <c r="R341" s="164">
        <f t="shared" si="71"/>
        <v>0</v>
      </c>
      <c r="S341" s="164">
        <f t="shared" si="72"/>
        <v>0</v>
      </c>
      <c r="T341" s="164">
        <f t="shared" si="73"/>
        <v>0</v>
      </c>
    </row>
    <row r="342" spans="6:20" x14ac:dyDescent="0.2">
      <c r="F342" s="158">
        <v>331</v>
      </c>
      <c r="G342" s="249">
        <f t="shared" si="61"/>
        <v>53723</v>
      </c>
      <c r="H342" s="158">
        <f t="shared" si="62"/>
        <v>31</v>
      </c>
      <c r="I342" s="254">
        <v>9.9900000000000003E-2</v>
      </c>
      <c r="J342" s="164">
        <f t="shared" si="63"/>
        <v>0</v>
      </c>
      <c r="K342" s="164">
        <f t="shared" si="64"/>
        <v>0</v>
      </c>
      <c r="L342" s="164">
        <f t="shared" si="65"/>
        <v>0</v>
      </c>
      <c r="M342" s="164">
        <f t="shared" si="66"/>
        <v>0</v>
      </c>
      <c r="N342" s="164">
        <f t="shared" si="67"/>
        <v>0</v>
      </c>
      <c r="O342" s="164">
        <f t="shared" si="68"/>
        <v>0</v>
      </c>
      <c r="P342" s="164">
        <f t="shared" si="69"/>
        <v>0</v>
      </c>
      <c r="Q342" s="164">
        <f t="shared" si="70"/>
        <v>0</v>
      </c>
      <c r="R342" s="164">
        <f t="shared" si="71"/>
        <v>0</v>
      </c>
      <c r="S342" s="164">
        <f t="shared" si="72"/>
        <v>0</v>
      </c>
      <c r="T342" s="164">
        <f t="shared" si="73"/>
        <v>0</v>
      </c>
    </row>
    <row r="343" spans="6:20" x14ac:dyDescent="0.2">
      <c r="F343" s="158">
        <v>332</v>
      </c>
      <c r="G343" s="249">
        <f t="shared" si="61"/>
        <v>53751</v>
      </c>
      <c r="H343" s="158">
        <f t="shared" si="62"/>
        <v>28</v>
      </c>
      <c r="I343" s="254">
        <v>9.9900000000000003E-2</v>
      </c>
      <c r="J343" s="164">
        <f t="shared" si="63"/>
        <v>0</v>
      </c>
      <c r="K343" s="164">
        <f t="shared" si="64"/>
        <v>0</v>
      </c>
      <c r="L343" s="164">
        <f t="shared" si="65"/>
        <v>0</v>
      </c>
      <c r="M343" s="164">
        <f t="shared" si="66"/>
        <v>0</v>
      </c>
      <c r="N343" s="164">
        <f t="shared" si="67"/>
        <v>0</v>
      </c>
      <c r="O343" s="164">
        <f t="shared" si="68"/>
        <v>0</v>
      </c>
      <c r="P343" s="164">
        <f t="shared" si="69"/>
        <v>0</v>
      </c>
      <c r="Q343" s="164">
        <f t="shared" si="70"/>
        <v>0</v>
      </c>
      <c r="R343" s="164">
        <f t="shared" si="71"/>
        <v>0</v>
      </c>
      <c r="S343" s="164">
        <f t="shared" si="72"/>
        <v>0</v>
      </c>
      <c r="T343" s="164">
        <f t="shared" si="73"/>
        <v>0</v>
      </c>
    </row>
    <row r="344" spans="6:20" x14ac:dyDescent="0.2">
      <c r="F344" s="158">
        <v>333</v>
      </c>
      <c r="G344" s="249">
        <f t="shared" si="61"/>
        <v>53782</v>
      </c>
      <c r="H344" s="158">
        <f t="shared" si="62"/>
        <v>31</v>
      </c>
      <c r="I344" s="254">
        <v>9.9900000000000003E-2</v>
      </c>
      <c r="J344" s="164">
        <f t="shared" si="63"/>
        <v>0</v>
      </c>
      <c r="K344" s="164">
        <f t="shared" si="64"/>
        <v>0</v>
      </c>
      <c r="L344" s="164">
        <f t="shared" si="65"/>
        <v>0</v>
      </c>
      <c r="M344" s="164">
        <f t="shared" si="66"/>
        <v>0</v>
      </c>
      <c r="N344" s="164">
        <f t="shared" si="67"/>
        <v>0</v>
      </c>
      <c r="O344" s="164">
        <f t="shared" si="68"/>
        <v>0</v>
      </c>
      <c r="P344" s="164">
        <f t="shared" si="69"/>
        <v>0</v>
      </c>
      <c r="Q344" s="164">
        <f t="shared" si="70"/>
        <v>0</v>
      </c>
      <c r="R344" s="164">
        <f t="shared" si="71"/>
        <v>0</v>
      </c>
      <c r="S344" s="164">
        <f t="shared" si="72"/>
        <v>0</v>
      </c>
      <c r="T344" s="164">
        <f t="shared" si="73"/>
        <v>0</v>
      </c>
    </row>
    <row r="345" spans="6:20" x14ac:dyDescent="0.2">
      <c r="F345" s="158">
        <v>334</v>
      </c>
      <c r="G345" s="249">
        <f t="shared" si="61"/>
        <v>53812</v>
      </c>
      <c r="H345" s="158">
        <f t="shared" si="62"/>
        <v>30</v>
      </c>
      <c r="I345" s="254">
        <v>9.9900000000000003E-2</v>
      </c>
      <c r="J345" s="164">
        <f t="shared" si="63"/>
        <v>0</v>
      </c>
      <c r="K345" s="164">
        <f t="shared" si="64"/>
        <v>0</v>
      </c>
      <c r="L345" s="164">
        <f t="shared" si="65"/>
        <v>0</v>
      </c>
      <c r="M345" s="164">
        <f t="shared" si="66"/>
        <v>0</v>
      </c>
      <c r="N345" s="164">
        <f t="shared" si="67"/>
        <v>0</v>
      </c>
      <c r="O345" s="164">
        <f t="shared" si="68"/>
        <v>0</v>
      </c>
      <c r="P345" s="164">
        <f t="shared" si="69"/>
        <v>0</v>
      </c>
      <c r="Q345" s="164">
        <f t="shared" si="70"/>
        <v>0</v>
      </c>
      <c r="R345" s="164">
        <f t="shared" si="71"/>
        <v>0</v>
      </c>
      <c r="S345" s="164">
        <f t="shared" si="72"/>
        <v>0</v>
      </c>
      <c r="T345" s="164">
        <f t="shared" si="73"/>
        <v>0</v>
      </c>
    </row>
    <row r="346" spans="6:20" x14ac:dyDescent="0.2">
      <c r="F346" s="158">
        <v>335</v>
      </c>
      <c r="G346" s="249">
        <f t="shared" si="61"/>
        <v>53843</v>
      </c>
      <c r="H346" s="158">
        <f t="shared" si="62"/>
        <v>31</v>
      </c>
      <c r="I346" s="254">
        <v>9.9900000000000003E-2</v>
      </c>
      <c r="J346" s="164">
        <f t="shared" si="63"/>
        <v>0</v>
      </c>
      <c r="K346" s="164">
        <f t="shared" si="64"/>
        <v>0</v>
      </c>
      <c r="L346" s="164">
        <f t="shared" si="65"/>
        <v>0</v>
      </c>
      <c r="M346" s="164">
        <f t="shared" si="66"/>
        <v>0</v>
      </c>
      <c r="N346" s="164">
        <f t="shared" si="67"/>
        <v>0</v>
      </c>
      <c r="O346" s="164">
        <f t="shared" si="68"/>
        <v>0</v>
      </c>
      <c r="P346" s="164">
        <f t="shared" si="69"/>
        <v>0</v>
      </c>
      <c r="Q346" s="164">
        <f t="shared" si="70"/>
        <v>0</v>
      </c>
      <c r="R346" s="164">
        <f t="shared" si="71"/>
        <v>0</v>
      </c>
      <c r="S346" s="164">
        <f t="shared" si="72"/>
        <v>0</v>
      </c>
      <c r="T346" s="164">
        <f t="shared" si="73"/>
        <v>0</v>
      </c>
    </row>
    <row r="347" spans="6:20" x14ac:dyDescent="0.2">
      <c r="F347" s="158">
        <v>336</v>
      </c>
      <c r="G347" s="249">
        <f t="shared" si="61"/>
        <v>53873</v>
      </c>
      <c r="H347" s="158">
        <f t="shared" si="62"/>
        <v>30</v>
      </c>
      <c r="I347" s="254">
        <v>9.9900000000000003E-2</v>
      </c>
      <c r="J347" s="164">
        <f t="shared" si="63"/>
        <v>0</v>
      </c>
      <c r="K347" s="164">
        <f t="shared" si="64"/>
        <v>0</v>
      </c>
      <c r="L347" s="164">
        <f t="shared" si="65"/>
        <v>0</v>
      </c>
      <c r="M347" s="164">
        <f t="shared" si="66"/>
        <v>0</v>
      </c>
      <c r="N347" s="164">
        <f t="shared" si="67"/>
        <v>0</v>
      </c>
      <c r="O347" s="164">
        <f t="shared" si="68"/>
        <v>0</v>
      </c>
      <c r="P347" s="164">
        <f t="shared" si="69"/>
        <v>0</v>
      </c>
      <c r="Q347" s="164">
        <f t="shared" si="70"/>
        <v>0</v>
      </c>
      <c r="R347" s="164">
        <f t="shared" si="71"/>
        <v>0</v>
      </c>
      <c r="S347" s="164">
        <f t="shared" si="72"/>
        <v>0</v>
      </c>
      <c r="T347" s="164">
        <f t="shared" si="73"/>
        <v>0</v>
      </c>
    </row>
    <row r="348" spans="6:20" x14ac:dyDescent="0.2">
      <c r="F348" s="158">
        <v>337</v>
      </c>
      <c r="G348" s="249">
        <f t="shared" si="61"/>
        <v>53904</v>
      </c>
      <c r="H348" s="158">
        <f t="shared" si="62"/>
        <v>31</v>
      </c>
      <c r="I348" s="254">
        <v>9.9900000000000003E-2</v>
      </c>
      <c r="J348" s="164">
        <f t="shared" si="63"/>
        <v>0</v>
      </c>
      <c r="K348" s="164">
        <f t="shared" si="64"/>
        <v>0</v>
      </c>
      <c r="L348" s="164">
        <f t="shared" si="65"/>
        <v>0</v>
      </c>
      <c r="M348" s="164">
        <f t="shared" si="66"/>
        <v>0</v>
      </c>
      <c r="N348" s="164">
        <f t="shared" si="67"/>
        <v>0</v>
      </c>
      <c r="O348" s="164">
        <f t="shared" si="68"/>
        <v>0</v>
      </c>
      <c r="P348" s="164">
        <f t="shared" si="69"/>
        <v>0</v>
      </c>
      <c r="Q348" s="164">
        <f t="shared" si="70"/>
        <v>0</v>
      </c>
      <c r="R348" s="164">
        <f t="shared" si="71"/>
        <v>0</v>
      </c>
      <c r="S348" s="164">
        <f t="shared" si="72"/>
        <v>0</v>
      </c>
      <c r="T348" s="164">
        <f t="shared" si="73"/>
        <v>0</v>
      </c>
    </row>
    <row r="349" spans="6:20" x14ac:dyDescent="0.2">
      <c r="F349" s="158">
        <v>338</v>
      </c>
      <c r="G349" s="249">
        <f t="shared" si="61"/>
        <v>53935</v>
      </c>
      <c r="H349" s="158">
        <f t="shared" si="62"/>
        <v>31</v>
      </c>
      <c r="I349" s="254">
        <v>9.9900000000000003E-2</v>
      </c>
      <c r="J349" s="164">
        <f t="shared" si="63"/>
        <v>0</v>
      </c>
      <c r="K349" s="164">
        <f t="shared" si="64"/>
        <v>0</v>
      </c>
      <c r="L349" s="164">
        <f t="shared" si="65"/>
        <v>0</v>
      </c>
      <c r="M349" s="164">
        <f t="shared" si="66"/>
        <v>0</v>
      </c>
      <c r="N349" s="164">
        <f t="shared" si="67"/>
        <v>0</v>
      </c>
      <c r="O349" s="164">
        <f t="shared" si="68"/>
        <v>0</v>
      </c>
      <c r="P349" s="164">
        <f t="shared" si="69"/>
        <v>0</v>
      </c>
      <c r="Q349" s="164">
        <f t="shared" si="70"/>
        <v>0</v>
      </c>
      <c r="R349" s="164">
        <f t="shared" si="71"/>
        <v>0</v>
      </c>
      <c r="S349" s="164">
        <f t="shared" si="72"/>
        <v>0</v>
      </c>
      <c r="T349" s="164">
        <f t="shared" si="73"/>
        <v>0</v>
      </c>
    </row>
    <row r="350" spans="6:20" x14ac:dyDescent="0.2">
      <c r="F350" s="158">
        <v>339</v>
      </c>
      <c r="G350" s="249">
        <f t="shared" si="61"/>
        <v>53965</v>
      </c>
      <c r="H350" s="158">
        <f t="shared" si="62"/>
        <v>30</v>
      </c>
      <c r="I350" s="254">
        <v>9.9900000000000003E-2</v>
      </c>
      <c r="J350" s="164">
        <f t="shared" si="63"/>
        <v>0</v>
      </c>
      <c r="K350" s="164">
        <f t="shared" si="64"/>
        <v>0</v>
      </c>
      <c r="L350" s="164">
        <f t="shared" si="65"/>
        <v>0</v>
      </c>
      <c r="M350" s="164">
        <f t="shared" si="66"/>
        <v>0</v>
      </c>
      <c r="N350" s="164">
        <f t="shared" si="67"/>
        <v>0</v>
      </c>
      <c r="O350" s="164">
        <f t="shared" si="68"/>
        <v>0</v>
      </c>
      <c r="P350" s="164">
        <f t="shared" si="69"/>
        <v>0</v>
      </c>
      <c r="Q350" s="164">
        <f t="shared" si="70"/>
        <v>0</v>
      </c>
      <c r="R350" s="164">
        <f t="shared" si="71"/>
        <v>0</v>
      </c>
      <c r="S350" s="164">
        <f t="shared" si="72"/>
        <v>0</v>
      </c>
      <c r="T350" s="164">
        <f t="shared" si="73"/>
        <v>0</v>
      </c>
    </row>
    <row r="351" spans="6:20" x14ac:dyDescent="0.2">
      <c r="F351" s="158">
        <v>340</v>
      </c>
      <c r="G351" s="249">
        <f t="shared" si="61"/>
        <v>53996</v>
      </c>
      <c r="H351" s="158">
        <f t="shared" si="62"/>
        <v>31</v>
      </c>
      <c r="I351" s="254">
        <v>9.9900000000000003E-2</v>
      </c>
      <c r="J351" s="164">
        <f t="shared" si="63"/>
        <v>0</v>
      </c>
      <c r="K351" s="164">
        <f t="shared" si="64"/>
        <v>0</v>
      </c>
      <c r="L351" s="164">
        <f t="shared" si="65"/>
        <v>0</v>
      </c>
      <c r="M351" s="164">
        <f t="shared" si="66"/>
        <v>0</v>
      </c>
      <c r="N351" s="164">
        <f t="shared" si="67"/>
        <v>0</v>
      </c>
      <c r="O351" s="164">
        <f t="shared" si="68"/>
        <v>0</v>
      </c>
      <c r="P351" s="164">
        <f t="shared" si="69"/>
        <v>0</v>
      </c>
      <c r="Q351" s="164">
        <f t="shared" si="70"/>
        <v>0</v>
      </c>
      <c r="R351" s="164">
        <f t="shared" si="71"/>
        <v>0</v>
      </c>
      <c r="S351" s="164">
        <f t="shared" si="72"/>
        <v>0</v>
      </c>
      <c r="T351" s="164">
        <f t="shared" si="73"/>
        <v>0</v>
      </c>
    </row>
    <row r="352" spans="6:20" x14ac:dyDescent="0.2">
      <c r="F352" s="158">
        <v>341</v>
      </c>
      <c r="G352" s="249">
        <f t="shared" si="61"/>
        <v>54026</v>
      </c>
      <c r="H352" s="158">
        <f t="shared" si="62"/>
        <v>30</v>
      </c>
      <c r="I352" s="254">
        <v>9.9900000000000003E-2</v>
      </c>
      <c r="J352" s="164">
        <f t="shared" si="63"/>
        <v>0</v>
      </c>
      <c r="K352" s="164">
        <f t="shared" si="64"/>
        <v>0</v>
      </c>
      <c r="L352" s="164">
        <f t="shared" si="65"/>
        <v>0</v>
      </c>
      <c r="M352" s="164">
        <f t="shared" si="66"/>
        <v>0</v>
      </c>
      <c r="N352" s="164">
        <f t="shared" si="67"/>
        <v>0</v>
      </c>
      <c r="O352" s="164">
        <f t="shared" si="68"/>
        <v>0</v>
      </c>
      <c r="P352" s="164">
        <f t="shared" si="69"/>
        <v>0</v>
      </c>
      <c r="Q352" s="164">
        <f t="shared" si="70"/>
        <v>0</v>
      </c>
      <c r="R352" s="164">
        <f t="shared" si="71"/>
        <v>0</v>
      </c>
      <c r="S352" s="164">
        <f t="shared" si="72"/>
        <v>0</v>
      </c>
      <c r="T352" s="164">
        <f t="shared" si="73"/>
        <v>0</v>
      </c>
    </row>
    <row r="353" spans="6:20" x14ac:dyDescent="0.2">
      <c r="F353" s="158">
        <v>342</v>
      </c>
      <c r="G353" s="249">
        <f t="shared" si="61"/>
        <v>54057</v>
      </c>
      <c r="H353" s="158">
        <f t="shared" si="62"/>
        <v>31</v>
      </c>
      <c r="I353" s="254">
        <v>9.9900000000000003E-2</v>
      </c>
      <c r="J353" s="164">
        <f t="shared" si="63"/>
        <v>0</v>
      </c>
      <c r="K353" s="164">
        <f t="shared" si="64"/>
        <v>0</v>
      </c>
      <c r="L353" s="164">
        <f t="shared" si="65"/>
        <v>0</v>
      </c>
      <c r="M353" s="164">
        <f t="shared" si="66"/>
        <v>0</v>
      </c>
      <c r="N353" s="164">
        <f t="shared" si="67"/>
        <v>0</v>
      </c>
      <c r="O353" s="164">
        <f t="shared" si="68"/>
        <v>0</v>
      </c>
      <c r="P353" s="164">
        <f t="shared" si="69"/>
        <v>0</v>
      </c>
      <c r="Q353" s="164">
        <f t="shared" si="70"/>
        <v>0</v>
      </c>
      <c r="R353" s="164">
        <f t="shared" si="71"/>
        <v>0</v>
      </c>
      <c r="S353" s="164">
        <f t="shared" si="72"/>
        <v>0</v>
      </c>
      <c r="T353" s="164">
        <f t="shared" si="73"/>
        <v>0</v>
      </c>
    </row>
    <row r="354" spans="6:20" x14ac:dyDescent="0.2">
      <c r="F354" s="158">
        <v>343</v>
      </c>
      <c r="G354" s="249">
        <f t="shared" si="61"/>
        <v>54088</v>
      </c>
      <c r="H354" s="158">
        <f t="shared" si="62"/>
        <v>31</v>
      </c>
      <c r="I354" s="254">
        <v>9.9900000000000003E-2</v>
      </c>
      <c r="J354" s="164">
        <f t="shared" si="63"/>
        <v>0</v>
      </c>
      <c r="K354" s="164">
        <f t="shared" si="64"/>
        <v>0</v>
      </c>
      <c r="L354" s="164">
        <f t="shared" si="65"/>
        <v>0</v>
      </c>
      <c r="M354" s="164">
        <f t="shared" si="66"/>
        <v>0</v>
      </c>
      <c r="N354" s="164">
        <f t="shared" si="67"/>
        <v>0</v>
      </c>
      <c r="O354" s="164">
        <f t="shared" si="68"/>
        <v>0</v>
      </c>
      <c r="P354" s="164">
        <f t="shared" si="69"/>
        <v>0</v>
      </c>
      <c r="Q354" s="164">
        <f t="shared" si="70"/>
        <v>0</v>
      </c>
      <c r="R354" s="164">
        <f t="shared" si="71"/>
        <v>0</v>
      </c>
      <c r="S354" s="164">
        <f t="shared" si="72"/>
        <v>0</v>
      </c>
      <c r="T354" s="164">
        <f t="shared" si="73"/>
        <v>0</v>
      </c>
    </row>
    <row r="355" spans="6:20" x14ac:dyDescent="0.2">
      <c r="F355" s="158">
        <v>344</v>
      </c>
      <c r="G355" s="249">
        <f t="shared" si="61"/>
        <v>54117</v>
      </c>
      <c r="H355" s="158">
        <f t="shared" si="62"/>
        <v>29</v>
      </c>
      <c r="I355" s="254">
        <v>9.9900000000000003E-2</v>
      </c>
      <c r="J355" s="164">
        <f t="shared" si="63"/>
        <v>0</v>
      </c>
      <c r="K355" s="164">
        <f t="shared" si="64"/>
        <v>0</v>
      </c>
      <c r="L355" s="164">
        <f t="shared" si="65"/>
        <v>0</v>
      </c>
      <c r="M355" s="164">
        <f t="shared" si="66"/>
        <v>0</v>
      </c>
      <c r="N355" s="164">
        <f t="shared" si="67"/>
        <v>0</v>
      </c>
      <c r="O355" s="164">
        <f t="shared" si="68"/>
        <v>0</v>
      </c>
      <c r="P355" s="164">
        <f t="shared" si="69"/>
        <v>0</v>
      </c>
      <c r="Q355" s="164">
        <f t="shared" si="70"/>
        <v>0</v>
      </c>
      <c r="R355" s="164">
        <f t="shared" si="71"/>
        <v>0</v>
      </c>
      <c r="S355" s="164">
        <f t="shared" si="72"/>
        <v>0</v>
      </c>
      <c r="T355" s="164">
        <f t="shared" si="73"/>
        <v>0</v>
      </c>
    </row>
    <row r="356" spans="6:20" x14ac:dyDescent="0.2">
      <c r="F356" s="158">
        <v>345</v>
      </c>
      <c r="G356" s="249">
        <f t="shared" si="61"/>
        <v>54148</v>
      </c>
      <c r="H356" s="158">
        <f t="shared" si="62"/>
        <v>31</v>
      </c>
      <c r="I356" s="254">
        <v>9.9900000000000003E-2</v>
      </c>
      <c r="J356" s="164">
        <f t="shared" si="63"/>
        <v>0</v>
      </c>
      <c r="K356" s="164">
        <f t="shared" si="64"/>
        <v>0</v>
      </c>
      <c r="L356" s="164">
        <f t="shared" si="65"/>
        <v>0</v>
      </c>
      <c r="M356" s="164">
        <f t="shared" si="66"/>
        <v>0</v>
      </c>
      <c r="N356" s="164">
        <f t="shared" si="67"/>
        <v>0</v>
      </c>
      <c r="O356" s="164">
        <f t="shared" si="68"/>
        <v>0</v>
      </c>
      <c r="P356" s="164">
        <f t="shared" si="69"/>
        <v>0</v>
      </c>
      <c r="Q356" s="164">
        <f t="shared" si="70"/>
        <v>0</v>
      </c>
      <c r="R356" s="164">
        <f t="shared" si="71"/>
        <v>0</v>
      </c>
      <c r="S356" s="164">
        <f t="shared" si="72"/>
        <v>0</v>
      </c>
      <c r="T356" s="164">
        <f t="shared" si="73"/>
        <v>0</v>
      </c>
    </row>
    <row r="357" spans="6:20" x14ac:dyDescent="0.2">
      <c r="F357" s="158">
        <v>346</v>
      </c>
      <c r="G357" s="249">
        <f t="shared" si="61"/>
        <v>54178</v>
      </c>
      <c r="H357" s="158">
        <f t="shared" si="62"/>
        <v>30</v>
      </c>
      <c r="I357" s="254">
        <v>9.9900000000000003E-2</v>
      </c>
      <c r="J357" s="164">
        <f t="shared" si="63"/>
        <v>0</v>
      </c>
      <c r="K357" s="164">
        <f t="shared" si="64"/>
        <v>0</v>
      </c>
      <c r="L357" s="164">
        <f t="shared" si="65"/>
        <v>0</v>
      </c>
      <c r="M357" s="164">
        <f t="shared" si="66"/>
        <v>0</v>
      </c>
      <c r="N357" s="164">
        <f t="shared" si="67"/>
        <v>0</v>
      </c>
      <c r="O357" s="164">
        <f t="shared" si="68"/>
        <v>0</v>
      </c>
      <c r="P357" s="164">
        <f t="shared" si="69"/>
        <v>0</v>
      </c>
      <c r="Q357" s="164">
        <f t="shared" si="70"/>
        <v>0</v>
      </c>
      <c r="R357" s="164">
        <f t="shared" si="71"/>
        <v>0</v>
      </c>
      <c r="S357" s="164">
        <f t="shared" si="72"/>
        <v>0</v>
      </c>
      <c r="T357" s="164">
        <f t="shared" si="73"/>
        <v>0</v>
      </c>
    </row>
    <row r="358" spans="6:20" x14ac:dyDescent="0.2">
      <c r="F358" s="158">
        <v>347</v>
      </c>
      <c r="G358" s="249">
        <f t="shared" si="61"/>
        <v>54209</v>
      </c>
      <c r="H358" s="158">
        <f t="shared" si="62"/>
        <v>31</v>
      </c>
      <c r="I358" s="254">
        <v>9.9900000000000003E-2</v>
      </c>
      <c r="J358" s="164">
        <f t="shared" si="63"/>
        <v>0</v>
      </c>
      <c r="K358" s="164">
        <f t="shared" si="64"/>
        <v>0</v>
      </c>
      <c r="L358" s="164">
        <f t="shared" si="65"/>
        <v>0</v>
      </c>
      <c r="M358" s="164">
        <f t="shared" si="66"/>
        <v>0</v>
      </c>
      <c r="N358" s="164">
        <f t="shared" si="67"/>
        <v>0</v>
      </c>
      <c r="O358" s="164">
        <f t="shared" si="68"/>
        <v>0</v>
      </c>
      <c r="P358" s="164">
        <f t="shared" si="69"/>
        <v>0</v>
      </c>
      <c r="Q358" s="164">
        <f t="shared" si="70"/>
        <v>0</v>
      </c>
      <c r="R358" s="164">
        <f t="shared" si="71"/>
        <v>0</v>
      </c>
      <c r="S358" s="164">
        <f t="shared" si="72"/>
        <v>0</v>
      </c>
      <c r="T358" s="164">
        <f t="shared" si="73"/>
        <v>0</v>
      </c>
    </row>
    <row r="359" spans="6:20" x14ac:dyDescent="0.2">
      <c r="F359" s="158">
        <v>348</v>
      </c>
      <c r="G359" s="249">
        <f t="shared" si="61"/>
        <v>54239</v>
      </c>
      <c r="H359" s="158">
        <f t="shared" si="62"/>
        <v>30</v>
      </c>
      <c r="I359" s="254">
        <v>9.9900000000000003E-2</v>
      </c>
      <c r="J359" s="164">
        <f t="shared" si="63"/>
        <v>0</v>
      </c>
      <c r="K359" s="164">
        <f t="shared" si="64"/>
        <v>0</v>
      </c>
      <c r="L359" s="164">
        <f t="shared" si="65"/>
        <v>0</v>
      </c>
      <c r="M359" s="164">
        <f t="shared" si="66"/>
        <v>0</v>
      </c>
      <c r="N359" s="164">
        <f t="shared" si="67"/>
        <v>0</v>
      </c>
      <c r="O359" s="164">
        <f t="shared" si="68"/>
        <v>0</v>
      </c>
      <c r="P359" s="164">
        <f t="shared" si="69"/>
        <v>0</v>
      </c>
      <c r="Q359" s="164">
        <f t="shared" si="70"/>
        <v>0</v>
      </c>
      <c r="R359" s="164">
        <f t="shared" si="71"/>
        <v>0</v>
      </c>
      <c r="S359" s="164">
        <f t="shared" si="72"/>
        <v>0</v>
      </c>
      <c r="T359" s="164">
        <f t="shared" si="73"/>
        <v>0</v>
      </c>
    </row>
    <row r="360" spans="6:20" x14ac:dyDescent="0.2">
      <c r="F360" s="158">
        <v>349</v>
      </c>
      <c r="G360" s="249">
        <f t="shared" si="61"/>
        <v>54270</v>
      </c>
      <c r="H360" s="158">
        <f t="shared" si="62"/>
        <v>31</v>
      </c>
      <c r="I360" s="254">
        <v>9.9900000000000003E-2</v>
      </c>
      <c r="J360" s="164">
        <f t="shared" si="63"/>
        <v>0</v>
      </c>
      <c r="K360" s="164">
        <f t="shared" si="64"/>
        <v>0</v>
      </c>
      <c r="L360" s="164">
        <f t="shared" si="65"/>
        <v>0</v>
      </c>
      <c r="M360" s="164">
        <f t="shared" si="66"/>
        <v>0</v>
      </c>
      <c r="N360" s="164">
        <f t="shared" si="67"/>
        <v>0</v>
      </c>
      <c r="O360" s="164">
        <f t="shared" si="68"/>
        <v>0</v>
      </c>
      <c r="P360" s="164">
        <f t="shared" si="69"/>
        <v>0</v>
      </c>
      <c r="Q360" s="164">
        <f t="shared" si="70"/>
        <v>0</v>
      </c>
      <c r="R360" s="164">
        <f t="shared" si="71"/>
        <v>0</v>
      </c>
      <c r="S360" s="164">
        <f t="shared" si="72"/>
        <v>0</v>
      </c>
      <c r="T360" s="164">
        <f t="shared" si="73"/>
        <v>0</v>
      </c>
    </row>
    <row r="361" spans="6:20" x14ac:dyDescent="0.2">
      <c r="F361" s="158">
        <v>350</v>
      </c>
      <c r="G361" s="249">
        <f t="shared" si="61"/>
        <v>54301</v>
      </c>
      <c r="H361" s="158">
        <f t="shared" si="62"/>
        <v>31</v>
      </c>
      <c r="I361" s="254">
        <v>9.9900000000000003E-2</v>
      </c>
      <c r="J361" s="164">
        <f t="shared" si="63"/>
        <v>0</v>
      </c>
      <c r="K361" s="164">
        <f t="shared" si="64"/>
        <v>0</v>
      </c>
      <c r="L361" s="164">
        <f t="shared" si="65"/>
        <v>0</v>
      </c>
      <c r="M361" s="164">
        <f t="shared" si="66"/>
        <v>0</v>
      </c>
      <c r="N361" s="164">
        <f t="shared" si="67"/>
        <v>0</v>
      </c>
      <c r="O361" s="164">
        <f t="shared" si="68"/>
        <v>0</v>
      </c>
      <c r="P361" s="164">
        <f t="shared" si="69"/>
        <v>0</v>
      </c>
      <c r="Q361" s="164">
        <f t="shared" si="70"/>
        <v>0</v>
      </c>
      <c r="R361" s="164">
        <f t="shared" si="71"/>
        <v>0</v>
      </c>
      <c r="S361" s="164">
        <f t="shared" si="72"/>
        <v>0</v>
      </c>
      <c r="T361" s="164">
        <f t="shared" si="73"/>
        <v>0</v>
      </c>
    </row>
    <row r="362" spans="6:20" x14ac:dyDescent="0.2">
      <c r="F362" s="158">
        <v>351</v>
      </c>
      <c r="G362" s="249">
        <f t="shared" si="61"/>
        <v>54331</v>
      </c>
      <c r="H362" s="158">
        <f t="shared" si="62"/>
        <v>30</v>
      </c>
      <c r="I362" s="254">
        <v>9.9900000000000003E-2</v>
      </c>
      <c r="J362" s="164">
        <f t="shared" si="63"/>
        <v>0</v>
      </c>
      <c r="K362" s="164">
        <f t="shared" si="64"/>
        <v>0</v>
      </c>
      <c r="L362" s="164">
        <f t="shared" si="65"/>
        <v>0</v>
      </c>
      <c r="M362" s="164">
        <f t="shared" si="66"/>
        <v>0</v>
      </c>
      <c r="N362" s="164">
        <f t="shared" si="67"/>
        <v>0</v>
      </c>
      <c r="O362" s="164">
        <f t="shared" si="68"/>
        <v>0</v>
      </c>
      <c r="P362" s="164">
        <f t="shared" si="69"/>
        <v>0</v>
      </c>
      <c r="Q362" s="164">
        <f t="shared" si="70"/>
        <v>0</v>
      </c>
      <c r="R362" s="164">
        <f t="shared" si="71"/>
        <v>0</v>
      </c>
      <c r="S362" s="164">
        <f t="shared" si="72"/>
        <v>0</v>
      </c>
      <c r="T362" s="164">
        <f t="shared" si="73"/>
        <v>0</v>
      </c>
    </row>
    <row r="363" spans="6:20" x14ac:dyDescent="0.2">
      <c r="F363" s="158">
        <v>352</v>
      </c>
      <c r="G363" s="249">
        <f t="shared" si="61"/>
        <v>54362</v>
      </c>
      <c r="H363" s="158">
        <f t="shared" si="62"/>
        <v>31</v>
      </c>
      <c r="I363" s="254">
        <v>9.9900000000000003E-2</v>
      </c>
      <c r="J363" s="164">
        <f t="shared" si="63"/>
        <v>0</v>
      </c>
      <c r="K363" s="164">
        <f t="shared" si="64"/>
        <v>0</v>
      </c>
      <c r="L363" s="164">
        <f t="shared" si="65"/>
        <v>0</v>
      </c>
      <c r="M363" s="164">
        <f t="shared" si="66"/>
        <v>0</v>
      </c>
      <c r="N363" s="164">
        <f t="shared" si="67"/>
        <v>0</v>
      </c>
      <c r="O363" s="164">
        <f t="shared" si="68"/>
        <v>0</v>
      </c>
      <c r="P363" s="164">
        <f t="shared" si="69"/>
        <v>0</v>
      </c>
      <c r="Q363" s="164">
        <f t="shared" si="70"/>
        <v>0</v>
      </c>
      <c r="R363" s="164">
        <f t="shared" si="71"/>
        <v>0</v>
      </c>
      <c r="S363" s="164">
        <f t="shared" si="72"/>
        <v>0</v>
      </c>
      <c r="T363" s="164">
        <f t="shared" si="73"/>
        <v>0</v>
      </c>
    </row>
    <row r="364" spans="6:20" x14ac:dyDescent="0.2">
      <c r="F364" s="158">
        <v>353</v>
      </c>
      <c r="G364" s="249">
        <f t="shared" si="61"/>
        <v>54392</v>
      </c>
      <c r="H364" s="158">
        <f t="shared" si="62"/>
        <v>30</v>
      </c>
      <c r="I364" s="254">
        <v>9.9900000000000003E-2</v>
      </c>
      <c r="J364" s="164">
        <f t="shared" si="63"/>
        <v>0</v>
      </c>
      <c r="K364" s="164">
        <f t="shared" si="64"/>
        <v>0</v>
      </c>
      <c r="L364" s="164">
        <f t="shared" si="65"/>
        <v>0</v>
      </c>
      <c r="M364" s="164">
        <f t="shared" si="66"/>
        <v>0</v>
      </c>
      <c r="N364" s="164">
        <f t="shared" si="67"/>
        <v>0</v>
      </c>
      <c r="O364" s="164">
        <f t="shared" si="68"/>
        <v>0</v>
      </c>
      <c r="P364" s="164">
        <f t="shared" si="69"/>
        <v>0</v>
      </c>
      <c r="Q364" s="164">
        <f t="shared" si="70"/>
        <v>0</v>
      </c>
      <c r="R364" s="164">
        <f t="shared" si="71"/>
        <v>0</v>
      </c>
      <c r="S364" s="164">
        <f t="shared" si="72"/>
        <v>0</v>
      </c>
      <c r="T364" s="164">
        <f t="shared" si="73"/>
        <v>0</v>
      </c>
    </row>
    <row r="365" spans="6:20" x14ac:dyDescent="0.2">
      <c r="F365" s="158">
        <v>354</v>
      </c>
      <c r="G365" s="249">
        <f t="shared" si="61"/>
        <v>54423</v>
      </c>
      <c r="H365" s="158">
        <f t="shared" si="62"/>
        <v>31</v>
      </c>
      <c r="I365" s="254">
        <v>9.9900000000000003E-2</v>
      </c>
      <c r="J365" s="164">
        <f t="shared" si="63"/>
        <v>0</v>
      </c>
      <c r="K365" s="164">
        <f t="shared" si="64"/>
        <v>0</v>
      </c>
      <c r="L365" s="164">
        <f t="shared" si="65"/>
        <v>0</v>
      </c>
      <c r="M365" s="164">
        <f t="shared" si="66"/>
        <v>0</v>
      </c>
      <c r="N365" s="164">
        <f t="shared" si="67"/>
        <v>0</v>
      </c>
      <c r="O365" s="164">
        <f t="shared" si="68"/>
        <v>0</v>
      </c>
      <c r="P365" s="164">
        <f t="shared" si="69"/>
        <v>0</v>
      </c>
      <c r="Q365" s="164">
        <f t="shared" si="70"/>
        <v>0</v>
      </c>
      <c r="R365" s="164">
        <f t="shared" si="71"/>
        <v>0</v>
      </c>
      <c r="S365" s="164">
        <f t="shared" si="72"/>
        <v>0</v>
      </c>
      <c r="T365" s="164">
        <f t="shared" si="73"/>
        <v>0</v>
      </c>
    </row>
    <row r="366" spans="6:20" x14ac:dyDescent="0.2">
      <c r="F366" s="158">
        <v>355</v>
      </c>
      <c r="G366" s="249">
        <f t="shared" si="61"/>
        <v>54454</v>
      </c>
      <c r="H366" s="158">
        <f t="shared" si="62"/>
        <v>31</v>
      </c>
      <c r="I366" s="254">
        <v>9.9900000000000003E-2</v>
      </c>
      <c r="J366" s="164">
        <f t="shared" si="63"/>
        <v>0</v>
      </c>
      <c r="K366" s="164">
        <f t="shared" si="64"/>
        <v>0</v>
      </c>
      <c r="L366" s="164">
        <f t="shared" si="65"/>
        <v>0</v>
      </c>
      <c r="M366" s="164">
        <f t="shared" si="66"/>
        <v>0</v>
      </c>
      <c r="N366" s="164">
        <f t="shared" si="67"/>
        <v>0</v>
      </c>
      <c r="O366" s="164">
        <f t="shared" si="68"/>
        <v>0</v>
      </c>
      <c r="P366" s="164">
        <f t="shared" si="69"/>
        <v>0</v>
      </c>
      <c r="Q366" s="164">
        <f t="shared" si="70"/>
        <v>0</v>
      </c>
      <c r="R366" s="164">
        <f t="shared" si="71"/>
        <v>0</v>
      </c>
      <c r="S366" s="164">
        <f t="shared" si="72"/>
        <v>0</v>
      </c>
      <c r="T366" s="164">
        <f t="shared" si="73"/>
        <v>0</v>
      </c>
    </row>
    <row r="367" spans="6:20" x14ac:dyDescent="0.2">
      <c r="F367" s="158">
        <v>356</v>
      </c>
      <c r="G367" s="249">
        <f t="shared" si="61"/>
        <v>54482</v>
      </c>
      <c r="H367" s="158">
        <f t="shared" si="62"/>
        <v>28</v>
      </c>
      <c r="I367" s="254">
        <v>9.9900000000000003E-2</v>
      </c>
      <c r="J367" s="164">
        <f t="shared" si="63"/>
        <v>0</v>
      </c>
      <c r="K367" s="164">
        <f t="shared" si="64"/>
        <v>0</v>
      </c>
      <c r="L367" s="164">
        <f t="shared" si="65"/>
        <v>0</v>
      </c>
      <c r="M367" s="164">
        <f t="shared" si="66"/>
        <v>0</v>
      </c>
      <c r="N367" s="164">
        <f t="shared" si="67"/>
        <v>0</v>
      </c>
      <c r="O367" s="164">
        <f t="shared" si="68"/>
        <v>0</v>
      </c>
      <c r="P367" s="164">
        <f t="shared" si="69"/>
        <v>0</v>
      </c>
      <c r="Q367" s="164">
        <f t="shared" si="70"/>
        <v>0</v>
      </c>
      <c r="R367" s="164">
        <f t="shared" si="71"/>
        <v>0</v>
      </c>
      <c r="S367" s="164">
        <f t="shared" si="72"/>
        <v>0</v>
      </c>
      <c r="T367" s="164">
        <f t="shared" si="73"/>
        <v>0</v>
      </c>
    </row>
    <row r="368" spans="6:20" x14ac:dyDescent="0.2">
      <c r="F368" s="158">
        <v>357</v>
      </c>
      <c r="G368" s="249">
        <f t="shared" si="61"/>
        <v>54513</v>
      </c>
      <c r="H368" s="158">
        <f t="shared" si="62"/>
        <v>31</v>
      </c>
      <c r="I368" s="254">
        <v>9.9900000000000003E-2</v>
      </c>
      <c r="J368" s="164">
        <f t="shared" si="63"/>
        <v>0</v>
      </c>
      <c r="K368" s="164">
        <f t="shared" si="64"/>
        <v>0</v>
      </c>
      <c r="L368" s="164">
        <f t="shared" si="65"/>
        <v>0</v>
      </c>
      <c r="M368" s="164">
        <f t="shared" si="66"/>
        <v>0</v>
      </c>
      <c r="N368" s="164">
        <f t="shared" si="67"/>
        <v>0</v>
      </c>
      <c r="O368" s="164">
        <f t="shared" si="68"/>
        <v>0</v>
      </c>
      <c r="P368" s="164">
        <f t="shared" si="69"/>
        <v>0</v>
      </c>
      <c r="Q368" s="164">
        <f t="shared" si="70"/>
        <v>0</v>
      </c>
      <c r="R368" s="164">
        <f t="shared" si="71"/>
        <v>0</v>
      </c>
      <c r="S368" s="164">
        <f t="shared" si="72"/>
        <v>0</v>
      </c>
      <c r="T368" s="164">
        <f t="shared" si="73"/>
        <v>0</v>
      </c>
    </row>
    <row r="369" spans="6:20" x14ac:dyDescent="0.2">
      <c r="F369" s="158">
        <v>358</v>
      </c>
      <c r="G369" s="249">
        <f t="shared" si="61"/>
        <v>54543</v>
      </c>
      <c r="H369" s="158">
        <f t="shared" si="62"/>
        <v>30</v>
      </c>
      <c r="I369" s="254">
        <v>9.9900000000000003E-2</v>
      </c>
      <c r="J369" s="164">
        <f t="shared" si="63"/>
        <v>0</v>
      </c>
      <c r="K369" s="164">
        <f t="shared" si="64"/>
        <v>0</v>
      </c>
      <c r="L369" s="164">
        <f t="shared" si="65"/>
        <v>0</v>
      </c>
      <c r="M369" s="164">
        <f t="shared" si="66"/>
        <v>0</v>
      </c>
      <c r="N369" s="164">
        <f t="shared" si="67"/>
        <v>0</v>
      </c>
      <c r="O369" s="164">
        <f t="shared" si="68"/>
        <v>0</v>
      </c>
      <c r="P369" s="164">
        <f t="shared" si="69"/>
        <v>0</v>
      </c>
      <c r="Q369" s="164">
        <f t="shared" si="70"/>
        <v>0</v>
      </c>
      <c r="R369" s="164">
        <f t="shared" si="71"/>
        <v>0</v>
      </c>
      <c r="S369" s="164">
        <f t="shared" si="72"/>
        <v>0</v>
      </c>
      <c r="T369" s="164">
        <f t="shared" si="73"/>
        <v>0</v>
      </c>
    </row>
    <row r="370" spans="6:20" x14ac:dyDescent="0.2">
      <c r="F370" s="158">
        <v>359</v>
      </c>
      <c r="G370" s="249">
        <f t="shared" si="61"/>
        <v>54574</v>
      </c>
      <c r="H370" s="158">
        <f t="shared" si="62"/>
        <v>31</v>
      </c>
      <c r="I370" s="254">
        <v>9.9900000000000003E-2</v>
      </c>
      <c r="J370" s="164">
        <f t="shared" si="63"/>
        <v>0</v>
      </c>
      <c r="K370" s="164">
        <f t="shared" si="64"/>
        <v>0</v>
      </c>
      <c r="L370" s="164">
        <f t="shared" si="65"/>
        <v>0</v>
      </c>
      <c r="M370" s="164">
        <f t="shared" si="66"/>
        <v>0</v>
      </c>
      <c r="N370" s="164">
        <f t="shared" si="67"/>
        <v>0</v>
      </c>
      <c r="O370" s="164">
        <f t="shared" si="68"/>
        <v>0</v>
      </c>
      <c r="P370" s="164">
        <f t="shared" si="69"/>
        <v>0</v>
      </c>
      <c r="Q370" s="164">
        <f t="shared" si="70"/>
        <v>0</v>
      </c>
      <c r="R370" s="164">
        <f t="shared" si="71"/>
        <v>0</v>
      </c>
      <c r="S370" s="164">
        <f t="shared" si="72"/>
        <v>0</v>
      </c>
      <c r="T370" s="164">
        <f t="shared" si="73"/>
        <v>0</v>
      </c>
    </row>
    <row r="371" spans="6:20" x14ac:dyDescent="0.2">
      <c r="F371" s="158">
        <v>360</v>
      </c>
      <c r="G371" s="249">
        <f t="shared" si="61"/>
        <v>54604</v>
      </c>
      <c r="H371" s="158">
        <f t="shared" si="62"/>
        <v>30</v>
      </c>
      <c r="I371" s="254">
        <v>9.9900000000000003E-2</v>
      </c>
      <c r="J371" s="164">
        <f t="shared" si="63"/>
        <v>0</v>
      </c>
      <c r="K371" s="164">
        <f t="shared" si="64"/>
        <v>0</v>
      </c>
      <c r="L371" s="164">
        <f t="shared" si="65"/>
        <v>0</v>
      </c>
      <c r="M371" s="164">
        <f t="shared" si="66"/>
        <v>0</v>
      </c>
      <c r="N371" s="164">
        <f t="shared" si="67"/>
        <v>0</v>
      </c>
      <c r="O371" s="164">
        <f t="shared" si="68"/>
        <v>0</v>
      </c>
      <c r="P371" s="164">
        <f t="shared" si="69"/>
        <v>0</v>
      </c>
      <c r="Q371" s="164">
        <f t="shared" si="70"/>
        <v>0</v>
      </c>
      <c r="R371" s="164">
        <f t="shared" si="71"/>
        <v>0</v>
      </c>
      <c r="S371" s="164">
        <f t="shared" si="72"/>
        <v>0</v>
      </c>
      <c r="T371" s="164">
        <f t="shared" si="73"/>
        <v>0</v>
      </c>
    </row>
    <row r="372" spans="6:20" x14ac:dyDescent="0.2">
      <c r="F372" s="158">
        <v>361</v>
      </c>
      <c r="G372" s="249">
        <f t="shared" si="61"/>
        <v>54635</v>
      </c>
      <c r="H372" s="158">
        <f t="shared" si="62"/>
        <v>31</v>
      </c>
      <c r="I372" s="254">
        <v>9.9900000000000003E-2</v>
      </c>
      <c r="J372" s="164">
        <f t="shared" si="63"/>
        <v>0</v>
      </c>
      <c r="K372" s="164">
        <f t="shared" si="64"/>
        <v>0</v>
      </c>
      <c r="L372" s="164">
        <f t="shared" si="65"/>
        <v>0</v>
      </c>
      <c r="M372" s="164">
        <f t="shared" si="66"/>
        <v>0</v>
      </c>
      <c r="N372" s="164">
        <f t="shared" si="67"/>
        <v>0</v>
      </c>
      <c r="O372" s="164">
        <f t="shared" si="68"/>
        <v>0</v>
      </c>
      <c r="P372" s="164">
        <f t="shared" si="69"/>
        <v>0</v>
      </c>
      <c r="Q372" s="164">
        <f t="shared" si="70"/>
        <v>0</v>
      </c>
      <c r="R372" s="164">
        <f t="shared" si="71"/>
        <v>0</v>
      </c>
      <c r="S372" s="164">
        <f t="shared" si="72"/>
        <v>0</v>
      </c>
      <c r="T372" s="164">
        <f t="shared" si="73"/>
        <v>0</v>
      </c>
    </row>
    <row r="373" spans="6:20" ht="15" x14ac:dyDescent="0.25">
      <c r="F373"/>
    </row>
    <row r="374" spans="6:20" ht="15" x14ac:dyDescent="0.25">
      <c r="F374"/>
    </row>
    <row r="375" spans="6:20" ht="15" x14ac:dyDescent="0.25">
      <c r="F375"/>
    </row>
    <row r="376" spans="6:20" ht="15" x14ac:dyDescent="0.25">
      <c r="F376"/>
    </row>
    <row r="377" spans="6:20" ht="15" x14ac:dyDescent="0.25">
      <c r="F377"/>
    </row>
    <row r="378" spans="6:20" ht="15" x14ac:dyDescent="0.25">
      <c r="F378"/>
    </row>
    <row r="379" spans="6:20" ht="15" x14ac:dyDescent="0.25">
      <c r="F379"/>
    </row>
    <row r="380" spans="6:20" ht="15" x14ac:dyDescent="0.25">
      <c r="F380"/>
    </row>
    <row r="381" spans="6:20" ht="15" x14ac:dyDescent="0.25">
      <c r="F381"/>
    </row>
    <row r="382" spans="6:20" ht="15" x14ac:dyDescent="0.25">
      <c r="F382"/>
    </row>
    <row r="383" spans="6:20" ht="15" x14ac:dyDescent="0.25">
      <c r="F383"/>
    </row>
    <row r="384" spans="6:20" ht="15" x14ac:dyDescent="0.25">
      <c r="F384"/>
    </row>
    <row r="385" spans="6:6" ht="15" x14ac:dyDescent="0.25">
      <c r="F385"/>
    </row>
    <row r="386" spans="6:6" ht="15" x14ac:dyDescent="0.25">
      <c r="F386"/>
    </row>
    <row r="387" spans="6:6" ht="15" x14ac:dyDescent="0.25">
      <c r="F387"/>
    </row>
    <row r="388" spans="6:6" ht="15" x14ac:dyDescent="0.25">
      <c r="F388"/>
    </row>
    <row r="389" spans="6:6" ht="15" x14ac:dyDescent="0.25">
      <c r="F389"/>
    </row>
    <row r="390" spans="6:6" ht="15" x14ac:dyDescent="0.25">
      <c r="F390"/>
    </row>
    <row r="391" spans="6:6" ht="15" x14ac:dyDescent="0.25">
      <c r="F391"/>
    </row>
    <row r="392" spans="6:6" ht="15" x14ac:dyDescent="0.25">
      <c r="F392"/>
    </row>
    <row r="393" spans="6:6" ht="15" x14ac:dyDescent="0.25">
      <c r="F393"/>
    </row>
    <row r="394" spans="6:6" ht="15" x14ac:dyDescent="0.25">
      <c r="F394"/>
    </row>
    <row r="395" spans="6:6" ht="15" x14ac:dyDescent="0.25">
      <c r="F395"/>
    </row>
    <row r="396" spans="6:6" ht="15" x14ac:dyDescent="0.25">
      <c r="F396"/>
    </row>
    <row r="397" spans="6:6" ht="15" x14ac:dyDescent="0.25">
      <c r="F397"/>
    </row>
    <row r="398" spans="6:6" ht="15" x14ac:dyDescent="0.25">
      <c r="F398"/>
    </row>
    <row r="399" spans="6:6" ht="15" x14ac:dyDescent="0.25">
      <c r="F399"/>
    </row>
    <row r="400" spans="6:6" ht="15" x14ac:dyDescent="0.25">
      <c r="F400"/>
    </row>
    <row r="401" spans="6:6" ht="15" x14ac:dyDescent="0.25">
      <c r="F401"/>
    </row>
    <row r="402" spans="6:6" ht="15" x14ac:dyDescent="0.25">
      <c r="F402"/>
    </row>
    <row r="403" spans="6:6" ht="15" x14ac:dyDescent="0.25">
      <c r="F403"/>
    </row>
    <row r="404" spans="6:6" ht="15" x14ac:dyDescent="0.25">
      <c r="F404"/>
    </row>
    <row r="405" spans="6:6" ht="15" x14ac:dyDescent="0.25">
      <c r="F405"/>
    </row>
    <row r="406" spans="6:6" ht="15" x14ac:dyDescent="0.25">
      <c r="F406"/>
    </row>
    <row r="407" spans="6:6" ht="15" x14ac:dyDescent="0.25">
      <c r="F407"/>
    </row>
    <row r="408" spans="6:6" ht="15" x14ac:dyDescent="0.25">
      <c r="F408"/>
    </row>
    <row r="409" spans="6:6" ht="15" x14ac:dyDescent="0.25">
      <c r="F409"/>
    </row>
    <row r="410" spans="6:6" ht="15" x14ac:dyDescent="0.25">
      <c r="F410"/>
    </row>
    <row r="411" spans="6:6" ht="15" x14ac:dyDescent="0.25">
      <c r="F411"/>
    </row>
    <row r="412" spans="6:6" ht="15" x14ac:dyDescent="0.25">
      <c r="F412"/>
    </row>
    <row r="413" spans="6:6" ht="15" x14ac:dyDescent="0.25">
      <c r="F413"/>
    </row>
    <row r="414" spans="6:6" ht="15" x14ac:dyDescent="0.25">
      <c r="F414"/>
    </row>
    <row r="415" spans="6:6" ht="15" x14ac:dyDescent="0.25">
      <c r="F415"/>
    </row>
    <row r="416" spans="6:6" ht="15" x14ac:dyDescent="0.25">
      <c r="F416"/>
    </row>
    <row r="417" spans="6:6" ht="15" x14ac:dyDescent="0.25">
      <c r="F417"/>
    </row>
    <row r="418" spans="6:6" ht="15" x14ac:dyDescent="0.25">
      <c r="F418"/>
    </row>
    <row r="419" spans="6:6" ht="15" x14ac:dyDescent="0.25">
      <c r="F419"/>
    </row>
    <row r="420" spans="6:6" ht="15" x14ac:dyDescent="0.25">
      <c r="F420"/>
    </row>
    <row r="421" spans="6:6" ht="15" x14ac:dyDescent="0.25">
      <c r="F421"/>
    </row>
    <row r="422" spans="6:6" ht="15" x14ac:dyDescent="0.25">
      <c r="F422"/>
    </row>
    <row r="423" spans="6:6" ht="15" x14ac:dyDescent="0.25">
      <c r="F423"/>
    </row>
    <row r="424" spans="6:6" ht="15" x14ac:dyDescent="0.25">
      <c r="F424"/>
    </row>
    <row r="425" spans="6:6" ht="15" x14ac:dyDescent="0.25">
      <c r="F425"/>
    </row>
    <row r="426" spans="6:6" ht="15" x14ac:dyDescent="0.25">
      <c r="F426"/>
    </row>
    <row r="427" spans="6:6" ht="15" x14ac:dyDescent="0.25">
      <c r="F427"/>
    </row>
  </sheetData>
  <customSheetViews>
    <customSheetView guid="{A6ED9047-BF5F-4715-989F-6B73F8A8D111}" state="hidden" topLeftCell="A25">
      <selection activeCell="N13" sqref="N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B2:U312"/>
  <sheetViews>
    <sheetView workbookViewId="0">
      <selection activeCell="B16" sqref="B16"/>
    </sheetView>
  </sheetViews>
  <sheetFormatPr defaultColWidth="9.140625" defaultRowHeight="12.75" x14ac:dyDescent="0.2"/>
  <cols>
    <col min="1" max="1" width="2" style="144" customWidth="1"/>
    <col min="2" max="2" width="36.42578125" style="144" customWidth="1"/>
    <col min="3" max="3" width="1.42578125" style="144" customWidth="1"/>
    <col min="4" max="4" width="15" style="144" customWidth="1"/>
    <col min="5" max="5" width="2.42578125" style="144" customWidth="1"/>
    <col min="6" max="6" width="4" style="144" customWidth="1"/>
    <col min="7" max="7" width="15.5703125" style="144" customWidth="1"/>
    <col min="8" max="8" width="12.85546875" style="144" customWidth="1"/>
    <col min="9" max="9" width="11.85546875" style="144" customWidth="1"/>
    <col min="10" max="10" width="13.5703125" style="255" customWidth="1"/>
    <col min="11" max="11" width="14.42578125" style="145" customWidth="1"/>
    <col min="12" max="12" width="11.85546875" style="145" customWidth="1"/>
    <col min="13" max="13" width="13.5703125" style="145" customWidth="1"/>
    <col min="14" max="14" width="11.42578125" style="145" customWidth="1"/>
    <col min="15" max="15" width="11.5703125" style="145" customWidth="1"/>
    <col min="16" max="16" width="11.42578125" style="145" bestFit="1" customWidth="1"/>
    <col min="17" max="17" width="14" style="145" customWidth="1"/>
    <col min="18" max="18" width="15" style="145" customWidth="1"/>
    <col min="19" max="19" width="11.85546875" style="145" customWidth="1"/>
    <col min="20" max="20" width="15.42578125" style="145" customWidth="1"/>
    <col min="21" max="16384" width="9.140625" style="144"/>
  </cols>
  <sheetData>
    <row r="2" spans="2:21" ht="15" x14ac:dyDescent="0.25">
      <c r="B2" s="242" t="s">
        <v>301</v>
      </c>
      <c r="D2" s="242" t="s">
        <v>302</v>
      </c>
      <c r="J2" s="144"/>
      <c r="K2" s="243"/>
      <c r="L2" s="144"/>
      <c r="M2" s="144"/>
      <c r="N2" s="144"/>
      <c r="O2" s="144"/>
      <c r="P2" s="144"/>
      <c r="Q2" s="144"/>
      <c r="R2" s="144"/>
      <c r="S2" s="144"/>
      <c r="T2" s="144"/>
    </row>
    <row r="3" spans="2:21" x14ac:dyDescent="0.2">
      <c r="B3" s="158" t="s">
        <v>303</v>
      </c>
      <c r="D3" s="221">
        <f>'Калькулятор_от дохода'!$P$123</f>
        <v>3971550.3973984802</v>
      </c>
      <c r="E3" s="17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1" x14ac:dyDescent="0.2">
      <c r="B4" s="158" t="s">
        <v>304</v>
      </c>
      <c r="D4" s="221">
        <f>'Расчет по доходу заемщика'!$F$41</f>
        <v>180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1" x14ac:dyDescent="0.2">
      <c r="B5" s="158" t="s">
        <v>42</v>
      </c>
      <c r="D5" s="244">
        <f>'Калькулятор_от дохода'!$P$129</f>
        <v>60000.000000000007</v>
      </c>
      <c r="J5" s="144"/>
      <c r="K5" s="144"/>
      <c r="L5" s="144"/>
      <c r="M5" s="144"/>
      <c r="N5" s="144"/>
      <c r="O5" s="144"/>
      <c r="P5" s="144"/>
      <c r="Q5" s="144"/>
      <c r="R5" s="144"/>
      <c r="S5" s="245"/>
      <c r="T5" s="245"/>
      <c r="U5" s="245"/>
    </row>
    <row r="6" spans="2:21" x14ac:dyDescent="0.2">
      <c r="B6" s="158" t="s">
        <v>305</v>
      </c>
      <c r="D6" s="221">
        <f>MATCH(0,K12:K263,0)-1</f>
        <v>97</v>
      </c>
      <c r="F6" s="246"/>
      <c r="G6" s="246"/>
      <c r="H6" s="246"/>
      <c r="I6" s="24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2:21" x14ac:dyDescent="0.2">
      <c r="B7" s="158" t="s">
        <v>306</v>
      </c>
      <c r="D7" s="247">
        <f>VLOOKUP(D4+1,$F$12:$L$263,4)</f>
        <v>9.9000000000000005E-2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2:21" ht="15" x14ac:dyDescent="0.25">
      <c r="B8" s="224" t="s">
        <v>224</v>
      </c>
      <c r="D8" s="221">
        <f>SUM($J$12:$J$311)-D3</f>
        <v>1800470.0109367138</v>
      </c>
      <c r="J8" s="144"/>
      <c r="K8" s="144"/>
      <c r="L8" s="144"/>
      <c r="M8" s="248" t="s">
        <v>307</v>
      </c>
      <c r="N8" s="144"/>
      <c r="O8" s="144"/>
      <c r="P8" s="144"/>
      <c r="Q8" s="144"/>
      <c r="R8" s="144"/>
      <c r="S8" s="144"/>
      <c r="T8" s="144"/>
    </row>
    <row r="9" spans="2:21" ht="15" x14ac:dyDescent="0.25">
      <c r="B9" s="224" t="s">
        <v>308</v>
      </c>
      <c r="D9" s="249">
        <f>'Калькулятор_от дохода'!$V$114</f>
        <v>43647</v>
      </c>
      <c r="J9" s="144"/>
      <c r="K9" s="144"/>
      <c r="L9" s="144"/>
      <c r="M9" s="248"/>
      <c r="N9" s="144"/>
      <c r="O9" s="144"/>
      <c r="P9" s="144"/>
      <c r="Q9" s="144"/>
      <c r="R9" s="144"/>
      <c r="S9" s="144"/>
      <c r="T9" s="144"/>
    </row>
    <row r="10" spans="2:21" s="250" customFormat="1" ht="51" x14ac:dyDescent="0.2">
      <c r="B10" s="171"/>
      <c r="C10" s="171"/>
      <c r="D10" s="171"/>
      <c r="F10" s="251"/>
      <c r="G10" s="252" t="s">
        <v>0</v>
      </c>
      <c r="H10" s="252" t="s">
        <v>3</v>
      </c>
      <c r="I10" s="252" t="s">
        <v>309</v>
      </c>
      <c r="J10" s="252" t="s">
        <v>42</v>
      </c>
      <c r="K10" s="252" t="s">
        <v>310</v>
      </c>
      <c r="L10" s="252" t="s">
        <v>311</v>
      </c>
      <c r="M10" s="252" t="s">
        <v>312</v>
      </c>
      <c r="N10" s="252" t="s">
        <v>313</v>
      </c>
      <c r="O10" s="252" t="s">
        <v>314</v>
      </c>
      <c r="P10" s="252" t="s">
        <v>315</v>
      </c>
      <c r="Q10" s="252" t="s">
        <v>316</v>
      </c>
      <c r="R10" s="252" t="s">
        <v>317</v>
      </c>
      <c r="S10" s="252" t="s">
        <v>318</v>
      </c>
      <c r="T10" s="252" t="s">
        <v>319</v>
      </c>
    </row>
    <row r="11" spans="2:21" s="250" customFormat="1" x14ac:dyDescent="0.25">
      <c r="B11" s="253"/>
      <c r="D11" s="253"/>
      <c r="F11" s="251">
        <v>1</v>
      </c>
      <c r="G11" s="251">
        <v>2</v>
      </c>
      <c r="H11" s="251">
        <v>3</v>
      </c>
      <c r="I11" s="251">
        <v>2</v>
      </c>
      <c r="J11" s="251">
        <v>3</v>
      </c>
      <c r="K11" s="251">
        <v>4</v>
      </c>
      <c r="L11" s="251">
        <v>5</v>
      </c>
      <c r="M11" s="251">
        <v>6</v>
      </c>
      <c r="N11" s="251">
        <v>7</v>
      </c>
      <c r="O11" s="251">
        <v>8</v>
      </c>
      <c r="P11" s="251">
        <v>9</v>
      </c>
      <c r="Q11" s="251">
        <v>10</v>
      </c>
      <c r="R11" s="251">
        <v>11</v>
      </c>
      <c r="S11" s="251">
        <v>12</v>
      </c>
      <c r="T11" s="251">
        <v>13</v>
      </c>
    </row>
    <row r="12" spans="2:21" x14ac:dyDescent="0.2">
      <c r="B12" s="171"/>
      <c r="D12" s="171"/>
      <c r="F12" s="158">
        <v>1</v>
      </c>
      <c r="G12" s="249">
        <f>EOMONTH($D$9,F12-1)</f>
        <v>43677</v>
      </c>
      <c r="H12" s="158">
        <f>G12-D9</f>
        <v>30</v>
      </c>
      <c r="I12" s="254">
        <f>VLOOKUP(G12,'Прогноз переменной ставки'!$B$5:$E$304,4,1)</f>
        <v>9.9900000000000003E-2</v>
      </c>
      <c r="J12" s="164">
        <f>IF(F12=$D$4,K12+N12,MIN($D$5,K12+N12))</f>
        <v>60000.000000000007</v>
      </c>
      <c r="K12" s="164">
        <f>L12+M12</f>
        <v>3971550.3973984802</v>
      </c>
      <c r="L12" s="164">
        <f>D3</f>
        <v>3971550.3973984802</v>
      </c>
      <c r="M12" s="164">
        <v>0</v>
      </c>
      <c r="N12" s="164">
        <f>L12*I12/365.25*H12</f>
        <v>32587.916607811763</v>
      </c>
      <c r="O12" s="164">
        <f t="shared" ref="O12:O75" si="0">MIN(J12-Q12-P12,L12)</f>
        <v>27412.083392188244</v>
      </c>
      <c r="P12" s="164">
        <f t="shared" ref="P12:P75" si="1">MIN(J12-Q12,N12)</f>
        <v>32587.916607811763</v>
      </c>
      <c r="Q12" s="164">
        <f t="shared" ref="Q12:Q75" si="2">MIN(J12,M12)</f>
        <v>0</v>
      </c>
      <c r="R12" s="164">
        <f>MAX(N12-P12,0)</f>
        <v>0</v>
      </c>
      <c r="S12" s="164">
        <f t="shared" ref="S12:S75" si="3">L12-O12</f>
        <v>3944138.3140062918</v>
      </c>
      <c r="T12" s="164">
        <f t="shared" ref="T12:T75" si="4">M12+R12-Q12</f>
        <v>0</v>
      </c>
    </row>
    <row r="13" spans="2:21" x14ac:dyDescent="0.2">
      <c r="B13" s="171"/>
      <c r="D13" s="171"/>
      <c r="F13" s="158">
        <v>2</v>
      </c>
      <c r="G13" s="249">
        <f t="shared" ref="G13:G76" si="5">EOMONTH($D$9,F13-1)</f>
        <v>43708</v>
      </c>
      <c r="H13" s="158">
        <f>G13-G12</f>
        <v>31</v>
      </c>
      <c r="I13" s="254">
        <f>VLOOKUP(G13,'Прогноз переменной ставки'!$B$5:$E$304,4,1)</f>
        <v>9.9900000000000003E-2</v>
      </c>
      <c r="J13" s="164">
        <f t="shared" ref="J13:J76" si="6">IF(F13=$D$4,K13+N13,MIN($D$5,K13+N13))</f>
        <v>60000.000000000007</v>
      </c>
      <c r="K13" s="164">
        <f t="shared" ref="K13:K76" si="7">L13+M13</f>
        <v>3944138.3140062918</v>
      </c>
      <c r="L13" s="164">
        <f>S12</f>
        <v>3944138.3140062918</v>
      </c>
      <c r="M13" s="164">
        <f>T12</f>
        <v>0</v>
      </c>
      <c r="N13" s="164">
        <f t="shared" ref="N13:N76" si="8">L13*I13/365.25*H13</f>
        <v>33441.757548654576</v>
      </c>
      <c r="O13" s="164">
        <f t="shared" si="0"/>
        <v>26558.242451345432</v>
      </c>
      <c r="P13" s="164">
        <f t="shared" si="1"/>
        <v>33441.757548654576</v>
      </c>
      <c r="Q13" s="164">
        <f t="shared" si="2"/>
        <v>0</v>
      </c>
      <c r="R13" s="164">
        <f>MAX(N13-P13,0)</f>
        <v>0</v>
      </c>
      <c r="S13" s="164">
        <f t="shared" si="3"/>
        <v>3917580.0715549462</v>
      </c>
      <c r="T13" s="164">
        <f t="shared" si="4"/>
        <v>0</v>
      </c>
    </row>
    <row r="14" spans="2:21" x14ac:dyDescent="0.2">
      <c r="B14" s="171"/>
      <c r="D14" s="171"/>
      <c r="F14" s="158">
        <v>3</v>
      </c>
      <c r="G14" s="249">
        <f t="shared" si="5"/>
        <v>43738</v>
      </c>
      <c r="H14" s="158">
        <f t="shared" ref="H14:H77" si="9">G14-G13</f>
        <v>30</v>
      </c>
      <c r="I14" s="254">
        <f>VLOOKUP(G14,'Прогноз переменной ставки'!$B$5:$E$304,4,1)</f>
        <v>9.9900000000000003E-2</v>
      </c>
      <c r="J14" s="164">
        <f t="shared" si="6"/>
        <v>60000.000000000007</v>
      </c>
      <c r="K14" s="164">
        <f t="shared" si="7"/>
        <v>3917580.0715549462</v>
      </c>
      <c r="L14" s="164">
        <f t="shared" ref="L14:M77" si="10">S13</f>
        <v>3917580.0715549462</v>
      </c>
      <c r="M14" s="164">
        <f t="shared" si="10"/>
        <v>0</v>
      </c>
      <c r="N14" s="164">
        <f t="shared" si="8"/>
        <v>32145.07179863155</v>
      </c>
      <c r="O14" s="164">
        <f t="shared" si="0"/>
        <v>27854.928201368457</v>
      </c>
      <c r="P14" s="164">
        <f t="shared" si="1"/>
        <v>32145.07179863155</v>
      </c>
      <c r="Q14" s="164">
        <f t="shared" si="2"/>
        <v>0</v>
      </c>
      <c r="R14" s="164">
        <f t="shared" ref="R14:R77" si="11">MAX(N14-P14,0)</f>
        <v>0</v>
      </c>
      <c r="S14" s="164">
        <f t="shared" si="3"/>
        <v>3889725.1433535777</v>
      </c>
      <c r="T14" s="164">
        <f t="shared" si="4"/>
        <v>0</v>
      </c>
    </row>
    <row r="15" spans="2:21" x14ac:dyDescent="0.2">
      <c r="B15" s="171"/>
      <c r="D15" s="171"/>
      <c r="F15" s="158">
        <v>4</v>
      </c>
      <c r="G15" s="249">
        <f t="shared" si="5"/>
        <v>43769</v>
      </c>
      <c r="H15" s="158">
        <f t="shared" si="9"/>
        <v>31</v>
      </c>
      <c r="I15" s="254">
        <f>VLOOKUP(G15,'Прогноз переменной ставки'!$B$5:$E$304,4,1)</f>
        <v>9.9900000000000003E-2</v>
      </c>
      <c r="J15" s="164">
        <f t="shared" si="6"/>
        <v>60000.000000000007</v>
      </c>
      <c r="K15" s="164">
        <f t="shared" si="7"/>
        <v>3889725.1433535777</v>
      </c>
      <c r="L15" s="164">
        <f t="shared" si="10"/>
        <v>3889725.1433535777</v>
      </c>
      <c r="M15" s="164">
        <f t="shared" si="10"/>
        <v>0</v>
      </c>
      <c r="N15" s="164">
        <f t="shared" si="8"/>
        <v>32980.396431079251</v>
      </c>
      <c r="O15" s="164">
        <f t="shared" si="0"/>
        <v>27019.603568920757</v>
      </c>
      <c r="P15" s="164">
        <f t="shared" si="1"/>
        <v>32980.396431079251</v>
      </c>
      <c r="Q15" s="164">
        <f t="shared" si="2"/>
        <v>0</v>
      </c>
      <c r="R15" s="164">
        <f t="shared" si="11"/>
        <v>0</v>
      </c>
      <c r="S15" s="164">
        <f t="shared" si="3"/>
        <v>3862705.5397846568</v>
      </c>
      <c r="T15" s="164">
        <f t="shared" si="4"/>
        <v>0</v>
      </c>
    </row>
    <row r="16" spans="2:21" x14ac:dyDescent="0.2">
      <c r="B16" s="171"/>
      <c r="D16" s="171"/>
      <c r="F16" s="158">
        <v>5</v>
      </c>
      <c r="G16" s="249">
        <f t="shared" si="5"/>
        <v>43799</v>
      </c>
      <c r="H16" s="158">
        <f t="shared" si="9"/>
        <v>30</v>
      </c>
      <c r="I16" s="254">
        <f>VLOOKUP(G16,'Прогноз переменной ставки'!$B$5:$E$304,4,1)</f>
        <v>9.9900000000000003E-2</v>
      </c>
      <c r="J16" s="164">
        <f t="shared" si="6"/>
        <v>60000.000000000007</v>
      </c>
      <c r="K16" s="164">
        <f t="shared" si="7"/>
        <v>3862705.5397846568</v>
      </c>
      <c r="L16" s="164">
        <f t="shared" si="10"/>
        <v>3862705.5397846568</v>
      </c>
      <c r="M16" s="164">
        <f t="shared" si="10"/>
        <v>0</v>
      </c>
      <c r="N16" s="164">
        <f t="shared" si="8"/>
        <v>31694.807673469179</v>
      </c>
      <c r="O16" s="164">
        <f t="shared" si="0"/>
        <v>28305.192326530829</v>
      </c>
      <c r="P16" s="164">
        <f t="shared" si="1"/>
        <v>31694.807673469179</v>
      </c>
      <c r="Q16" s="164">
        <f t="shared" si="2"/>
        <v>0</v>
      </c>
      <c r="R16" s="164">
        <f t="shared" si="11"/>
        <v>0</v>
      </c>
      <c r="S16" s="164">
        <f t="shared" si="3"/>
        <v>3834400.347458126</v>
      </c>
      <c r="T16" s="164">
        <f t="shared" si="4"/>
        <v>0</v>
      </c>
    </row>
    <row r="17" spans="2:20" x14ac:dyDescent="0.2">
      <c r="B17" s="171"/>
      <c r="D17" s="171"/>
      <c r="F17" s="158">
        <v>6</v>
      </c>
      <c r="G17" s="249">
        <f t="shared" si="5"/>
        <v>43830</v>
      </c>
      <c r="H17" s="158">
        <f t="shared" si="9"/>
        <v>31</v>
      </c>
      <c r="I17" s="254">
        <f>VLOOKUP(G17,'Прогноз переменной ставки'!$B$5:$E$304,4,1)</f>
        <v>9.9900000000000003E-2</v>
      </c>
      <c r="J17" s="164">
        <f t="shared" si="6"/>
        <v>60000.000000000007</v>
      </c>
      <c r="K17" s="164">
        <f t="shared" si="7"/>
        <v>3834400.347458126</v>
      </c>
      <c r="L17" s="164">
        <f t="shared" si="10"/>
        <v>3834400.347458126</v>
      </c>
      <c r="M17" s="164">
        <f t="shared" si="10"/>
        <v>0</v>
      </c>
      <c r="N17" s="164">
        <f t="shared" si="8"/>
        <v>32511.305779720937</v>
      </c>
      <c r="O17" s="164">
        <f t="shared" si="0"/>
        <v>27488.694220279071</v>
      </c>
      <c r="P17" s="164">
        <f t="shared" si="1"/>
        <v>32511.305779720937</v>
      </c>
      <c r="Q17" s="164">
        <f t="shared" si="2"/>
        <v>0</v>
      </c>
      <c r="R17" s="164">
        <f t="shared" si="11"/>
        <v>0</v>
      </c>
      <c r="S17" s="164">
        <f t="shared" si="3"/>
        <v>3806911.6532378471</v>
      </c>
      <c r="T17" s="164">
        <f t="shared" si="4"/>
        <v>0</v>
      </c>
    </row>
    <row r="18" spans="2:20" x14ac:dyDescent="0.2">
      <c r="B18" s="171"/>
      <c r="D18" s="171"/>
      <c r="F18" s="158">
        <v>7</v>
      </c>
      <c r="G18" s="249">
        <f t="shared" si="5"/>
        <v>43861</v>
      </c>
      <c r="H18" s="158">
        <f t="shared" si="9"/>
        <v>31</v>
      </c>
      <c r="I18" s="254">
        <f>VLOOKUP(G18,'Прогноз переменной ставки'!$B$5:$E$304,4,1)</f>
        <v>9.9000000000000005E-2</v>
      </c>
      <c r="J18" s="164">
        <f t="shared" si="6"/>
        <v>60000.000000000007</v>
      </c>
      <c r="K18" s="164">
        <f t="shared" si="7"/>
        <v>3806911.6532378471</v>
      </c>
      <c r="L18" s="164">
        <f>S17</f>
        <v>3806911.6532378471</v>
      </c>
      <c r="M18" s="164">
        <f>T17</f>
        <v>0</v>
      </c>
      <c r="N18" s="164">
        <f t="shared" si="8"/>
        <v>31987.43836765764</v>
      </c>
      <c r="O18" s="164">
        <f t="shared" si="0"/>
        <v>28012.561632342367</v>
      </c>
      <c r="P18" s="164">
        <f t="shared" si="1"/>
        <v>31987.43836765764</v>
      </c>
      <c r="Q18" s="164">
        <f t="shared" si="2"/>
        <v>0</v>
      </c>
      <c r="R18" s="164">
        <f>MAX(N18-P18,0)</f>
        <v>0</v>
      </c>
      <c r="S18" s="164">
        <f t="shared" si="3"/>
        <v>3778899.091605505</v>
      </c>
      <c r="T18" s="164">
        <f t="shared" si="4"/>
        <v>0</v>
      </c>
    </row>
    <row r="19" spans="2:20" x14ac:dyDescent="0.2">
      <c r="B19" s="171"/>
      <c r="D19" s="171"/>
      <c r="F19" s="158">
        <v>8</v>
      </c>
      <c r="G19" s="249">
        <f t="shared" si="5"/>
        <v>43890</v>
      </c>
      <c r="H19" s="158">
        <f t="shared" si="9"/>
        <v>29</v>
      </c>
      <c r="I19" s="254">
        <f>VLOOKUP(G19,'Прогноз переменной ставки'!$B$5:$E$304,4,1)</f>
        <v>9.9000000000000005E-2</v>
      </c>
      <c r="J19" s="164">
        <f t="shared" si="6"/>
        <v>60000.000000000007</v>
      </c>
      <c r="K19" s="164">
        <f t="shared" si="7"/>
        <v>3778899.091605505</v>
      </c>
      <c r="L19" s="164">
        <f>S18</f>
        <v>3778899.091605505</v>
      </c>
      <c r="M19" s="164">
        <f>T18</f>
        <v>0</v>
      </c>
      <c r="N19" s="164">
        <f t="shared" si="8"/>
        <v>29703.54357836935</v>
      </c>
      <c r="O19" s="164">
        <f t="shared" si="0"/>
        <v>30296.456421630657</v>
      </c>
      <c r="P19" s="164">
        <f t="shared" si="1"/>
        <v>29703.54357836935</v>
      </c>
      <c r="Q19" s="164">
        <f t="shared" si="2"/>
        <v>0</v>
      </c>
      <c r="R19" s="164">
        <f t="shared" si="11"/>
        <v>0</v>
      </c>
      <c r="S19" s="164">
        <f t="shared" si="3"/>
        <v>3748602.6351838745</v>
      </c>
      <c r="T19" s="164">
        <f t="shared" si="4"/>
        <v>0</v>
      </c>
    </row>
    <row r="20" spans="2:20" x14ac:dyDescent="0.2">
      <c r="B20" s="171"/>
      <c r="D20" s="171"/>
      <c r="F20" s="158">
        <v>9</v>
      </c>
      <c r="G20" s="249">
        <f t="shared" si="5"/>
        <v>43921</v>
      </c>
      <c r="H20" s="158">
        <f t="shared" si="9"/>
        <v>31</v>
      </c>
      <c r="I20" s="254">
        <f>VLOOKUP(G20,'Прогноз переменной ставки'!$B$5:$E$304,4,1)</f>
        <v>9.9000000000000005E-2</v>
      </c>
      <c r="J20" s="164">
        <f t="shared" si="6"/>
        <v>60000.000000000007</v>
      </c>
      <c r="K20" s="164">
        <f t="shared" si="7"/>
        <v>3748602.6351838745</v>
      </c>
      <c r="L20" s="164">
        <f t="shared" si="10"/>
        <v>3748602.6351838745</v>
      </c>
      <c r="M20" s="164">
        <f t="shared" si="10"/>
        <v>0</v>
      </c>
      <c r="N20" s="164">
        <f t="shared" si="8"/>
        <v>31497.498938752393</v>
      </c>
      <c r="O20" s="164">
        <f t="shared" si="0"/>
        <v>28502.501061247614</v>
      </c>
      <c r="P20" s="164">
        <f t="shared" si="1"/>
        <v>31497.498938752393</v>
      </c>
      <c r="Q20" s="164">
        <f t="shared" si="2"/>
        <v>0</v>
      </c>
      <c r="R20" s="164">
        <f t="shared" si="11"/>
        <v>0</v>
      </c>
      <c r="S20" s="164">
        <f t="shared" si="3"/>
        <v>3720100.1341226269</v>
      </c>
      <c r="T20" s="164">
        <f t="shared" si="4"/>
        <v>0</v>
      </c>
    </row>
    <row r="21" spans="2:20" x14ac:dyDescent="0.2">
      <c r="B21" s="171"/>
      <c r="D21" s="171"/>
      <c r="F21" s="158">
        <v>10</v>
      </c>
      <c r="G21" s="249">
        <f t="shared" si="5"/>
        <v>43951</v>
      </c>
      <c r="H21" s="158">
        <f t="shared" si="9"/>
        <v>30</v>
      </c>
      <c r="I21" s="254">
        <f>VLOOKUP(G21,'Прогноз переменной ставки'!$B$5:$E$304,4,1)</f>
        <v>9.9000000000000005E-2</v>
      </c>
      <c r="J21" s="164">
        <f t="shared" si="6"/>
        <v>60000.000000000007</v>
      </c>
      <c r="K21" s="164">
        <f t="shared" si="7"/>
        <v>3720100.1341226269</v>
      </c>
      <c r="L21" s="164">
        <f t="shared" si="10"/>
        <v>3720100.1341226269</v>
      </c>
      <c r="M21" s="164">
        <f t="shared" si="10"/>
        <v>0</v>
      </c>
      <c r="N21" s="164">
        <f t="shared" si="8"/>
        <v>30249.684868841076</v>
      </c>
      <c r="O21" s="164">
        <f t="shared" si="0"/>
        <v>29750.315131158932</v>
      </c>
      <c r="P21" s="164">
        <f t="shared" si="1"/>
        <v>30249.684868841076</v>
      </c>
      <c r="Q21" s="164">
        <f t="shared" si="2"/>
        <v>0</v>
      </c>
      <c r="R21" s="164">
        <f t="shared" si="11"/>
        <v>0</v>
      </c>
      <c r="S21" s="164">
        <f t="shared" si="3"/>
        <v>3690349.8189914678</v>
      </c>
      <c r="T21" s="164">
        <f t="shared" si="4"/>
        <v>0</v>
      </c>
    </row>
    <row r="22" spans="2:20" x14ac:dyDescent="0.2">
      <c r="B22" s="171"/>
      <c r="D22" s="171"/>
      <c r="F22" s="158">
        <v>11</v>
      </c>
      <c r="G22" s="249">
        <f t="shared" si="5"/>
        <v>43982</v>
      </c>
      <c r="H22" s="158">
        <f t="shared" si="9"/>
        <v>31</v>
      </c>
      <c r="I22" s="254">
        <f>VLOOKUP(G22,'Прогноз переменной ставки'!$B$5:$E$304,4,1)</f>
        <v>9.9000000000000005E-2</v>
      </c>
      <c r="J22" s="164">
        <f t="shared" si="6"/>
        <v>60000.000000000007</v>
      </c>
      <c r="K22" s="164">
        <f t="shared" si="7"/>
        <v>3690349.8189914678</v>
      </c>
      <c r="L22" s="164">
        <f t="shared" si="10"/>
        <v>3690349.8189914678</v>
      </c>
      <c r="M22" s="164">
        <f t="shared" si="10"/>
        <v>0</v>
      </c>
      <c r="N22" s="164">
        <f t="shared" si="8"/>
        <v>31008.031743969375</v>
      </c>
      <c r="O22" s="164">
        <f t="shared" si="0"/>
        <v>28991.968256030632</v>
      </c>
      <c r="P22" s="164">
        <f t="shared" si="1"/>
        <v>31008.031743969375</v>
      </c>
      <c r="Q22" s="164">
        <f t="shared" si="2"/>
        <v>0</v>
      </c>
      <c r="R22" s="164">
        <f t="shared" si="11"/>
        <v>0</v>
      </c>
      <c r="S22" s="164">
        <f t="shared" si="3"/>
        <v>3661357.8507354371</v>
      </c>
      <c r="T22" s="164">
        <f t="shared" si="4"/>
        <v>0</v>
      </c>
    </row>
    <row r="23" spans="2:20" x14ac:dyDescent="0.2">
      <c r="B23" s="171"/>
      <c r="D23" s="171"/>
      <c r="F23" s="158">
        <v>12</v>
      </c>
      <c r="G23" s="249">
        <f t="shared" si="5"/>
        <v>44012</v>
      </c>
      <c r="H23" s="158">
        <f t="shared" si="9"/>
        <v>30</v>
      </c>
      <c r="I23" s="254">
        <f>VLOOKUP(G23,'Прогноз переменной ставки'!$B$5:$E$304,4,1)</f>
        <v>9.9000000000000005E-2</v>
      </c>
      <c r="J23" s="164">
        <f t="shared" si="6"/>
        <v>60000.000000000007</v>
      </c>
      <c r="K23" s="164">
        <f t="shared" si="7"/>
        <v>3661357.8507354371</v>
      </c>
      <c r="L23" s="164">
        <f t="shared" si="10"/>
        <v>3661357.8507354371</v>
      </c>
      <c r="M23" s="164">
        <f t="shared" si="10"/>
        <v>0</v>
      </c>
      <c r="N23" s="164">
        <f t="shared" si="8"/>
        <v>29772.026876616696</v>
      </c>
      <c r="O23" s="164">
        <f t="shared" si="0"/>
        <v>30227.973123383312</v>
      </c>
      <c r="P23" s="164">
        <f t="shared" si="1"/>
        <v>29772.026876616696</v>
      </c>
      <c r="Q23" s="164">
        <f t="shared" si="2"/>
        <v>0</v>
      </c>
      <c r="R23" s="164">
        <f t="shared" si="11"/>
        <v>0</v>
      </c>
      <c r="S23" s="164">
        <f t="shared" si="3"/>
        <v>3631129.8776120539</v>
      </c>
      <c r="T23" s="164">
        <f t="shared" si="4"/>
        <v>0</v>
      </c>
    </row>
    <row r="24" spans="2:20" x14ac:dyDescent="0.2">
      <c r="B24" s="171"/>
      <c r="D24" s="171"/>
      <c r="F24" s="158">
        <v>13</v>
      </c>
      <c r="G24" s="249">
        <f t="shared" si="5"/>
        <v>44043</v>
      </c>
      <c r="H24" s="158">
        <f t="shared" si="9"/>
        <v>31</v>
      </c>
      <c r="I24" s="254">
        <f>VLOOKUP(G24,'Прогноз переменной ставки'!$B$5:$E$304,4,1)</f>
        <v>9.9000000000000005E-2</v>
      </c>
      <c r="J24" s="164">
        <f t="shared" si="6"/>
        <v>60000.000000000007</v>
      </c>
      <c r="K24" s="164">
        <f t="shared" si="7"/>
        <v>3631129.8776120539</v>
      </c>
      <c r="L24" s="164">
        <f>S23</f>
        <v>3631129.8776120539</v>
      </c>
      <c r="M24" s="164">
        <f>T23</f>
        <v>0</v>
      </c>
      <c r="N24" s="164">
        <f t="shared" si="8"/>
        <v>30510.438314555493</v>
      </c>
      <c r="O24" s="164">
        <f t="shared" si="0"/>
        <v>29489.561685444514</v>
      </c>
      <c r="P24" s="164">
        <f t="shared" si="1"/>
        <v>30510.438314555493</v>
      </c>
      <c r="Q24" s="164">
        <f t="shared" si="2"/>
        <v>0</v>
      </c>
      <c r="R24" s="164">
        <f t="shared" si="11"/>
        <v>0</v>
      </c>
      <c r="S24" s="164">
        <f t="shared" si="3"/>
        <v>3601640.3159266096</v>
      </c>
      <c r="T24" s="164">
        <f t="shared" si="4"/>
        <v>0</v>
      </c>
    </row>
    <row r="25" spans="2:20" x14ac:dyDescent="0.2">
      <c r="B25" s="171"/>
      <c r="D25" s="171"/>
      <c r="F25" s="158">
        <v>14</v>
      </c>
      <c r="G25" s="249">
        <f t="shared" si="5"/>
        <v>44074</v>
      </c>
      <c r="H25" s="158">
        <f t="shared" si="9"/>
        <v>31</v>
      </c>
      <c r="I25" s="254">
        <f>VLOOKUP(G25,'Прогноз переменной ставки'!$B$5:$E$304,4,1)</f>
        <v>9.9000000000000005E-2</v>
      </c>
      <c r="J25" s="164">
        <f t="shared" si="6"/>
        <v>60000.000000000007</v>
      </c>
      <c r="K25" s="164">
        <f t="shared" si="7"/>
        <v>3601640.3159266096</v>
      </c>
      <c r="L25" s="164">
        <f t="shared" si="10"/>
        <v>3601640.3159266096</v>
      </c>
      <c r="M25" s="164">
        <f t="shared" si="10"/>
        <v>0</v>
      </c>
      <c r="N25" s="164">
        <f t="shared" si="8"/>
        <v>30262.653332180056</v>
      </c>
      <c r="O25" s="164">
        <f t="shared" si="0"/>
        <v>29737.346667819951</v>
      </c>
      <c r="P25" s="164">
        <f t="shared" si="1"/>
        <v>30262.653332180056</v>
      </c>
      <c r="Q25" s="164">
        <f t="shared" si="2"/>
        <v>0</v>
      </c>
      <c r="R25" s="164">
        <f t="shared" si="11"/>
        <v>0</v>
      </c>
      <c r="S25" s="164">
        <f t="shared" si="3"/>
        <v>3571902.9692587894</v>
      </c>
      <c r="T25" s="164">
        <f t="shared" si="4"/>
        <v>0</v>
      </c>
    </row>
    <row r="26" spans="2:20" x14ac:dyDescent="0.2">
      <c r="B26" s="171"/>
      <c r="D26" s="171"/>
      <c r="F26" s="158">
        <v>15</v>
      </c>
      <c r="G26" s="249">
        <f t="shared" si="5"/>
        <v>44104</v>
      </c>
      <c r="H26" s="158">
        <f t="shared" si="9"/>
        <v>30</v>
      </c>
      <c r="I26" s="254">
        <f>VLOOKUP(G26,'Прогноз переменной ставки'!$B$5:$E$304,4,1)</f>
        <v>9.9000000000000005E-2</v>
      </c>
      <c r="J26" s="164">
        <f t="shared" si="6"/>
        <v>60000.000000000007</v>
      </c>
      <c r="K26" s="164">
        <f t="shared" si="7"/>
        <v>3571902.9692587894</v>
      </c>
      <c r="L26" s="164">
        <f t="shared" si="10"/>
        <v>3571902.9692587894</v>
      </c>
      <c r="M26" s="164">
        <f t="shared" si="10"/>
        <v>0</v>
      </c>
      <c r="N26" s="164">
        <f t="shared" si="8"/>
        <v>29044.63194715566</v>
      </c>
      <c r="O26" s="164">
        <f t="shared" si="0"/>
        <v>30955.368052844347</v>
      </c>
      <c r="P26" s="164">
        <f t="shared" si="1"/>
        <v>29044.63194715566</v>
      </c>
      <c r="Q26" s="164">
        <f t="shared" si="2"/>
        <v>0</v>
      </c>
      <c r="R26" s="164">
        <f t="shared" si="11"/>
        <v>0</v>
      </c>
      <c r="S26" s="164">
        <f t="shared" si="3"/>
        <v>3540947.601205945</v>
      </c>
      <c r="T26" s="164">
        <f t="shared" si="4"/>
        <v>0</v>
      </c>
    </row>
    <row r="27" spans="2:20" x14ac:dyDescent="0.2">
      <c r="B27" s="171"/>
      <c r="D27" s="171"/>
      <c r="F27" s="158">
        <v>16</v>
      </c>
      <c r="G27" s="249">
        <f t="shared" si="5"/>
        <v>44135</v>
      </c>
      <c r="H27" s="158">
        <f t="shared" si="9"/>
        <v>31</v>
      </c>
      <c r="I27" s="254">
        <f>VLOOKUP(G27,'Прогноз переменной ставки'!$B$5:$E$304,4,1)</f>
        <v>9.9000000000000005E-2</v>
      </c>
      <c r="J27" s="164">
        <f t="shared" si="6"/>
        <v>60000.000000000007</v>
      </c>
      <c r="K27" s="164">
        <f t="shared" si="7"/>
        <v>3540947.601205945</v>
      </c>
      <c r="L27" s="164">
        <f t="shared" si="10"/>
        <v>3540947.601205945</v>
      </c>
      <c r="M27" s="164">
        <f t="shared" si="10"/>
        <v>0</v>
      </c>
      <c r="N27" s="164">
        <f t="shared" si="8"/>
        <v>29752.684977689376</v>
      </c>
      <c r="O27" s="164">
        <f t="shared" si="0"/>
        <v>30247.315022310631</v>
      </c>
      <c r="P27" s="164">
        <f t="shared" si="1"/>
        <v>29752.684977689376</v>
      </c>
      <c r="Q27" s="164">
        <f t="shared" si="2"/>
        <v>0</v>
      </c>
      <c r="R27" s="164">
        <f t="shared" si="11"/>
        <v>0</v>
      </c>
      <c r="S27" s="164">
        <f t="shared" si="3"/>
        <v>3510700.2861836343</v>
      </c>
      <c r="T27" s="164">
        <f t="shared" si="4"/>
        <v>0</v>
      </c>
    </row>
    <row r="28" spans="2:20" x14ac:dyDescent="0.2">
      <c r="B28" s="171"/>
      <c r="D28" s="171"/>
      <c r="F28" s="158">
        <v>17</v>
      </c>
      <c r="G28" s="249">
        <f t="shared" si="5"/>
        <v>44165</v>
      </c>
      <c r="H28" s="158">
        <f t="shared" si="9"/>
        <v>30</v>
      </c>
      <c r="I28" s="254">
        <f>VLOOKUP(G28,'Прогноз переменной ставки'!$B$5:$E$304,4,1)</f>
        <v>9.9000000000000005E-2</v>
      </c>
      <c r="J28" s="164">
        <f t="shared" si="6"/>
        <v>60000.000000000007</v>
      </c>
      <c r="K28" s="164">
        <f t="shared" si="7"/>
        <v>3510700.2861836343</v>
      </c>
      <c r="L28" s="164">
        <f t="shared" si="10"/>
        <v>3510700.2861836343</v>
      </c>
      <c r="M28" s="164">
        <f t="shared" si="10"/>
        <v>0</v>
      </c>
      <c r="N28" s="164">
        <f t="shared" si="8"/>
        <v>28546.967419480887</v>
      </c>
      <c r="O28" s="164">
        <f t="shared" si="0"/>
        <v>31453.032580519121</v>
      </c>
      <c r="P28" s="164">
        <f t="shared" si="1"/>
        <v>28546.967419480887</v>
      </c>
      <c r="Q28" s="164">
        <f t="shared" si="2"/>
        <v>0</v>
      </c>
      <c r="R28" s="164">
        <f t="shared" si="11"/>
        <v>0</v>
      </c>
      <c r="S28" s="164">
        <f t="shared" si="3"/>
        <v>3479247.2536031152</v>
      </c>
      <c r="T28" s="164">
        <f t="shared" si="4"/>
        <v>0</v>
      </c>
    </row>
    <row r="29" spans="2:20" x14ac:dyDescent="0.2">
      <c r="B29" s="171"/>
      <c r="D29" s="171"/>
      <c r="F29" s="158">
        <v>18</v>
      </c>
      <c r="G29" s="249">
        <f t="shared" si="5"/>
        <v>44196</v>
      </c>
      <c r="H29" s="158">
        <f t="shared" si="9"/>
        <v>31</v>
      </c>
      <c r="I29" s="254">
        <f>VLOOKUP(G29,'Прогноз переменной ставки'!$B$5:$E$304,4,1)</f>
        <v>9.9000000000000005E-2</v>
      </c>
      <c r="J29" s="164">
        <f t="shared" si="6"/>
        <v>60000.000000000007</v>
      </c>
      <c r="K29" s="164">
        <f t="shared" si="7"/>
        <v>3479247.2536031152</v>
      </c>
      <c r="L29" s="164">
        <f t="shared" si="10"/>
        <v>3479247.2536031152</v>
      </c>
      <c r="M29" s="164">
        <f t="shared" si="10"/>
        <v>0</v>
      </c>
      <c r="N29" s="164">
        <f t="shared" si="8"/>
        <v>29234.250024114885</v>
      </c>
      <c r="O29" s="164">
        <f t="shared" si="0"/>
        <v>30765.749975885123</v>
      </c>
      <c r="P29" s="164">
        <f t="shared" si="1"/>
        <v>29234.250024114885</v>
      </c>
      <c r="Q29" s="164">
        <f t="shared" si="2"/>
        <v>0</v>
      </c>
      <c r="R29" s="164">
        <f t="shared" si="11"/>
        <v>0</v>
      </c>
      <c r="S29" s="164">
        <f t="shared" si="3"/>
        <v>3448481.5036272299</v>
      </c>
      <c r="T29" s="164">
        <f t="shared" si="4"/>
        <v>0</v>
      </c>
    </row>
    <row r="30" spans="2:20" x14ac:dyDescent="0.2">
      <c r="B30" s="171"/>
      <c r="D30" s="171"/>
      <c r="F30" s="158">
        <v>19</v>
      </c>
      <c r="G30" s="249">
        <f t="shared" si="5"/>
        <v>44227</v>
      </c>
      <c r="H30" s="158">
        <f t="shared" si="9"/>
        <v>31</v>
      </c>
      <c r="I30" s="254">
        <f>VLOOKUP(G30,'Прогноз переменной ставки'!$B$5:$E$304,4,1)</f>
        <v>9.9000000000000005E-2</v>
      </c>
      <c r="J30" s="164">
        <f t="shared" si="6"/>
        <v>60000.000000000007</v>
      </c>
      <c r="K30" s="164">
        <f t="shared" si="7"/>
        <v>3448481.5036272299</v>
      </c>
      <c r="L30" s="164">
        <f t="shared" si="10"/>
        <v>3448481.5036272299</v>
      </c>
      <c r="M30" s="164">
        <f t="shared" si="10"/>
        <v>0</v>
      </c>
      <c r="N30" s="164">
        <f t="shared" si="8"/>
        <v>28975.741915487935</v>
      </c>
      <c r="O30" s="164">
        <f t="shared" si="0"/>
        <v>31024.258084512072</v>
      </c>
      <c r="P30" s="164">
        <f t="shared" si="1"/>
        <v>28975.741915487935</v>
      </c>
      <c r="Q30" s="164">
        <f t="shared" si="2"/>
        <v>0</v>
      </c>
      <c r="R30" s="164">
        <f t="shared" si="11"/>
        <v>0</v>
      </c>
      <c r="S30" s="164">
        <f t="shared" si="3"/>
        <v>3417457.2455427181</v>
      </c>
      <c r="T30" s="164">
        <f t="shared" si="4"/>
        <v>0</v>
      </c>
    </row>
    <row r="31" spans="2:20" x14ac:dyDescent="0.2">
      <c r="B31" s="171"/>
      <c r="D31" s="171"/>
      <c r="F31" s="158">
        <v>20</v>
      </c>
      <c r="G31" s="249">
        <f t="shared" si="5"/>
        <v>44255</v>
      </c>
      <c r="H31" s="158">
        <f t="shared" si="9"/>
        <v>28</v>
      </c>
      <c r="I31" s="254">
        <f>VLOOKUP(G31,'Прогноз переменной ставки'!$B$5:$E$304,4,1)</f>
        <v>9.9000000000000005E-2</v>
      </c>
      <c r="J31" s="164">
        <f t="shared" si="6"/>
        <v>60000.000000000007</v>
      </c>
      <c r="K31" s="164">
        <f t="shared" si="7"/>
        <v>3417457.2455427181</v>
      </c>
      <c r="L31" s="164">
        <f t="shared" si="10"/>
        <v>3417457.2455427181</v>
      </c>
      <c r="M31" s="164">
        <f t="shared" si="10"/>
        <v>0</v>
      </c>
      <c r="N31" s="164">
        <f t="shared" si="8"/>
        <v>25936.184762886831</v>
      </c>
      <c r="O31" s="164">
        <f t="shared" si="0"/>
        <v>34063.815237113173</v>
      </c>
      <c r="P31" s="164">
        <f t="shared" si="1"/>
        <v>25936.184762886831</v>
      </c>
      <c r="Q31" s="164">
        <f t="shared" si="2"/>
        <v>0</v>
      </c>
      <c r="R31" s="164">
        <f t="shared" si="11"/>
        <v>0</v>
      </c>
      <c r="S31" s="164">
        <f t="shared" si="3"/>
        <v>3383393.4303056048</v>
      </c>
      <c r="T31" s="164">
        <f t="shared" si="4"/>
        <v>0</v>
      </c>
    </row>
    <row r="32" spans="2:20" x14ac:dyDescent="0.2">
      <c r="B32" s="171"/>
      <c r="D32" s="171"/>
      <c r="F32" s="158">
        <v>21</v>
      </c>
      <c r="G32" s="249">
        <f t="shared" si="5"/>
        <v>44286</v>
      </c>
      <c r="H32" s="158">
        <f t="shared" si="9"/>
        <v>31</v>
      </c>
      <c r="I32" s="254">
        <f>VLOOKUP(G32,'Прогноз переменной ставки'!$B$5:$E$304,4,1)</f>
        <v>9.9000000000000005E-2</v>
      </c>
      <c r="J32" s="164">
        <f t="shared" si="6"/>
        <v>60000.000000000007</v>
      </c>
      <c r="K32" s="164">
        <f t="shared" si="7"/>
        <v>3383393.4303056048</v>
      </c>
      <c r="L32" s="164">
        <f t="shared" si="10"/>
        <v>3383393.4303056048</v>
      </c>
      <c r="M32" s="164">
        <f t="shared" si="10"/>
        <v>0</v>
      </c>
      <c r="N32" s="164">
        <f t="shared" si="8"/>
        <v>28428.84171829679</v>
      </c>
      <c r="O32" s="164">
        <f t="shared" si="0"/>
        <v>31571.158281703218</v>
      </c>
      <c r="P32" s="164">
        <f t="shared" si="1"/>
        <v>28428.84171829679</v>
      </c>
      <c r="Q32" s="164">
        <f t="shared" si="2"/>
        <v>0</v>
      </c>
      <c r="R32" s="164">
        <f t="shared" si="11"/>
        <v>0</v>
      </c>
      <c r="S32" s="164">
        <f t="shared" si="3"/>
        <v>3351822.2720239018</v>
      </c>
      <c r="T32" s="164">
        <f t="shared" si="4"/>
        <v>0</v>
      </c>
    </row>
    <row r="33" spans="2:20" x14ac:dyDescent="0.2">
      <c r="B33" s="171"/>
      <c r="D33" s="171"/>
      <c r="F33" s="158">
        <v>22</v>
      </c>
      <c r="G33" s="249">
        <f t="shared" si="5"/>
        <v>44316</v>
      </c>
      <c r="H33" s="158">
        <f t="shared" si="9"/>
        <v>30</v>
      </c>
      <c r="I33" s="254">
        <f>VLOOKUP(G33,'Прогноз переменной ставки'!$B$5:$E$304,4,1)</f>
        <v>9.9000000000000005E-2</v>
      </c>
      <c r="J33" s="164">
        <f t="shared" si="6"/>
        <v>60000.000000000007</v>
      </c>
      <c r="K33" s="164">
        <f t="shared" si="7"/>
        <v>3351822.2720239018</v>
      </c>
      <c r="L33" s="164">
        <f t="shared" si="10"/>
        <v>3351822.2720239018</v>
      </c>
      <c r="M33" s="164">
        <f t="shared" si="10"/>
        <v>0</v>
      </c>
      <c r="N33" s="164">
        <f t="shared" si="8"/>
        <v>27255.064059989021</v>
      </c>
      <c r="O33" s="164">
        <f t="shared" si="0"/>
        <v>32744.935940010986</v>
      </c>
      <c r="P33" s="164">
        <f t="shared" si="1"/>
        <v>27255.064059989021</v>
      </c>
      <c r="Q33" s="164">
        <f t="shared" si="2"/>
        <v>0</v>
      </c>
      <c r="R33" s="164">
        <f t="shared" si="11"/>
        <v>0</v>
      </c>
      <c r="S33" s="164">
        <f t="shared" si="3"/>
        <v>3319077.3360838909</v>
      </c>
      <c r="T33" s="164">
        <f t="shared" si="4"/>
        <v>0</v>
      </c>
    </row>
    <row r="34" spans="2:20" x14ac:dyDescent="0.2">
      <c r="B34" s="171"/>
      <c r="D34" s="171"/>
      <c r="F34" s="158">
        <v>23</v>
      </c>
      <c r="G34" s="249">
        <f t="shared" si="5"/>
        <v>44347</v>
      </c>
      <c r="H34" s="158">
        <f t="shared" si="9"/>
        <v>31</v>
      </c>
      <c r="I34" s="254">
        <f>VLOOKUP(G34,'Прогноз переменной ставки'!$B$5:$E$304,4,1)</f>
        <v>9.9000000000000005E-2</v>
      </c>
      <c r="J34" s="164">
        <f t="shared" si="6"/>
        <v>60000.000000000007</v>
      </c>
      <c r="K34" s="164">
        <f t="shared" si="7"/>
        <v>3319077.3360838909</v>
      </c>
      <c r="L34" s="164">
        <f t="shared" si="10"/>
        <v>3319077.3360838909</v>
      </c>
      <c r="M34" s="164">
        <f t="shared" si="10"/>
        <v>0</v>
      </c>
      <c r="N34" s="164">
        <f t="shared" si="8"/>
        <v>27888.428047752121</v>
      </c>
      <c r="O34" s="164">
        <f t="shared" si="0"/>
        <v>32111.571952247887</v>
      </c>
      <c r="P34" s="164">
        <f t="shared" si="1"/>
        <v>27888.428047752121</v>
      </c>
      <c r="Q34" s="164">
        <f t="shared" si="2"/>
        <v>0</v>
      </c>
      <c r="R34" s="164">
        <f t="shared" si="11"/>
        <v>0</v>
      </c>
      <c r="S34" s="164">
        <f t="shared" si="3"/>
        <v>3286965.7641316429</v>
      </c>
      <c r="T34" s="164">
        <f t="shared" si="4"/>
        <v>0</v>
      </c>
    </row>
    <row r="35" spans="2:20" x14ac:dyDescent="0.2">
      <c r="B35" s="171"/>
      <c r="D35" s="171"/>
      <c r="F35" s="158">
        <v>24</v>
      </c>
      <c r="G35" s="249">
        <f t="shared" si="5"/>
        <v>44377</v>
      </c>
      <c r="H35" s="158">
        <f t="shared" si="9"/>
        <v>30</v>
      </c>
      <c r="I35" s="254">
        <f>VLOOKUP(G35,'Прогноз переменной ставки'!$B$5:$E$304,4,1)</f>
        <v>9.9000000000000005E-2</v>
      </c>
      <c r="J35" s="164">
        <f t="shared" si="6"/>
        <v>60000.000000000007</v>
      </c>
      <c r="K35" s="164">
        <f t="shared" si="7"/>
        <v>3286965.7641316429</v>
      </c>
      <c r="L35" s="164">
        <f t="shared" si="10"/>
        <v>3286965.7641316429</v>
      </c>
      <c r="M35" s="164">
        <f t="shared" si="10"/>
        <v>0</v>
      </c>
      <c r="N35" s="164">
        <f t="shared" si="8"/>
        <v>26727.688759674136</v>
      </c>
      <c r="O35" s="164">
        <f t="shared" si="0"/>
        <v>33272.311240325871</v>
      </c>
      <c r="P35" s="164">
        <f t="shared" si="1"/>
        <v>26727.688759674136</v>
      </c>
      <c r="Q35" s="164">
        <f t="shared" si="2"/>
        <v>0</v>
      </c>
      <c r="R35" s="164">
        <f t="shared" si="11"/>
        <v>0</v>
      </c>
      <c r="S35" s="164">
        <f t="shared" si="3"/>
        <v>3253693.4528913172</v>
      </c>
      <c r="T35" s="164">
        <f t="shared" si="4"/>
        <v>0</v>
      </c>
    </row>
    <row r="36" spans="2:20" x14ac:dyDescent="0.2">
      <c r="B36" s="171"/>
      <c r="D36" s="171"/>
      <c r="F36" s="158">
        <v>25</v>
      </c>
      <c r="G36" s="249">
        <f t="shared" si="5"/>
        <v>44408</v>
      </c>
      <c r="H36" s="158">
        <f t="shared" si="9"/>
        <v>31</v>
      </c>
      <c r="I36" s="254">
        <f>VLOOKUP(G36,'Прогноз переменной ставки'!$B$5:$E$304,4,1)</f>
        <v>9.9000000000000005E-2</v>
      </c>
      <c r="J36" s="164">
        <f t="shared" si="6"/>
        <v>60000.000000000007</v>
      </c>
      <c r="K36" s="164">
        <f t="shared" si="7"/>
        <v>3253693.4528913172</v>
      </c>
      <c r="L36" s="164">
        <f t="shared" si="10"/>
        <v>3253693.4528913172</v>
      </c>
      <c r="M36" s="164">
        <f t="shared" si="10"/>
        <v>0</v>
      </c>
      <c r="N36" s="164">
        <f t="shared" si="8"/>
        <v>27339.042318750042</v>
      </c>
      <c r="O36" s="164">
        <f t="shared" si="0"/>
        <v>32660.957681249965</v>
      </c>
      <c r="P36" s="164">
        <f t="shared" si="1"/>
        <v>27339.042318750042</v>
      </c>
      <c r="Q36" s="164">
        <f t="shared" si="2"/>
        <v>0</v>
      </c>
      <c r="R36" s="164">
        <f t="shared" si="11"/>
        <v>0</v>
      </c>
      <c r="S36" s="164">
        <f t="shared" si="3"/>
        <v>3221032.4952100674</v>
      </c>
      <c r="T36" s="164">
        <f t="shared" si="4"/>
        <v>0</v>
      </c>
    </row>
    <row r="37" spans="2:20" x14ac:dyDescent="0.2">
      <c r="B37" s="171"/>
      <c r="D37" s="171"/>
      <c r="F37" s="158">
        <v>26</v>
      </c>
      <c r="G37" s="249">
        <f t="shared" si="5"/>
        <v>44439</v>
      </c>
      <c r="H37" s="158">
        <f t="shared" si="9"/>
        <v>31</v>
      </c>
      <c r="I37" s="254">
        <f>VLOOKUP(G37,'Прогноз переменной ставки'!$B$5:$E$304,4,1)</f>
        <v>9.9000000000000005E-2</v>
      </c>
      <c r="J37" s="164">
        <f t="shared" si="6"/>
        <v>60000.000000000007</v>
      </c>
      <c r="K37" s="164">
        <f t="shared" si="7"/>
        <v>3221032.4952100674</v>
      </c>
      <c r="L37" s="164">
        <f t="shared" si="10"/>
        <v>3221032.4952100674</v>
      </c>
      <c r="M37" s="164">
        <f t="shared" si="10"/>
        <v>0</v>
      </c>
      <c r="N37" s="164">
        <f t="shared" si="8"/>
        <v>27064.60979548172</v>
      </c>
      <c r="O37" s="164">
        <f t="shared" si="0"/>
        <v>32935.390204518291</v>
      </c>
      <c r="P37" s="164">
        <f t="shared" si="1"/>
        <v>27064.60979548172</v>
      </c>
      <c r="Q37" s="164">
        <f t="shared" si="2"/>
        <v>0</v>
      </c>
      <c r="R37" s="164">
        <f t="shared" si="11"/>
        <v>0</v>
      </c>
      <c r="S37" s="164">
        <f t="shared" si="3"/>
        <v>3188097.1050055493</v>
      </c>
      <c r="T37" s="164">
        <f t="shared" si="4"/>
        <v>0</v>
      </c>
    </row>
    <row r="38" spans="2:20" x14ac:dyDescent="0.2">
      <c r="B38" s="171"/>
      <c r="D38" s="171"/>
      <c r="F38" s="158">
        <v>27</v>
      </c>
      <c r="G38" s="249">
        <f t="shared" si="5"/>
        <v>44469</v>
      </c>
      <c r="H38" s="158">
        <f t="shared" si="9"/>
        <v>30</v>
      </c>
      <c r="I38" s="254">
        <f>VLOOKUP(G38,'Прогноз переменной ставки'!$B$5:$E$304,4,1)</f>
        <v>9.9000000000000005E-2</v>
      </c>
      <c r="J38" s="164">
        <f t="shared" si="6"/>
        <v>60000.000000000007</v>
      </c>
      <c r="K38" s="164">
        <f t="shared" si="7"/>
        <v>3188097.1050055493</v>
      </c>
      <c r="L38" s="164">
        <f t="shared" si="10"/>
        <v>3188097.1050055493</v>
      </c>
      <c r="M38" s="164">
        <f t="shared" si="10"/>
        <v>0</v>
      </c>
      <c r="N38" s="164">
        <f t="shared" si="8"/>
        <v>25923.746480127262</v>
      </c>
      <c r="O38" s="164">
        <f t="shared" si="0"/>
        <v>34076.253519872742</v>
      </c>
      <c r="P38" s="164">
        <f t="shared" si="1"/>
        <v>25923.746480127262</v>
      </c>
      <c r="Q38" s="164">
        <f t="shared" si="2"/>
        <v>0</v>
      </c>
      <c r="R38" s="164">
        <f t="shared" si="11"/>
        <v>0</v>
      </c>
      <c r="S38" s="164">
        <f t="shared" si="3"/>
        <v>3154020.8514856766</v>
      </c>
      <c r="T38" s="164">
        <f t="shared" si="4"/>
        <v>0</v>
      </c>
    </row>
    <row r="39" spans="2:20" x14ac:dyDescent="0.2">
      <c r="B39" s="171"/>
      <c r="D39" s="171"/>
      <c r="F39" s="158">
        <v>28</v>
      </c>
      <c r="G39" s="249">
        <f t="shared" si="5"/>
        <v>44500</v>
      </c>
      <c r="H39" s="158">
        <f t="shared" si="9"/>
        <v>31</v>
      </c>
      <c r="I39" s="254">
        <f>VLOOKUP(G39,'Прогноз переменной ставки'!$B$5:$E$304,4,1)</f>
        <v>9.9000000000000005E-2</v>
      </c>
      <c r="J39" s="164">
        <f t="shared" si="6"/>
        <v>60000.000000000007</v>
      </c>
      <c r="K39" s="164">
        <f t="shared" si="7"/>
        <v>3154020.8514856766</v>
      </c>
      <c r="L39" s="164">
        <f t="shared" si="10"/>
        <v>3154020.8514856766</v>
      </c>
      <c r="M39" s="164">
        <f t="shared" si="10"/>
        <v>0</v>
      </c>
      <c r="N39" s="164">
        <f t="shared" si="8"/>
        <v>26501.546867103469</v>
      </c>
      <c r="O39" s="164">
        <f t="shared" si="0"/>
        <v>33498.453132896539</v>
      </c>
      <c r="P39" s="164">
        <f t="shared" si="1"/>
        <v>26501.546867103469</v>
      </c>
      <c r="Q39" s="164">
        <f t="shared" si="2"/>
        <v>0</v>
      </c>
      <c r="R39" s="164">
        <f t="shared" si="11"/>
        <v>0</v>
      </c>
      <c r="S39" s="164">
        <f t="shared" si="3"/>
        <v>3120522.3983527799</v>
      </c>
      <c r="T39" s="164">
        <f t="shared" si="4"/>
        <v>0</v>
      </c>
    </row>
    <row r="40" spans="2:20" x14ac:dyDescent="0.2">
      <c r="B40" s="171"/>
      <c r="D40" s="171"/>
      <c r="F40" s="158">
        <v>29</v>
      </c>
      <c r="G40" s="249">
        <f t="shared" si="5"/>
        <v>44530</v>
      </c>
      <c r="H40" s="158">
        <f t="shared" si="9"/>
        <v>30</v>
      </c>
      <c r="I40" s="254">
        <f>VLOOKUP(G40,'Прогноз переменной ставки'!$B$5:$E$304,4,1)</f>
        <v>9.9000000000000005E-2</v>
      </c>
      <c r="J40" s="164">
        <f t="shared" si="6"/>
        <v>60000.000000000007</v>
      </c>
      <c r="K40" s="164">
        <f t="shared" si="7"/>
        <v>3120522.3983527799</v>
      </c>
      <c r="L40" s="164">
        <f t="shared" si="10"/>
        <v>3120522.3983527799</v>
      </c>
      <c r="M40" s="164">
        <f t="shared" si="10"/>
        <v>0</v>
      </c>
      <c r="N40" s="164">
        <f t="shared" si="8"/>
        <v>25374.268372642728</v>
      </c>
      <c r="O40" s="164">
        <f t="shared" si="0"/>
        <v>34625.73162735728</v>
      </c>
      <c r="P40" s="164">
        <f t="shared" si="1"/>
        <v>25374.268372642728</v>
      </c>
      <c r="Q40" s="164">
        <f t="shared" si="2"/>
        <v>0</v>
      </c>
      <c r="R40" s="164">
        <f t="shared" si="11"/>
        <v>0</v>
      </c>
      <c r="S40" s="164">
        <f t="shared" si="3"/>
        <v>3085896.6667254227</v>
      </c>
      <c r="T40" s="164">
        <f t="shared" si="4"/>
        <v>0</v>
      </c>
    </row>
    <row r="41" spans="2:20" x14ac:dyDescent="0.2">
      <c r="B41" s="171"/>
      <c r="D41" s="171"/>
      <c r="F41" s="158">
        <v>30</v>
      </c>
      <c r="G41" s="249">
        <f t="shared" si="5"/>
        <v>44561</v>
      </c>
      <c r="H41" s="158">
        <f t="shared" si="9"/>
        <v>31</v>
      </c>
      <c r="I41" s="254">
        <f>VLOOKUP(G41,'Прогноз переменной ставки'!$B$5:$E$304,4,1)</f>
        <v>9.9000000000000005E-2</v>
      </c>
      <c r="J41" s="164">
        <f t="shared" si="6"/>
        <v>60000.000000000007</v>
      </c>
      <c r="K41" s="164">
        <f t="shared" si="7"/>
        <v>3085896.6667254227</v>
      </c>
      <c r="L41" s="164">
        <f t="shared" si="10"/>
        <v>3085896.6667254227</v>
      </c>
      <c r="M41" s="164">
        <f t="shared" si="10"/>
        <v>0</v>
      </c>
      <c r="N41" s="164">
        <f t="shared" si="8"/>
        <v>25929.135852649757</v>
      </c>
      <c r="O41" s="164">
        <f t="shared" si="0"/>
        <v>34070.86414735025</v>
      </c>
      <c r="P41" s="164">
        <f t="shared" si="1"/>
        <v>25929.135852649757</v>
      </c>
      <c r="Q41" s="164">
        <f t="shared" si="2"/>
        <v>0</v>
      </c>
      <c r="R41" s="164">
        <f t="shared" si="11"/>
        <v>0</v>
      </c>
      <c r="S41" s="164">
        <f t="shared" si="3"/>
        <v>3051825.8025780725</v>
      </c>
      <c r="T41" s="164">
        <f t="shared" si="4"/>
        <v>0</v>
      </c>
    </row>
    <row r="42" spans="2:20" x14ac:dyDescent="0.2">
      <c r="B42" s="171"/>
      <c r="D42" s="171"/>
      <c r="F42" s="158">
        <v>31</v>
      </c>
      <c r="G42" s="249">
        <f t="shared" si="5"/>
        <v>44592</v>
      </c>
      <c r="H42" s="158">
        <f t="shared" si="9"/>
        <v>31</v>
      </c>
      <c r="I42" s="254">
        <f>VLOOKUP(G42,'Прогноз переменной ставки'!$B$5:$E$304,4,1)</f>
        <v>9.9000000000000005E-2</v>
      </c>
      <c r="J42" s="164">
        <f t="shared" si="6"/>
        <v>60000.000000000007</v>
      </c>
      <c r="K42" s="164">
        <f t="shared" si="7"/>
        <v>3051825.8025780725</v>
      </c>
      <c r="L42" s="164">
        <f t="shared" si="10"/>
        <v>3051825.8025780725</v>
      </c>
      <c r="M42" s="164">
        <f t="shared" si="10"/>
        <v>0</v>
      </c>
      <c r="N42" s="164">
        <f t="shared" si="8"/>
        <v>25642.856640964012</v>
      </c>
      <c r="O42" s="164">
        <f t="shared" si="0"/>
        <v>34357.143359035996</v>
      </c>
      <c r="P42" s="164">
        <f t="shared" si="1"/>
        <v>25642.856640964012</v>
      </c>
      <c r="Q42" s="164">
        <f t="shared" si="2"/>
        <v>0</v>
      </c>
      <c r="R42" s="164">
        <f t="shared" si="11"/>
        <v>0</v>
      </c>
      <c r="S42" s="164">
        <f t="shared" si="3"/>
        <v>3017468.6592190363</v>
      </c>
      <c r="T42" s="164">
        <f t="shared" si="4"/>
        <v>0</v>
      </c>
    </row>
    <row r="43" spans="2:20" x14ac:dyDescent="0.2">
      <c r="B43" s="171"/>
      <c r="D43" s="171"/>
      <c r="F43" s="158">
        <v>32</v>
      </c>
      <c r="G43" s="249">
        <f t="shared" si="5"/>
        <v>44620</v>
      </c>
      <c r="H43" s="158">
        <f t="shared" si="9"/>
        <v>28</v>
      </c>
      <c r="I43" s="254">
        <f>VLOOKUP(G43,'Прогноз переменной ставки'!$B$5:$E$304,4,1)</f>
        <v>9.9000000000000005E-2</v>
      </c>
      <c r="J43" s="164">
        <f t="shared" si="6"/>
        <v>60000.000000000007</v>
      </c>
      <c r="K43" s="164">
        <f t="shared" si="7"/>
        <v>3017468.6592190363</v>
      </c>
      <c r="L43" s="164">
        <f t="shared" si="10"/>
        <v>3017468.6592190363</v>
      </c>
      <c r="M43" s="164">
        <f t="shared" si="10"/>
        <v>0</v>
      </c>
      <c r="N43" s="164">
        <f t="shared" si="8"/>
        <v>22900.542432183898</v>
      </c>
      <c r="O43" s="164">
        <f t="shared" si="0"/>
        <v>37099.457567816105</v>
      </c>
      <c r="P43" s="164">
        <f t="shared" si="1"/>
        <v>22900.542432183898</v>
      </c>
      <c r="Q43" s="164">
        <f t="shared" si="2"/>
        <v>0</v>
      </c>
      <c r="R43" s="164">
        <f t="shared" si="11"/>
        <v>0</v>
      </c>
      <c r="S43" s="164">
        <f t="shared" si="3"/>
        <v>2980369.2016512202</v>
      </c>
      <c r="T43" s="164">
        <f t="shared" si="4"/>
        <v>0</v>
      </c>
    </row>
    <row r="44" spans="2:20" x14ac:dyDescent="0.2">
      <c r="B44" s="171"/>
      <c r="D44" s="171"/>
      <c r="F44" s="158">
        <v>33</v>
      </c>
      <c r="G44" s="249">
        <f t="shared" si="5"/>
        <v>44651</v>
      </c>
      <c r="H44" s="158">
        <f t="shared" si="9"/>
        <v>31</v>
      </c>
      <c r="I44" s="254">
        <f>VLOOKUP(G44,'Прогноз переменной ставки'!$B$5:$E$304,4,1)</f>
        <v>9.9000000000000005E-2</v>
      </c>
      <c r="J44" s="164">
        <f t="shared" si="6"/>
        <v>60000.000000000007</v>
      </c>
      <c r="K44" s="164">
        <f t="shared" si="7"/>
        <v>2980369.2016512202</v>
      </c>
      <c r="L44" s="164">
        <f t="shared" si="10"/>
        <v>2980369.2016512202</v>
      </c>
      <c r="M44" s="164">
        <f t="shared" si="10"/>
        <v>0</v>
      </c>
      <c r="N44" s="164">
        <f t="shared" si="8"/>
        <v>25042.445119418466</v>
      </c>
      <c r="O44" s="164">
        <f t="shared" si="0"/>
        <v>34957.554880581542</v>
      </c>
      <c r="P44" s="164">
        <f t="shared" si="1"/>
        <v>25042.445119418466</v>
      </c>
      <c r="Q44" s="164">
        <f t="shared" si="2"/>
        <v>0</v>
      </c>
      <c r="R44" s="164">
        <f t="shared" si="11"/>
        <v>0</v>
      </c>
      <c r="S44" s="164">
        <f t="shared" si="3"/>
        <v>2945411.6467706389</v>
      </c>
      <c r="T44" s="164">
        <f t="shared" si="4"/>
        <v>0</v>
      </c>
    </row>
    <row r="45" spans="2:20" x14ac:dyDescent="0.2">
      <c r="B45" s="171"/>
      <c r="D45" s="171"/>
      <c r="F45" s="158">
        <v>34</v>
      </c>
      <c r="G45" s="249">
        <f t="shared" si="5"/>
        <v>44681</v>
      </c>
      <c r="H45" s="158">
        <f t="shared" si="9"/>
        <v>30</v>
      </c>
      <c r="I45" s="254">
        <f>VLOOKUP(G45,'Прогноз переменной ставки'!$B$5:$E$304,4,1)</f>
        <v>9.9000000000000005E-2</v>
      </c>
      <c r="J45" s="164">
        <f t="shared" si="6"/>
        <v>60000.000000000007</v>
      </c>
      <c r="K45" s="164">
        <f t="shared" si="7"/>
        <v>2945411.6467706389</v>
      </c>
      <c r="L45" s="164">
        <f t="shared" si="10"/>
        <v>2945411.6467706389</v>
      </c>
      <c r="M45" s="164">
        <f t="shared" si="10"/>
        <v>0</v>
      </c>
      <c r="N45" s="164">
        <f t="shared" si="8"/>
        <v>23950.369858750986</v>
      </c>
      <c r="O45" s="164">
        <f t="shared" si="0"/>
        <v>36049.630141249021</v>
      </c>
      <c r="P45" s="164">
        <f t="shared" si="1"/>
        <v>23950.369858750986</v>
      </c>
      <c r="Q45" s="164">
        <f t="shared" si="2"/>
        <v>0</v>
      </c>
      <c r="R45" s="164">
        <f t="shared" si="11"/>
        <v>0</v>
      </c>
      <c r="S45" s="164">
        <f t="shared" si="3"/>
        <v>2909362.01662939</v>
      </c>
      <c r="T45" s="164">
        <f t="shared" si="4"/>
        <v>0</v>
      </c>
    </row>
    <row r="46" spans="2:20" x14ac:dyDescent="0.2">
      <c r="B46" s="171"/>
      <c r="D46" s="171"/>
      <c r="F46" s="158">
        <v>35</v>
      </c>
      <c r="G46" s="249">
        <f t="shared" si="5"/>
        <v>44712</v>
      </c>
      <c r="H46" s="158">
        <f t="shared" si="9"/>
        <v>31</v>
      </c>
      <c r="I46" s="254">
        <f>VLOOKUP(G46,'Прогноз переменной ставки'!$B$5:$E$304,4,1)</f>
        <v>9.9000000000000005E-2</v>
      </c>
      <c r="J46" s="164">
        <f t="shared" si="6"/>
        <v>60000.000000000007</v>
      </c>
      <c r="K46" s="164">
        <f t="shared" si="7"/>
        <v>2909362.01662939</v>
      </c>
      <c r="L46" s="164">
        <f t="shared" si="10"/>
        <v>2909362.01662939</v>
      </c>
      <c r="M46" s="164">
        <f t="shared" si="10"/>
        <v>0</v>
      </c>
      <c r="N46" s="164">
        <f t="shared" si="8"/>
        <v>24445.80979886543</v>
      </c>
      <c r="O46" s="164">
        <f t="shared" si="0"/>
        <v>35554.190201134581</v>
      </c>
      <c r="P46" s="164">
        <f t="shared" si="1"/>
        <v>24445.80979886543</v>
      </c>
      <c r="Q46" s="164">
        <f t="shared" si="2"/>
        <v>0</v>
      </c>
      <c r="R46" s="164">
        <f t="shared" si="11"/>
        <v>0</v>
      </c>
      <c r="S46" s="164">
        <f t="shared" si="3"/>
        <v>2873807.8264282555</v>
      </c>
      <c r="T46" s="164">
        <f t="shared" si="4"/>
        <v>0</v>
      </c>
    </row>
    <row r="47" spans="2:20" x14ac:dyDescent="0.2">
      <c r="B47" s="171"/>
      <c r="D47" s="171"/>
      <c r="F47" s="158">
        <v>36</v>
      </c>
      <c r="G47" s="249">
        <f t="shared" si="5"/>
        <v>44742</v>
      </c>
      <c r="H47" s="158">
        <f t="shared" si="9"/>
        <v>30</v>
      </c>
      <c r="I47" s="254">
        <f>VLOOKUP(G47,'Прогноз переменной ставки'!$B$5:$E$304,4,1)</f>
        <v>9.9000000000000005E-2</v>
      </c>
      <c r="J47" s="164">
        <f t="shared" si="6"/>
        <v>60000.000000000007</v>
      </c>
      <c r="K47" s="164">
        <f t="shared" si="7"/>
        <v>2873807.8264282555</v>
      </c>
      <c r="L47" s="164">
        <f t="shared" si="10"/>
        <v>2873807.8264282555</v>
      </c>
      <c r="M47" s="164">
        <f t="shared" si="10"/>
        <v>0</v>
      </c>
      <c r="N47" s="164">
        <f t="shared" si="8"/>
        <v>23368.129348369388</v>
      </c>
      <c r="O47" s="164">
        <f t="shared" si="0"/>
        <v>36631.870651630619</v>
      </c>
      <c r="P47" s="164">
        <f t="shared" si="1"/>
        <v>23368.129348369388</v>
      </c>
      <c r="Q47" s="164">
        <f t="shared" si="2"/>
        <v>0</v>
      </c>
      <c r="R47" s="164">
        <f t="shared" si="11"/>
        <v>0</v>
      </c>
      <c r="S47" s="164">
        <f t="shared" si="3"/>
        <v>2837175.9557766248</v>
      </c>
      <c r="T47" s="164">
        <f t="shared" si="4"/>
        <v>0</v>
      </c>
    </row>
    <row r="48" spans="2:20" x14ac:dyDescent="0.2">
      <c r="B48" s="171"/>
      <c r="D48" s="171"/>
      <c r="F48" s="158">
        <v>37</v>
      </c>
      <c r="G48" s="249">
        <f t="shared" si="5"/>
        <v>44773</v>
      </c>
      <c r="H48" s="158">
        <f t="shared" si="9"/>
        <v>31</v>
      </c>
      <c r="I48" s="254">
        <f>VLOOKUP(G48,'Прогноз переменной ставки'!$B$5:$E$304,4,1)</f>
        <v>9.9000000000000005E-2</v>
      </c>
      <c r="J48" s="164">
        <f t="shared" si="6"/>
        <v>60000.000000000007</v>
      </c>
      <c r="K48" s="164">
        <f t="shared" si="7"/>
        <v>2837175.9557766248</v>
      </c>
      <c r="L48" s="164">
        <f t="shared" si="10"/>
        <v>2837175.9557766248</v>
      </c>
      <c r="M48" s="164">
        <f t="shared" si="10"/>
        <v>0</v>
      </c>
      <c r="N48" s="164">
        <f t="shared" si="8"/>
        <v>23839.26901650503</v>
      </c>
      <c r="O48" s="164">
        <f t="shared" si="0"/>
        <v>36160.730983494977</v>
      </c>
      <c r="P48" s="164">
        <f t="shared" si="1"/>
        <v>23839.26901650503</v>
      </c>
      <c r="Q48" s="164">
        <f t="shared" si="2"/>
        <v>0</v>
      </c>
      <c r="R48" s="164">
        <f t="shared" si="11"/>
        <v>0</v>
      </c>
      <c r="S48" s="164">
        <f t="shared" si="3"/>
        <v>2801015.2247931301</v>
      </c>
      <c r="T48" s="164">
        <f t="shared" si="4"/>
        <v>0</v>
      </c>
    </row>
    <row r="49" spans="2:20" x14ac:dyDescent="0.2">
      <c r="B49" s="171"/>
      <c r="D49" s="171"/>
      <c r="F49" s="158">
        <v>38</v>
      </c>
      <c r="G49" s="249">
        <f t="shared" si="5"/>
        <v>44804</v>
      </c>
      <c r="H49" s="158">
        <f t="shared" si="9"/>
        <v>31</v>
      </c>
      <c r="I49" s="254">
        <f>VLOOKUP(G49,'Прогноз переменной ставки'!$B$5:$E$304,4,1)</f>
        <v>9.9000000000000005E-2</v>
      </c>
      <c r="J49" s="164">
        <f t="shared" si="6"/>
        <v>60000.000000000007</v>
      </c>
      <c r="K49" s="164">
        <f t="shared" si="7"/>
        <v>2801015.2247931301</v>
      </c>
      <c r="L49" s="164">
        <f t="shared" si="10"/>
        <v>2801015.2247931301</v>
      </c>
      <c r="M49" s="164">
        <f t="shared" si="10"/>
        <v>0</v>
      </c>
      <c r="N49" s="164">
        <f t="shared" si="8"/>
        <v>23535.429773826469</v>
      </c>
      <c r="O49" s="164">
        <f t="shared" si="0"/>
        <v>36464.570226173542</v>
      </c>
      <c r="P49" s="164">
        <f t="shared" si="1"/>
        <v>23535.429773826469</v>
      </c>
      <c r="Q49" s="164">
        <f t="shared" si="2"/>
        <v>0</v>
      </c>
      <c r="R49" s="164">
        <f t="shared" si="11"/>
        <v>0</v>
      </c>
      <c r="S49" s="164">
        <f t="shared" si="3"/>
        <v>2764550.6545669567</v>
      </c>
      <c r="T49" s="164">
        <f t="shared" si="4"/>
        <v>0</v>
      </c>
    </row>
    <row r="50" spans="2:20" x14ac:dyDescent="0.2">
      <c r="B50" s="171"/>
      <c r="D50" s="171"/>
      <c r="F50" s="158">
        <v>39</v>
      </c>
      <c r="G50" s="249">
        <f t="shared" si="5"/>
        <v>44834</v>
      </c>
      <c r="H50" s="158">
        <f t="shared" si="9"/>
        <v>30</v>
      </c>
      <c r="I50" s="254">
        <f>VLOOKUP(G50,'Прогноз переменной ставки'!$B$5:$E$304,4,1)</f>
        <v>9.9000000000000005E-2</v>
      </c>
      <c r="J50" s="164">
        <f t="shared" si="6"/>
        <v>60000.000000000007</v>
      </c>
      <c r="K50" s="164">
        <f t="shared" si="7"/>
        <v>2764550.6545669567</v>
      </c>
      <c r="L50" s="164">
        <f t="shared" si="10"/>
        <v>2764550.6545669567</v>
      </c>
      <c r="M50" s="164">
        <f t="shared" si="10"/>
        <v>0</v>
      </c>
      <c r="N50" s="164">
        <f t="shared" si="8"/>
        <v>22479.713741447944</v>
      </c>
      <c r="O50" s="164">
        <f t="shared" si="0"/>
        <v>37520.286258552063</v>
      </c>
      <c r="P50" s="164">
        <f t="shared" si="1"/>
        <v>22479.713741447944</v>
      </c>
      <c r="Q50" s="164">
        <f t="shared" si="2"/>
        <v>0</v>
      </c>
      <c r="R50" s="164">
        <f t="shared" si="11"/>
        <v>0</v>
      </c>
      <c r="S50" s="164">
        <f t="shared" si="3"/>
        <v>2727030.3683084045</v>
      </c>
      <c r="T50" s="164">
        <f t="shared" si="4"/>
        <v>0</v>
      </c>
    </row>
    <row r="51" spans="2:20" x14ac:dyDescent="0.2">
      <c r="B51" s="171"/>
      <c r="D51" s="171"/>
      <c r="F51" s="158">
        <v>40</v>
      </c>
      <c r="G51" s="249">
        <f t="shared" si="5"/>
        <v>44865</v>
      </c>
      <c r="H51" s="158">
        <f t="shared" si="9"/>
        <v>31</v>
      </c>
      <c r="I51" s="254">
        <f>VLOOKUP(G51,'Прогноз переменной ставки'!$B$5:$E$304,4,1)</f>
        <v>9.9000000000000005E-2</v>
      </c>
      <c r="J51" s="164">
        <f t="shared" si="6"/>
        <v>60000.000000000007</v>
      </c>
      <c r="K51" s="164">
        <f t="shared" si="7"/>
        <v>2727030.3683084045</v>
      </c>
      <c r="L51" s="164">
        <f t="shared" si="10"/>
        <v>2727030.3683084045</v>
      </c>
      <c r="M51" s="164">
        <f t="shared" si="10"/>
        <v>0</v>
      </c>
      <c r="N51" s="164">
        <f t="shared" si="8"/>
        <v>22913.774675806962</v>
      </c>
      <c r="O51" s="164">
        <f t="shared" si="0"/>
        <v>37086.225324193045</v>
      </c>
      <c r="P51" s="164">
        <f t="shared" si="1"/>
        <v>22913.774675806962</v>
      </c>
      <c r="Q51" s="164">
        <f t="shared" si="2"/>
        <v>0</v>
      </c>
      <c r="R51" s="164">
        <f t="shared" si="11"/>
        <v>0</v>
      </c>
      <c r="S51" s="164">
        <f t="shared" si="3"/>
        <v>2689944.1429842114</v>
      </c>
      <c r="T51" s="164">
        <f t="shared" si="4"/>
        <v>0</v>
      </c>
    </row>
    <row r="52" spans="2:20" x14ac:dyDescent="0.2">
      <c r="B52" s="171"/>
      <c r="D52" s="171"/>
      <c r="F52" s="158">
        <v>41</v>
      </c>
      <c r="G52" s="249">
        <f t="shared" si="5"/>
        <v>44895</v>
      </c>
      <c r="H52" s="158">
        <f t="shared" si="9"/>
        <v>30</v>
      </c>
      <c r="I52" s="254">
        <f>VLOOKUP(G52,'Прогноз переменной ставки'!$B$5:$E$304,4,1)</f>
        <v>9.9000000000000005E-2</v>
      </c>
      <c r="J52" s="164">
        <f t="shared" si="6"/>
        <v>60000.000000000007</v>
      </c>
      <c r="K52" s="164">
        <f t="shared" si="7"/>
        <v>2689944.1429842114</v>
      </c>
      <c r="L52" s="164">
        <f t="shared" si="10"/>
        <v>2689944.1429842114</v>
      </c>
      <c r="M52" s="164">
        <f t="shared" si="10"/>
        <v>0</v>
      </c>
      <c r="N52" s="164">
        <f t="shared" si="8"/>
        <v>21873.057096955807</v>
      </c>
      <c r="O52" s="164">
        <f t="shared" si="0"/>
        <v>38126.942903044197</v>
      </c>
      <c r="P52" s="164">
        <f t="shared" si="1"/>
        <v>21873.057096955807</v>
      </c>
      <c r="Q52" s="164">
        <f t="shared" si="2"/>
        <v>0</v>
      </c>
      <c r="R52" s="164">
        <f t="shared" si="11"/>
        <v>0</v>
      </c>
      <c r="S52" s="164">
        <f t="shared" si="3"/>
        <v>2651817.2000811673</v>
      </c>
      <c r="T52" s="164">
        <f t="shared" si="4"/>
        <v>0</v>
      </c>
    </row>
    <row r="53" spans="2:20" x14ac:dyDescent="0.2">
      <c r="B53" s="171"/>
      <c r="D53" s="171"/>
      <c r="F53" s="158">
        <v>42</v>
      </c>
      <c r="G53" s="249">
        <f t="shared" si="5"/>
        <v>44926</v>
      </c>
      <c r="H53" s="158">
        <f t="shared" si="9"/>
        <v>31</v>
      </c>
      <c r="I53" s="254">
        <f>VLOOKUP(G53,'Прогноз переменной ставки'!$B$5:$E$304,4,1)</f>
        <v>9.9000000000000005E-2</v>
      </c>
      <c r="J53" s="164">
        <f t="shared" si="6"/>
        <v>60000.000000000007</v>
      </c>
      <c r="K53" s="164">
        <f t="shared" si="7"/>
        <v>2651817.2000811673</v>
      </c>
      <c r="L53" s="164">
        <f t="shared" si="10"/>
        <v>2651817.2000811673</v>
      </c>
      <c r="M53" s="164">
        <f t="shared" si="10"/>
        <v>0</v>
      </c>
      <c r="N53" s="164">
        <f t="shared" si="8"/>
        <v>22281.79873250952</v>
      </c>
      <c r="O53" s="164">
        <f t="shared" si="0"/>
        <v>37718.201267490484</v>
      </c>
      <c r="P53" s="164">
        <f t="shared" si="1"/>
        <v>22281.79873250952</v>
      </c>
      <c r="Q53" s="164">
        <f t="shared" si="2"/>
        <v>0</v>
      </c>
      <c r="R53" s="164">
        <f t="shared" si="11"/>
        <v>0</v>
      </c>
      <c r="S53" s="164">
        <f t="shared" si="3"/>
        <v>2614098.9988136766</v>
      </c>
      <c r="T53" s="164">
        <f t="shared" si="4"/>
        <v>0</v>
      </c>
    </row>
    <row r="54" spans="2:20" x14ac:dyDescent="0.2">
      <c r="B54" s="171"/>
      <c r="D54" s="171"/>
      <c r="F54" s="158">
        <v>43</v>
      </c>
      <c r="G54" s="249">
        <f t="shared" si="5"/>
        <v>44957</v>
      </c>
      <c r="H54" s="158">
        <f t="shared" si="9"/>
        <v>31</v>
      </c>
      <c r="I54" s="254">
        <f>VLOOKUP(G54,'Прогноз переменной ставки'!$B$5:$E$304,4,1)</f>
        <v>9.9000000000000005E-2</v>
      </c>
      <c r="J54" s="164">
        <f t="shared" si="6"/>
        <v>60000.000000000007</v>
      </c>
      <c r="K54" s="164">
        <f t="shared" si="7"/>
        <v>2614098.9988136766</v>
      </c>
      <c r="L54" s="164">
        <f t="shared" si="10"/>
        <v>2614098.9988136766</v>
      </c>
      <c r="M54" s="164">
        <f t="shared" si="10"/>
        <v>0</v>
      </c>
      <c r="N54" s="164">
        <f t="shared" si="8"/>
        <v>21964.872901736271</v>
      </c>
      <c r="O54" s="164">
        <f t="shared" si="0"/>
        <v>38035.127098263736</v>
      </c>
      <c r="P54" s="164">
        <f t="shared" si="1"/>
        <v>21964.872901736271</v>
      </c>
      <c r="Q54" s="164">
        <f t="shared" si="2"/>
        <v>0</v>
      </c>
      <c r="R54" s="164">
        <f t="shared" si="11"/>
        <v>0</v>
      </c>
      <c r="S54" s="164">
        <f t="shared" si="3"/>
        <v>2576063.8717154129</v>
      </c>
      <c r="T54" s="164">
        <f t="shared" si="4"/>
        <v>0</v>
      </c>
    </row>
    <row r="55" spans="2:20" x14ac:dyDescent="0.2">
      <c r="B55" s="171"/>
      <c r="D55" s="171"/>
      <c r="F55" s="158">
        <v>44</v>
      </c>
      <c r="G55" s="249">
        <f t="shared" si="5"/>
        <v>44985</v>
      </c>
      <c r="H55" s="158">
        <f t="shared" si="9"/>
        <v>28</v>
      </c>
      <c r="I55" s="254">
        <f>VLOOKUP(G55,'Прогноз переменной ставки'!$B$5:$E$304,4,1)</f>
        <v>9.9000000000000005E-2</v>
      </c>
      <c r="J55" s="164">
        <f t="shared" si="6"/>
        <v>60000.000000000007</v>
      </c>
      <c r="K55" s="164">
        <f t="shared" si="7"/>
        <v>2576063.8717154129</v>
      </c>
      <c r="L55" s="164">
        <f t="shared" si="10"/>
        <v>2576063.8717154129</v>
      </c>
      <c r="M55" s="164">
        <f t="shared" si="10"/>
        <v>0</v>
      </c>
      <c r="N55" s="164">
        <f t="shared" si="8"/>
        <v>19550.579198891512</v>
      </c>
      <c r="O55" s="164">
        <f t="shared" si="0"/>
        <v>40449.420801108499</v>
      </c>
      <c r="P55" s="164">
        <f t="shared" si="1"/>
        <v>19550.579198891512</v>
      </c>
      <c r="Q55" s="164">
        <f t="shared" si="2"/>
        <v>0</v>
      </c>
      <c r="R55" s="164">
        <f t="shared" si="11"/>
        <v>0</v>
      </c>
      <c r="S55" s="164">
        <f t="shared" si="3"/>
        <v>2535614.4509143042</v>
      </c>
      <c r="T55" s="164">
        <f t="shared" si="4"/>
        <v>0</v>
      </c>
    </row>
    <row r="56" spans="2:20" x14ac:dyDescent="0.2">
      <c r="B56" s="171"/>
      <c r="D56" s="171"/>
      <c r="F56" s="158">
        <v>45</v>
      </c>
      <c r="G56" s="249">
        <f t="shared" si="5"/>
        <v>45016</v>
      </c>
      <c r="H56" s="158">
        <f t="shared" si="9"/>
        <v>31</v>
      </c>
      <c r="I56" s="254">
        <f>VLOOKUP(G56,'Прогноз переменной ставки'!$B$5:$E$304,4,1)</f>
        <v>9.9000000000000005E-2</v>
      </c>
      <c r="J56" s="164">
        <f t="shared" si="6"/>
        <v>60000.000000000007</v>
      </c>
      <c r="K56" s="164">
        <f t="shared" si="7"/>
        <v>2535614.4509143042</v>
      </c>
      <c r="L56" s="164">
        <f t="shared" si="10"/>
        <v>2535614.4509143042</v>
      </c>
      <c r="M56" s="164">
        <f t="shared" si="10"/>
        <v>0</v>
      </c>
      <c r="N56" s="164">
        <f t="shared" si="8"/>
        <v>21305.409308298425</v>
      </c>
      <c r="O56" s="164">
        <f t="shared" si="0"/>
        <v>38694.590691701582</v>
      </c>
      <c r="P56" s="164">
        <f t="shared" si="1"/>
        <v>21305.409308298425</v>
      </c>
      <c r="Q56" s="164">
        <f t="shared" si="2"/>
        <v>0</v>
      </c>
      <c r="R56" s="164">
        <f t="shared" si="11"/>
        <v>0</v>
      </c>
      <c r="S56" s="164">
        <f t="shared" si="3"/>
        <v>2496919.8602226027</v>
      </c>
      <c r="T56" s="164">
        <f t="shared" si="4"/>
        <v>0</v>
      </c>
    </row>
    <row r="57" spans="2:20" x14ac:dyDescent="0.2">
      <c r="B57" s="171"/>
      <c r="D57" s="171"/>
      <c r="F57" s="158">
        <v>46</v>
      </c>
      <c r="G57" s="249">
        <f t="shared" si="5"/>
        <v>45046</v>
      </c>
      <c r="H57" s="158">
        <f t="shared" si="9"/>
        <v>30</v>
      </c>
      <c r="I57" s="254">
        <f>VLOOKUP(G57,'Прогноз переменной ставки'!$B$5:$E$304,4,1)</f>
        <v>9.9000000000000005E-2</v>
      </c>
      <c r="J57" s="164">
        <f t="shared" si="6"/>
        <v>60000.000000000007</v>
      </c>
      <c r="K57" s="164">
        <f t="shared" si="7"/>
        <v>2496919.8602226027</v>
      </c>
      <c r="L57" s="164">
        <f t="shared" si="10"/>
        <v>2496919.8602226027</v>
      </c>
      <c r="M57" s="164">
        <f t="shared" si="10"/>
        <v>0</v>
      </c>
      <c r="N57" s="164">
        <f t="shared" si="8"/>
        <v>20303.496194007203</v>
      </c>
      <c r="O57" s="164">
        <f t="shared" si="0"/>
        <v>39696.503805992805</v>
      </c>
      <c r="P57" s="164">
        <f t="shared" si="1"/>
        <v>20303.496194007203</v>
      </c>
      <c r="Q57" s="164">
        <f t="shared" si="2"/>
        <v>0</v>
      </c>
      <c r="R57" s="164">
        <f t="shared" si="11"/>
        <v>0</v>
      </c>
      <c r="S57" s="164">
        <f t="shared" si="3"/>
        <v>2457223.3564166101</v>
      </c>
      <c r="T57" s="164">
        <f t="shared" si="4"/>
        <v>0</v>
      </c>
    </row>
    <row r="58" spans="2:20" x14ac:dyDescent="0.2">
      <c r="B58" s="171"/>
      <c r="D58" s="171"/>
      <c r="F58" s="158">
        <v>47</v>
      </c>
      <c r="G58" s="249">
        <f t="shared" si="5"/>
        <v>45077</v>
      </c>
      <c r="H58" s="158">
        <f t="shared" si="9"/>
        <v>31</v>
      </c>
      <c r="I58" s="254">
        <f>VLOOKUP(G58,'Прогноз переменной ставки'!$B$5:$E$304,4,1)</f>
        <v>9.9000000000000005E-2</v>
      </c>
      <c r="J58" s="164">
        <f t="shared" si="6"/>
        <v>60000.000000000007</v>
      </c>
      <c r="K58" s="164">
        <f t="shared" si="7"/>
        <v>2457223.3564166101</v>
      </c>
      <c r="L58" s="164">
        <f t="shared" si="10"/>
        <v>2457223.3564166101</v>
      </c>
      <c r="M58" s="164">
        <f t="shared" si="10"/>
        <v>0</v>
      </c>
      <c r="N58" s="164">
        <f t="shared" si="8"/>
        <v>20646.730953709994</v>
      </c>
      <c r="O58" s="164">
        <f t="shared" si="0"/>
        <v>39353.269046290014</v>
      </c>
      <c r="P58" s="164">
        <f t="shared" si="1"/>
        <v>20646.730953709994</v>
      </c>
      <c r="Q58" s="164">
        <f t="shared" si="2"/>
        <v>0</v>
      </c>
      <c r="R58" s="164">
        <f t="shared" si="11"/>
        <v>0</v>
      </c>
      <c r="S58" s="164">
        <f t="shared" si="3"/>
        <v>2417870.0873703202</v>
      </c>
      <c r="T58" s="164">
        <f t="shared" si="4"/>
        <v>0</v>
      </c>
    </row>
    <row r="59" spans="2:20" x14ac:dyDescent="0.2">
      <c r="B59" s="171"/>
      <c r="D59" s="171"/>
      <c r="F59" s="158">
        <v>48</v>
      </c>
      <c r="G59" s="249">
        <f t="shared" si="5"/>
        <v>45107</v>
      </c>
      <c r="H59" s="158">
        <f t="shared" si="9"/>
        <v>30</v>
      </c>
      <c r="I59" s="254">
        <f>VLOOKUP(G59,'Прогноз переменной ставки'!$B$5:$E$304,4,1)</f>
        <v>9.9000000000000005E-2</v>
      </c>
      <c r="J59" s="164">
        <f t="shared" si="6"/>
        <v>60000.000000000007</v>
      </c>
      <c r="K59" s="164">
        <f t="shared" si="7"/>
        <v>2417870.0873703202</v>
      </c>
      <c r="L59" s="164">
        <f t="shared" si="10"/>
        <v>2417870.0873703202</v>
      </c>
      <c r="M59" s="164">
        <f t="shared" si="10"/>
        <v>0</v>
      </c>
      <c r="N59" s="164">
        <f t="shared" si="8"/>
        <v>19660.709540013282</v>
      </c>
      <c r="O59" s="164">
        <f t="shared" si="0"/>
        <v>40339.290459986725</v>
      </c>
      <c r="P59" s="164">
        <f t="shared" si="1"/>
        <v>19660.709540013282</v>
      </c>
      <c r="Q59" s="164">
        <f t="shared" si="2"/>
        <v>0</v>
      </c>
      <c r="R59" s="164">
        <f t="shared" si="11"/>
        <v>0</v>
      </c>
      <c r="S59" s="164">
        <f t="shared" si="3"/>
        <v>2377530.7969103334</v>
      </c>
      <c r="T59" s="164">
        <f t="shared" si="4"/>
        <v>0</v>
      </c>
    </row>
    <row r="60" spans="2:20" x14ac:dyDescent="0.2">
      <c r="B60" s="171"/>
      <c r="D60" s="171"/>
      <c r="F60" s="158">
        <v>49</v>
      </c>
      <c r="G60" s="249">
        <f t="shared" si="5"/>
        <v>45138</v>
      </c>
      <c r="H60" s="158">
        <f t="shared" si="9"/>
        <v>31</v>
      </c>
      <c r="I60" s="254">
        <f>VLOOKUP(G60,'Прогноз переменной ставки'!$B$5:$E$304,4,1)</f>
        <v>9.9000000000000005E-2</v>
      </c>
      <c r="J60" s="164">
        <f t="shared" si="6"/>
        <v>60000.000000000007</v>
      </c>
      <c r="K60" s="164">
        <f t="shared" si="7"/>
        <v>2377530.7969103334</v>
      </c>
      <c r="L60" s="164">
        <f t="shared" si="10"/>
        <v>2377530.7969103334</v>
      </c>
      <c r="M60" s="164">
        <f t="shared" si="10"/>
        <v>0</v>
      </c>
      <c r="N60" s="164">
        <f t="shared" si="8"/>
        <v>19977.11708615418</v>
      </c>
      <c r="O60" s="164">
        <f t="shared" si="0"/>
        <v>40022.882913845824</v>
      </c>
      <c r="P60" s="164">
        <f t="shared" si="1"/>
        <v>19977.11708615418</v>
      </c>
      <c r="Q60" s="164">
        <f t="shared" si="2"/>
        <v>0</v>
      </c>
      <c r="R60" s="164">
        <f t="shared" si="11"/>
        <v>0</v>
      </c>
      <c r="S60" s="164">
        <f t="shared" si="3"/>
        <v>2337507.9139964879</v>
      </c>
      <c r="T60" s="164">
        <f t="shared" si="4"/>
        <v>0</v>
      </c>
    </row>
    <row r="61" spans="2:20" x14ac:dyDescent="0.2">
      <c r="B61" s="171"/>
      <c r="D61" s="171"/>
      <c r="F61" s="158">
        <v>50</v>
      </c>
      <c r="G61" s="249">
        <f t="shared" si="5"/>
        <v>45169</v>
      </c>
      <c r="H61" s="158">
        <f t="shared" si="9"/>
        <v>31</v>
      </c>
      <c r="I61" s="254">
        <f>VLOOKUP(G61,'Прогноз переменной ставки'!$B$5:$E$304,4,1)</f>
        <v>9.9000000000000005E-2</v>
      </c>
      <c r="J61" s="164">
        <f t="shared" si="6"/>
        <v>60000.000000000007</v>
      </c>
      <c r="K61" s="164">
        <f t="shared" si="7"/>
        <v>2337507.9139964879</v>
      </c>
      <c r="L61" s="164">
        <f t="shared" si="10"/>
        <v>2337507.9139964879</v>
      </c>
      <c r="M61" s="164">
        <f t="shared" si="10"/>
        <v>0</v>
      </c>
      <c r="N61" s="164">
        <f t="shared" si="8"/>
        <v>19640.826250664533</v>
      </c>
      <c r="O61" s="164">
        <f t="shared" si="0"/>
        <v>40359.173749335474</v>
      </c>
      <c r="P61" s="164">
        <f t="shared" si="1"/>
        <v>19640.826250664533</v>
      </c>
      <c r="Q61" s="164">
        <f t="shared" si="2"/>
        <v>0</v>
      </c>
      <c r="R61" s="164">
        <f t="shared" si="11"/>
        <v>0</v>
      </c>
      <c r="S61" s="164">
        <f t="shared" si="3"/>
        <v>2297148.7402471523</v>
      </c>
      <c r="T61" s="164">
        <f t="shared" si="4"/>
        <v>0</v>
      </c>
    </row>
    <row r="62" spans="2:20" x14ac:dyDescent="0.2">
      <c r="B62" s="171"/>
      <c r="D62" s="171"/>
      <c r="F62" s="158">
        <v>51</v>
      </c>
      <c r="G62" s="249">
        <f t="shared" si="5"/>
        <v>45199</v>
      </c>
      <c r="H62" s="158">
        <f t="shared" si="9"/>
        <v>30</v>
      </c>
      <c r="I62" s="254">
        <f>VLOOKUP(G62,'Прогноз переменной ставки'!$B$5:$E$304,4,1)</f>
        <v>9.9000000000000005E-2</v>
      </c>
      <c r="J62" s="164">
        <f t="shared" si="6"/>
        <v>60000.000000000007</v>
      </c>
      <c r="K62" s="164">
        <f t="shared" si="7"/>
        <v>2297148.7402471523</v>
      </c>
      <c r="L62" s="164">
        <f t="shared" si="10"/>
        <v>2297148.7402471523</v>
      </c>
      <c r="M62" s="164">
        <f t="shared" si="10"/>
        <v>0</v>
      </c>
      <c r="N62" s="164">
        <f t="shared" si="8"/>
        <v>18679.073945336189</v>
      </c>
      <c r="O62" s="164">
        <f t="shared" si="0"/>
        <v>41320.926054663818</v>
      </c>
      <c r="P62" s="164">
        <f t="shared" si="1"/>
        <v>18679.073945336189</v>
      </c>
      <c r="Q62" s="164">
        <f t="shared" si="2"/>
        <v>0</v>
      </c>
      <c r="R62" s="164">
        <f t="shared" si="11"/>
        <v>0</v>
      </c>
      <c r="S62" s="164">
        <f t="shared" si="3"/>
        <v>2255827.8141924883</v>
      </c>
      <c r="T62" s="164">
        <f t="shared" si="4"/>
        <v>0</v>
      </c>
    </row>
    <row r="63" spans="2:20" x14ac:dyDescent="0.2">
      <c r="B63" s="171"/>
      <c r="D63" s="171"/>
      <c r="F63" s="158">
        <v>52</v>
      </c>
      <c r="G63" s="249">
        <f t="shared" si="5"/>
        <v>45230</v>
      </c>
      <c r="H63" s="158">
        <f t="shared" si="9"/>
        <v>31</v>
      </c>
      <c r="I63" s="254">
        <f>VLOOKUP(G63,'Прогноз переменной ставки'!$B$5:$E$304,4,1)</f>
        <v>9.9000000000000005E-2</v>
      </c>
      <c r="J63" s="164">
        <f t="shared" si="6"/>
        <v>60000.000000000007</v>
      </c>
      <c r="K63" s="164">
        <f t="shared" si="7"/>
        <v>2255827.8141924883</v>
      </c>
      <c r="L63" s="164">
        <f t="shared" si="10"/>
        <v>2255827.8141924883</v>
      </c>
      <c r="M63" s="164">
        <f t="shared" si="10"/>
        <v>0</v>
      </c>
      <c r="N63" s="164">
        <f t="shared" si="8"/>
        <v>18954.512147177953</v>
      </c>
      <c r="O63" s="164">
        <f t="shared" si="0"/>
        <v>41045.487852822058</v>
      </c>
      <c r="P63" s="164">
        <f t="shared" si="1"/>
        <v>18954.512147177953</v>
      </c>
      <c r="Q63" s="164">
        <f t="shared" si="2"/>
        <v>0</v>
      </c>
      <c r="R63" s="164">
        <f t="shared" si="11"/>
        <v>0</v>
      </c>
      <c r="S63" s="164">
        <f t="shared" si="3"/>
        <v>2214782.3263396663</v>
      </c>
      <c r="T63" s="164">
        <f t="shared" si="4"/>
        <v>0</v>
      </c>
    </row>
    <row r="64" spans="2:20" x14ac:dyDescent="0.2">
      <c r="B64" s="171"/>
      <c r="D64" s="171"/>
      <c r="F64" s="158">
        <v>53</v>
      </c>
      <c r="G64" s="249">
        <f t="shared" si="5"/>
        <v>45260</v>
      </c>
      <c r="H64" s="158">
        <f t="shared" si="9"/>
        <v>30</v>
      </c>
      <c r="I64" s="254">
        <f>VLOOKUP(G64,'Прогноз переменной ставки'!$B$5:$E$304,4,1)</f>
        <v>9.9000000000000005E-2</v>
      </c>
      <c r="J64" s="164">
        <f t="shared" si="6"/>
        <v>60000.000000000007</v>
      </c>
      <c r="K64" s="164">
        <f t="shared" si="7"/>
        <v>2214782.3263396663</v>
      </c>
      <c r="L64" s="164">
        <f t="shared" si="10"/>
        <v>2214782.3263396663</v>
      </c>
      <c r="M64" s="164">
        <f t="shared" si="10"/>
        <v>0</v>
      </c>
      <c r="N64" s="164">
        <f t="shared" si="8"/>
        <v>18009.318300421106</v>
      </c>
      <c r="O64" s="164">
        <f t="shared" si="0"/>
        <v>41990.681699578898</v>
      </c>
      <c r="P64" s="164">
        <f t="shared" si="1"/>
        <v>18009.318300421106</v>
      </c>
      <c r="Q64" s="164">
        <f t="shared" si="2"/>
        <v>0</v>
      </c>
      <c r="R64" s="164">
        <f t="shared" si="11"/>
        <v>0</v>
      </c>
      <c r="S64" s="164">
        <f t="shared" si="3"/>
        <v>2172791.6446400872</v>
      </c>
      <c r="T64" s="164">
        <f t="shared" si="4"/>
        <v>0</v>
      </c>
    </row>
    <row r="65" spans="2:20" x14ac:dyDescent="0.2">
      <c r="B65" s="171"/>
      <c r="D65" s="171"/>
      <c r="F65" s="158">
        <v>54</v>
      </c>
      <c r="G65" s="249">
        <f t="shared" si="5"/>
        <v>45291</v>
      </c>
      <c r="H65" s="158">
        <f t="shared" si="9"/>
        <v>31</v>
      </c>
      <c r="I65" s="254">
        <f>VLOOKUP(G65,'Прогноз переменной ставки'!$B$5:$E$304,4,1)</f>
        <v>9.9000000000000005E-2</v>
      </c>
      <c r="J65" s="164">
        <f t="shared" si="6"/>
        <v>60000.000000000007</v>
      </c>
      <c r="K65" s="164">
        <f t="shared" si="7"/>
        <v>2172791.6446400872</v>
      </c>
      <c r="L65" s="164">
        <f t="shared" si="10"/>
        <v>2172791.6446400872</v>
      </c>
      <c r="M65" s="164">
        <f t="shared" si="10"/>
        <v>0</v>
      </c>
      <c r="N65" s="164">
        <f t="shared" si="8"/>
        <v>18256.803716359827</v>
      </c>
      <c r="O65" s="164">
        <f t="shared" si="0"/>
        <v>41743.19628364018</v>
      </c>
      <c r="P65" s="164">
        <f t="shared" si="1"/>
        <v>18256.803716359827</v>
      </c>
      <c r="Q65" s="164">
        <f t="shared" si="2"/>
        <v>0</v>
      </c>
      <c r="R65" s="164">
        <f t="shared" si="11"/>
        <v>0</v>
      </c>
      <c r="S65" s="164">
        <f t="shared" si="3"/>
        <v>2131048.4483564468</v>
      </c>
      <c r="T65" s="164">
        <f t="shared" si="4"/>
        <v>0</v>
      </c>
    </row>
    <row r="66" spans="2:20" x14ac:dyDescent="0.2">
      <c r="B66" s="171"/>
      <c r="D66" s="171"/>
      <c r="F66" s="158">
        <v>55</v>
      </c>
      <c r="G66" s="249">
        <f t="shared" si="5"/>
        <v>45322</v>
      </c>
      <c r="H66" s="158">
        <f t="shared" si="9"/>
        <v>31</v>
      </c>
      <c r="I66" s="254">
        <f>VLOOKUP(G66,'Прогноз переменной ставки'!$B$5:$E$304,4,1)</f>
        <v>9.9000000000000005E-2</v>
      </c>
      <c r="J66" s="164">
        <f t="shared" si="6"/>
        <v>60000.000000000007</v>
      </c>
      <c r="K66" s="164">
        <f t="shared" si="7"/>
        <v>2131048.4483564468</v>
      </c>
      <c r="L66" s="164">
        <f t="shared" si="10"/>
        <v>2131048.4483564468</v>
      </c>
      <c r="M66" s="164">
        <f t="shared" si="10"/>
        <v>0</v>
      </c>
      <c r="N66" s="164">
        <f t="shared" si="8"/>
        <v>17906.058009598728</v>
      </c>
      <c r="O66" s="164">
        <f t="shared" si="0"/>
        <v>42093.941990401276</v>
      </c>
      <c r="P66" s="164">
        <f t="shared" si="1"/>
        <v>17906.058009598728</v>
      </c>
      <c r="Q66" s="164">
        <f t="shared" si="2"/>
        <v>0</v>
      </c>
      <c r="R66" s="164">
        <f t="shared" si="11"/>
        <v>0</v>
      </c>
      <c r="S66" s="164">
        <f t="shared" si="3"/>
        <v>2088954.5063660454</v>
      </c>
      <c r="T66" s="164">
        <f t="shared" si="4"/>
        <v>0</v>
      </c>
    </row>
    <row r="67" spans="2:20" x14ac:dyDescent="0.2">
      <c r="B67" s="171"/>
      <c r="D67" s="171"/>
      <c r="F67" s="158">
        <v>56</v>
      </c>
      <c r="G67" s="249">
        <f t="shared" si="5"/>
        <v>45351</v>
      </c>
      <c r="H67" s="158">
        <f t="shared" si="9"/>
        <v>29</v>
      </c>
      <c r="I67" s="254">
        <f>VLOOKUP(G67,'Прогноз переменной ставки'!$B$5:$E$304,4,1)</f>
        <v>9.9000000000000005E-2</v>
      </c>
      <c r="J67" s="164">
        <f t="shared" si="6"/>
        <v>60000.000000000007</v>
      </c>
      <c r="K67" s="164">
        <f t="shared" si="7"/>
        <v>2088954.5063660454</v>
      </c>
      <c r="L67" s="164">
        <f t="shared" si="10"/>
        <v>2088954.5063660454</v>
      </c>
      <c r="M67" s="164">
        <f t="shared" si="10"/>
        <v>0</v>
      </c>
      <c r="N67" s="164">
        <f t="shared" si="8"/>
        <v>16419.954518211955</v>
      </c>
      <c r="O67" s="164">
        <f t="shared" si="0"/>
        <v>43580.045481788053</v>
      </c>
      <c r="P67" s="164">
        <f t="shared" si="1"/>
        <v>16419.954518211955</v>
      </c>
      <c r="Q67" s="164">
        <f t="shared" si="2"/>
        <v>0</v>
      </c>
      <c r="R67" s="164">
        <f t="shared" si="11"/>
        <v>0</v>
      </c>
      <c r="S67" s="164">
        <f t="shared" si="3"/>
        <v>2045374.4608842575</v>
      </c>
      <c r="T67" s="164">
        <f t="shared" si="4"/>
        <v>0</v>
      </c>
    </row>
    <row r="68" spans="2:20" x14ac:dyDescent="0.2">
      <c r="B68" s="171"/>
      <c r="D68" s="171"/>
      <c r="F68" s="158">
        <v>57</v>
      </c>
      <c r="G68" s="249">
        <f t="shared" si="5"/>
        <v>45382</v>
      </c>
      <c r="H68" s="158">
        <f t="shared" si="9"/>
        <v>31</v>
      </c>
      <c r="I68" s="254">
        <f>VLOOKUP(G68,'Прогноз переменной ставки'!$B$5:$E$304,4,1)</f>
        <v>9.9000000000000005E-2</v>
      </c>
      <c r="J68" s="164">
        <f t="shared" si="6"/>
        <v>60000.000000000007</v>
      </c>
      <c r="K68" s="164">
        <f t="shared" si="7"/>
        <v>2045374.4608842575</v>
      </c>
      <c r="L68" s="164">
        <f t="shared" si="10"/>
        <v>2045374.4608842575</v>
      </c>
      <c r="M68" s="164">
        <f t="shared" si="10"/>
        <v>0</v>
      </c>
      <c r="N68" s="164">
        <f t="shared" si="8"/>
        <v>17186.185408497702</v>
      </c>
      <c r="O68" s="164">
        <f t="shared" si="0"/>
        <v>42813.814591502305</v>
      </c>
      <c r="P68" s="164">
        <f t="shared" si="1"/>
        <v>17186.185408497702</v>
      </c>
      <c r="Q68" s="164">
        <f t="shared" si="2"/>
        <v>0</v>
      </c>
      <c r="R68" s="164">
        <f t="shared" si="11"/>
        <v>0</v>
      </c>
      <c r="S68" s="164">
        <f t="shared" si="3"/>
        <v>2002560.6462927551</v>
      </c>
      <c r="T68" s="164">
        <f t="shared" si="4"/>
        <v>0</v>
      </c>
    </row>
    <row r="69" spans="2:20" x14ac:dyDescent="0.2">
      <c r="B69" s="171"/>
      <c r="D69" s="171"/>
      <c r="F69" s="158">
        <v>58</v>
      </c>
      <c r="G69" s="249">
        <f t="shared" si="5"/>
        <v>45412</v>
      </c>
      <c r="H69" s="158">
        <f t="shared" si="9"/>
        <v>30</v>
      </c>
      <c r="I69" s="254">
        <f>VLOOKUP(G69,'Прогноз переменной ставки'!$B$5:$E$304,4,1)</f>
        <v>9.9000000000000005E-2</v>
      </c>
      <c r="J69" s="164">
        <f t="shared" si="6"/>
        <v>60000.000000000007</v>
      </c>
      <c r="K69" s="164">
        <f t="shared" si="7"/>
        <v>2002560.6462927551</v>
      </c>
      <c r="L69" s="164">
        <f t="shared" si="10"/>
        <v>2002560.6462927551</v>
      </c>
      <c r="M69" s="164">
        <f t="shared" si="10"/>
        <v>0</v>
      </c>
      <c r="N69" s="164">
        <f t="shared" si="8"/>
        <v>16283.655357945197</v>
      </c>
      <c r="O69" s="164">
        <f t="shared" si="0"/>
        <v>43716.344642054813</v>
      </c>
      <c r="P69" s="164">
        <f t="shared" si="1"/>
        <v>16283.655357945197</v>
      </c>
      <c r="Q69" s="164">
        <f t="shared" si="2"/>
        <v>0</v>
      </c>
      <c r="R69" s="164">
        <f t="shared" si="11"/>
        <v>0</v>
      </c>
      <c r="S69" s="164">
        <f t="shared" si="3"/>
        <v>1958844.3016507004</v>
      </c>
      <c r="T69" s="164">
        <f t="shared" si="4"/>
        <v>0</v>
      </c>
    </row>
    <row r="70" spans="2:20" x14ac:dyDescent="0.2">
      <c r="B70" s="171"/>
      <c r="D70" s="171"/>
      <c r="F70" s="158">
        <v>59</v>
      </c>
      <c r="G70" s="249">
        <f t="shared" si="5"/>
        <v>45443</v>
      </c>
      <c r="H70" s="158">
        <f t="shared" si="9"/>
        <v>31</v>
      </c>
      <c r="I70" s="254">
        <f>VLOOKUP(G70,'Прогноз переменной ставки'!$B$5:$E$304,4,1)</f>
        <v>9.9000000000000005E-2</v>
      </c>
      <c r="J70" s="164">
        <f t="shared" si="6"/>
        <v>60000.000000000007</v>
      </c>
      <c r="K70" s="164">
        <f t="shared" si="7"/>
        <v>1958844.3016507004</v>
      </c>
      <c r="L70" s="164">
        <f t="shared" si="10"/>
        <v>1958844.3016507004</v>
      </c>
      <c r="M70" s="164">
        <f t="shared" si="10"/>
        <v>0</v>
      </c>
      <c r="N70" s="164">
        <f t="shared" si="8"/>
        <v>16459.118854937715</v>
      </c>
      <c r="O70" s="164">
        <f t="shared" si="0"/>
        <v>43540.881145062289</v>
      </c>
      <c r="P70" s="164">
        <f t="shared" si="1"/>
        <v>16459.118854937715</v>
      </c>
      <c r="Q70" s="164">
        <f t="shared" si="2"/>
        <v>0</v>
      </c>
      <c r="R70" s="164">
        <f t="shared" si="11"/>
        <v>0</v>
      </c>
      <c r="S70" s="164">
        <f t="shared" si="3"/>
        <v>1915303.420505638</v>
      </c>
      <c r="T70" s="164">
        <f t="shared" si="4"/>
        <v>0</v>
      </c>
    </row>
    <row r="71" spans="2:20" x14ac:dyDescent="0.2">
      <c r="B71" s="171"/>
      <c r="D71" s="171"/>
      <c r="F71" s="158">
        <v>60</v>
      </c>
      <c r="G71" s="249">
        <f t="shared" si="5"/>
        <v>45473</v>
      </c>
      <c r="H71" s="158">
        <f t="shared" si="9"/>
        <v>30</v>
      </c>
      <c r="I71" s="254">
        <f>VLOOKUP(G71,'Прогноз переменной ставки'!$B$5:$E$304,4,1)</f>
        <v>9.9000000000000005E-2</v>
      </c>
      <c r="J71" s="164">
        <f t="shared" si="6"/>
        <v>60000.000000000007</v>
      </c>
      <c r="K71" s="164">
        <f t="shared" si="7"/>
        <v>1915303.420505638</v>
      </c>
      <c r="L71" s="164">
        <f t="shared" si="10"/>
        <v>1915303.420505638</v>
      </c>
      <c r="M71" s="164">
        <f t="shared" si="10"/>
        <v>0</v>
      </c>
      <c r="N71" s="164">
        <f t="shared" si="8"/>
        <v>15574.130482961658</v>
      </c>
      <c r="O71" s="164">
        <f t="shared" si="0"/>
        <v>44425.869517038351</v>
      </c>
      <c r="P71" s="164">
        <f t="shared" si="1"/>
        <v>15574.130482961658</v>
      </c>
      <c r="Q71" s="164">
        <f t="shared" si="2"/>
        <v>0</v>
      </c>
      <c r="R71" s="164">
        <f t="shared" si="11"/>
        <v>0</v>
      </c>
      <c r="S71" s="164">
        <f t="shared" si="3"/>
        <v>1870877.5509885997</v>
      </c>
      <c r="T71" s="164">
        <f t="shared" si="4"/>
        <v>0</v>
      </c>
    </row>
    <row r="72" spans="2:20" x14ac:dyDescent="0.2">
      <c r="B72" s="171"/>
      <c r="D72" s="171"/>
      <c r="F72" s="158">
        <v>61</v>
      </c>
      <c r="G72" s="249">
        <f t="shared" si="5"/>
        <v>45504</v>
      </c>
      <c r="H72" s="158">
        <f t="shared" si="9"/>
        <v>31</v>
      </c>
      <c r="I72" s="254">
        <f>VLOOKUP(G72,'Прогноз переменной ставки'!$B$5:$E$304,4,1)</f>
        <v>9.9000000000000005E-2</v>
      </c>
      <c r="J72" s="164">
        <f t="shared" si="6"/>
        <v>60000.000000000007</v>
      </c>
      <c r="K72" s="164">
        <f t="shared" si="7"/>
        <v>1870877.5509885997</v>
      </c>
      <c r="L72" s="164">
        <f t="shared" si="10"/>
        <v>1870877.5509885997</v>
      </c>
      <c r="M72" s="164">
        <f t="shared" si="10"/>
        <v>0</v>
      </c>
      <c r="N72" s="164">
        <f t="shared" si="8"/>
        <v>15719.981393522279</v>
      </c>
      <c r="O72" s="164">
        <f t="shared" si="0"/>
        <v>44280.01860647773</v>
      </c>
      <c r="P72" s="164">
        <f t="shared" si="1"/>
        <v>15719.981393522279</v>
      </c>
      <c r="Q72" s="164">
        <f t="shared" si="2"/>
        <v>0</v>
      </c>
      <c r="R72" s="164">
        <f t="shared" si="11"/>
        <v>0</v>
      </c>
      <c r="S72" s="164">
        <f t="shared" si="3"/>
        <v>1826597.532382122</v>
      </c>
      <c r="T72" s="164">
        <f t="shared" si="4"/>
        <v>0</v>
      </c>
    </row>
    <row r="73" spans="2:20" x14ac:dyDescent="0.2">
      <c r="B73" s="171"/>
      <c r="D73" s="171"/>
      <c r="F73" s="158">
        <v>62</v>
      </c>
      <c r="G73" s="249">
        <f t="shared" si="5"/>
        <v>45535</v>
      </c>
      <c r="H73" s="158">
        <f t="shared" si="9"/>
        <v>31</v>
      </c>
      <c r="I73" s="254">
        <f>VLOOKUP(G73,'Прогноз переменной ставки'!$B$5:$E$304,4,1)</f>
        <v>9.9000000000000005E-2</v>
      </c>
      <c r="J73" s="164">
        <f t="shared" si="6"/>
        <v>60000.000000000007</v>
      </c>
      <c r="K73" s="164">
        <f t="shared" si="7"/>
        <v>1826597.532382122</v>
      </c>
      <c r="L73" s="164">
        <f t="shared" si="10"/>
        <v>1826597.532382122</v>
      </c>
      <c r="M73" s="164">
        <f t="shared" si="10"/>
        <v>0</v>
      </c>
      <c r="N73" s="164">
        <f t="shared" si="8"/>
        <v>15347.920128352451</v>
      </c>
      <c r="O73" s="164">
        <f t="shared" si="0"/>
        <v>44652.079871647555</v>
      </c>
      <c r="P73" s="164">
        <f t="shared" si="1"/>
        <v>15347.920128352451</v>
      </c>
      <c r="Q73" s="164">
        <f t="shared" si="2"/>
        <v>0</v>
      </c>
      <c r="R73" s="164">
        <f t="shared" si="11"/>
        <v>0</v>
      </c>
      <c r="S73" s="164">
        <f t="shared" si="3"/>
        <v>1781945.4525104745</v>
      </c>
      <c r="T73" s="164">
        <f t="shared" si="4"/>
        <v>0</v>
      </c>
    </row>
    <row r="74" spans="2:20" x14ac:dyDescent="0.2">
      <c r="B74" s="171"/>
      <c r="D74" s="171"/>
      <c r="F74" s="158">
        <v>63</v>
      </c>
      <c r="G74" s="249">
        <f t="shared" si="5"/>
        <v>45565</v>
      </c>
      <c r="H74" s="158">
        <f t="shared" si="9"/>
        <v>30</v>
      </c>
      <c r="I74" s="254">
        <f>VLOOKUP(G74,'Прогноз переменной ставки'!$B$5:$E$304,4,1)</f>
        <v>9.9000000000000005E-2</v>
      </c>
      <c r="J74" s="164">
        <f t="shared" si="6"/>
        <v>60000.000000000007</v>
      </c>
      <c r="K74" s="164">
        <f t="shared" si="7"/>
        <v>1781945.4525104745</v>
      </c>
      <c r="L74" s="164">
        <f t="shared" si="10"/>
        <v>1781945.4525104745</v>
      </c>
      <c r="M74" s="164">
        <f t="shared" si="10"/>
        <v>0</v>
      </c>
      <c r="N74" s="164">
        <f t="shared" si="8"/>
        <v>14489.741256553345</v>
      </c>
      <c r="O74" s="164">
        <f t="shared" si="0"/>
        <v>45510.258743446662</v>
      </c>
      <c r="P74" s="164">
        <f t="shared" si="1"/>
        <v>14489.741256553345</v>
      </c>
      <c r="Q74" s="164">
        <f t="shared" si="2"/>
        <v>0</v>
      </c>
      <c r="R74" s="164">
        <f t="shared" si="11"/>
        <v>0</v>
      </c>
      <c r="S74" s="164">
        <f t="shared" si="3"/>
        <v>1736435.1937670279</v>
      </c>
      <c r="T74" s="164">
        <f t="shared" si="4"/>
        <v>0</v>
      </c>
    </row>
    <row r="75" spans="2:20" x14ac:dyDescent="0.2">
      <c r="B75" s="171"/>
      <c r="D75" s="171"/>
      <c r="F75" s="158">
        <v>64</v>
      </c>
      <c r="G75" s="249">
        <f t="shared" si="5"/>
        <v>45596</v>
      </c>
      <c r="H75" s="158">
        <f t="shared" si="9"/>
        <v>31</v>
      </c>
      <c r="I75" s="254">
        <f>VLOOKUP(G75,'Прогноз переменной ставки'!$B$5:$E$304,4,1)</f>
        <v>9.9000000000000005E-2</v>
      </c>
      <c r="J75" s="164">
        <f t="shared" si="6"/>
        <v>60000.000000000007</v>
      </c>
      <c r="K75" s="164">
        <f t="shared" si="7"/>
        <v>1736435.1937670279</v>
      </c>
      <c r="L75" s="164">
        <f t="shared" si="10"/>
        <v>1736435.1937670279</v>
      </c>
      <c r="M75" s="164">
        <f t="shared" si="10"/>
        <v>0</v>
      </c>
      <c r="N75" s="164">
        <f t="shared" si="8"/>
        <v>14590.334318058889</v>
      </c>
      <c r="O75" s="164">
        <f t="shared" si="0"/>
        <v>45409.665681941115</v>
      </c>
      <c r="P75" s="164">
        <f t="shared" si="1"/>
        <v>14590.334318058889</v>
      </c>
      <c r="Q75" s="164">
        <f t="shared" si="2"/>
        <v>0</v>
      </c>
      <c r="R75" s="164">
        <f t="shared" si="11"/>
        <v>0</v>
      </c>
      <c r="S75" s="164">
        <f t="shared" si="3"/>
        <v>1691025.5280850867</v>
      </c>
      <c r="T75" s="164">
        <f t="shared" si="4"/>
        <v>0</v>
      </c>
    </row>
    <row r="76" spans="2:20" x14ac:dyDescent="0.2">
      <c r="B76" s="171"/>
      <c r="D76" s="171"/>
      <c r="F76" s="158">
        <v>65</v>
      </c>
      <c r="G76" s="249">
        <f t="shared" si="5"/>
        <v>45626</v>
      </c>
      <c r="H76" s="158">
        <f t="shared" si="9"/>
        <v>30</v>
      </c>
      <c r="I76" s="254">
        <f>VLOOKUP(G76,'Прогноз переменной ставки'!$B$5:$E$304,4,1)</f>
        <v>9.9000000000000005E-2</v>
      </c>
      <c r="J76" s="164">
        <f t="shared" si="6"/>
        <v>60000.000000000007</v>
      </c>
      <c r="K76" s="164">
        <f t="shared" si="7"/>
        <v>1691025.5280850867</v>
      </c>
      <c r="L76" s="164">
        <f t="shared" si="10"/>
        <v>1691025.5280850867</v>
      </c>
      <c r="M76" s="164">
        <f t="shared" si="10"/>
        <v>0</v>
      </c>
      <c r="N76" s="164">
        <f t="shared" si="8"/>
        <v>13750.433452190849</v>
      </c>
      <c r="O76" s="164">
        <f t="shared" ref="O76:O139" si="12">MIN(J76-Q76-P76,L76)</f>
        <v>46249.566547809154</v>
      </c>
      <c r="P76" s="164">
        <f t="shared" ref="P76:P139" si="13">MIN(J76-Q76,N76)</f>
        <v>13750.433452190849</v>
      </c>
      <c r="Q76" s="164">
        <f t="shared" ref="Q76:Q139" si="14">MIN(J76,M76)</f>
        <v>0</v>
      </c>
      <c r="R76" s="164">
        <f t="shared" si="11"/>
        <v>0</v>
      </c>
      <c r="S76" s="164">
        <f t="shared" ref="S76:S139" si="15">L76-O76</f>
        <v>1644775.9615372776</v>
      </c>
      <c r="T76" s="164">
        <f t="shared" ref="T76:T139" si="16">M76+R76-Q76</f>
        <v>0</v>
      </c>
    </row>
    <row r="77" spans="2:20" x14ac:dyDescent="0.2">
      <c r="B77" s="171"/>
      <c r="D77" s="171"/>
      <c r="F77" s="158">
        <v>66</v>
      </c>
      <c r="G77" s="249">
        <f t="shared" ref="G77:G140" si="17">EOMONTH($D$9,F77-1)</f>
        <v>45657</v>
      </c>
      <c r="H77" s="158">
        <f t="shared" si="9"/>
        <v>31</v>
      </c>
      <c r="I77" s="254">
        <f>VLOOKUP(G77,'Прогноз переменной ставки'!$B$5:$E$304,4,1)</f>
        <v>9.9000000000000005E-2</v>
      </c>
      <c r="J77" s="164">
        <f t="shared" ref="J77:J140" si="18">IF(F77=$D$4,K77+N77,MIN($D$5,K77+N77))</f>
        <v>60000.000000000007</v>
      </c>
      <c r="K77" s="164">
        <f t="shared" ref="K77:K140" si="19">L77+M77</f>
        <v>1644775.9615372776</v>
      </c>
      <c r="L77" s="164">
        <f t="shared" si="10"/>
        <v>1644775.9615372776</v>
      </c>
      <c r="M77" s="164">
        <f t="shared" si="10"/>
        <v>0</v>
      </c>
      <c r="N77" s="164">
        <f t="shared" ref="N77:N140" si="20">L77*I77/365.25*H77</f>
        <v>13820.17091295799</v>
      </c>
      <c r="O77" s="164">
        <f t="shared" si="12"/>
        <v>46179.829087042017</v>
      </c>
      <c r="P77" s="164">
        <f t="shared" si="13"/>
        <v>13820.17091295799</v>
      </c>
      <c r="Q77" s="164">
        <f t="shared" si="14"/>
        <v>0</v>
      </c>
      <c r="R77" s="164">
        <f t="shared" si="11"/>
        <v>0</v>
      </c>
      <c r="S77" s="164">
        <f t="shared" si="15"/>
        <v>1598596.1324502355</v>
      </c>
      <c r="T77" s="164">
        <f t="shared" si="16"/>
        <v>0</v>
      </c>
    </row>
    <row r="78" spans="2:20" x14ac:dyDescent="0.2">
      <c r="B78" s="171"/>
      <c r="D78" s="171"/>
      <c r="F78" s="158">
        <v>67</v>
      </c>
      <c r="G78" s="249">
        <f t="shared" si="17"/>
        <v>45688</v>
      </c>
      <c r="H78" s="158">
        <f t="shared" ref="H78:H141" si="21">G78-G77</f>
        <v>31</v>
      </c>
      <c r="I78" s="254">
        <f>VLOOKUP(G78,'Прогноз переменной ставки'!$B$5:$E$304,4,1)</f>
        <v>9.9000000000000005E-2</v>
      </c>
      <c r="J78" s="164">
        <f t="shared" si="18"/>
        <v>60000.000000000007</v>
      </c>
      <c r="K78" s="164">
        <f t="shared" si="19"/>
        <v>1598596.1324502355</v>
      </c>
      <c r="L78" s="164">
        <f t="shared" ref="L78:M141" si="22">S77</f>
        <v>1598596.1324502355</v>
      </c>
      <c r="M78" s="164">
        <f t="shared" si="22"/>
        <v>0</v>
      </c>
      <c r="N78" s="164">
        <f t="shared" si="20"/>
        <v>13432.146558493559</v>
      </c>
      <c r="O78" s="164">
        <f t="shared" si="12"/>
        <v>46567.85344150645</v>
      </c>
      <c r="P78" s="164">
        <f t="shared" si="13"/>
        <v>13432.146558493559</v>
      </c>
      <c r="Q78" s="164">
        <f t="shared" si="14"/>
        <v>0</v>
      </c>
      <c r="R78" s="164">
        <f t="shared" ref="R78:R141" si="23">MAX(N78-P78,0)</f>
        <v>0</v>
      </c>
      <c r="S78" s="164">
        <f t="shared" si="15"/>
        <v>1552028.2790087292</v>
      </c>
      <c r="T78" s="164">
        <f t="shared" si="16"/>
        <v>0</v>
      </c>
    </row>
    <row r="79" spans="2:20" x14ac:dyDescent="0.2">
      <c r="B79" s="171"/>
      <c r="D79" s="171"/>
      <c r="F79" s="158">
        <v>68</v>
      </c>
      <c r="G79" s="249">
        <f t="shared" si="17"/>
        <v>45716</v>
      </c>
      <c r="H79" s="158">
        <f t="shared" si="21"/>
        <v>28</v>
      </c>
      <c r="I79" s="254">
        <f>VLOOKUP(G79,'Прогноз переменной ставки'!$B$5:$E$304,4,1)</f>
        <v>9.9000000000000005E-2</v>
      </c>
      <c r="J79" s="164">
        <f t="shared" si="18"/>
        <v>60000.000000000007</v>
      </c>
      <c r="K79" s="164">
        <f t="shared" si="19"/>
        <v>1552028.2790087292</v>
      </c>
      <c r="L79" s="164">
        <f t="shared" si="22"/>
        <v>1552028.2790087292</v>
      </c>
      <c r="M79" s="164">
        <f t="shared" si="22"/>
        <v>0</v>
      </c>
      <c r="N79" s="164">
        <f t="shared" si="20"/>
        <v>11778.842955269534</v>
      </c>
      <c r="O79" s="164">
        <f t="shared" si="12"/>
        <v>48221.157044730469</v>
      </c>
      <c r="P79" s="164">
        <f t="shared" si="13"/>
        <v>11778.842955269534</v>
      </c>
      <c r="Q79" s="164">
        <f t="shared" si="14"/>
        <v>0</v>
      </c>
      <c r="R79" s="164">
        <f t="shared" si="23"/>
        <v>0</v>
      </c>
      <c r="S79" s="164">
        <f t="shared" si="15"/>
        <v>1503807.1219639988</v>
      </c>
      <c r="T79" s="164">
        <f t="shared" si="16"/>
        <v>0</v>
      </c>
    </row>
    <row r="80" spans="2:20" x14ac:dyDescent="0.2">
      <c r="B80" s="171"/>
      <c r="D80" s="171"/>
      <c r="F80" s="158">
        <v>69</v>
      </c>
      <c r="G80" s="249">
        <f t="shared" si="17"/>
        <v>45747</v>
      </c>
      <c r="H80" s="158">
        <f t="shared" si="21"/>
        <v>31</v>
      </c>
      <c r="I80" s="254">
        <f>VLOOKUP(G80,'Прогноз переменной ставки'!$B$5:$E$304,4,1)</f>
        <v>9.9000000000000005E-2</v>
      </c>
      <c r="J80" s="164">
        <f t="shared" si="18"/>
        <v>60000.000000000007</v>
      </c>
      <c r="K80" s="164">
        <f t="shared" si="19"/>
        <v>1503807.1219639988</v>
      </c>
      <c r="L80" s="164">
        <f t="shared" si="22"/>
        <v>1503807.1219639988</v>
      </c>
      <c r="M80" s="164">
        <f t="shared" si="22"/>
        <v>0</v>
      </c>
      <c r="N80" s="164">
        <f t="shared" si="20"/>
        <v>12635.685304058898</v>
      </c>
      <c r="O80" s="164">
        <f t="shared" si="12"/>
        <v>47364.31469594111</v>
      </c>
      <c r="P80" s="164">
        <f t="shared" si="13"/>
        <v>12635.685304058898</v>
      </c>
      <c r="Q80" s="164">
        <f t="shared" si="14"/>
        <v>0</v>
      </c>
      <c r="R80" s="164">
        <f t="shared" si="23"/>
        <v>0</v>
      </c>
      <c r="S80" s="164">
        <f t="shared" si="15"/>
        <v>1456442.8072680577</v>
      </c>
      <c r="T80" s="164">
        <f t="shared" si="16"/>
        <v>0</v>
      </c>
    </row>
    <row r="81" spans="2:20" x14ac:dyDescent="0.2">
      <c r="B81" s="171"/>
      <c r="D81" s="171"/>
      <c r="F81" s="158">
        <v>70</v>
      </c>
      <c r="G81" s="249">
        <f t="shared" si="17"/>
        <v>45777</v>
      </c>
      <c r="H81" s="158">
        <f t="shared" si="21"/>
        <v>30</v>
      </c>
      <c r="I81" s="254">
        <f>VLOOKUP(G81,'Прогноз переменной ставки'!$B$5:$E$304,4,1)</f>
        <v>9.9000000000000005E-2</v>
      </c>
      <c r="J81" s="164">
        <f t="shared" si="18"/>
        <v>60000.000000000007</v>
      </c>
      <c r="K81" s="164">
        <f t="shared" si="19"/>
        <v>1456442.8072680577</v>
      </c>
      <c r="L81" s="164">
        <f t="shared" si="22"/>
        <v>1456442.8072680577</v>
      </c>
      <c r="M81" s="164">
        <f t="shared" si="22"/>
        <v>0</v>
      </c>
      <c r="N81" s="164">
        <f t="shared" si="20"/>
        <v>11842.943566286467</v>
      </c>
      <c r="O81" s="164">
        <f t="shared" si="12"/>
        <v>48157.056433713544</v>
      </c>
      <c r="P81" s="164">
        <f t="shared" si="13"/>
        <v>11842.943566286467</v>
      </c>
      <c r="Q81" s="164">
        <f t="shared" si="14"/>
        <v>0</v>
      </c>
      <c r="R81" s="164">
        <f t="shared" si="23"/>
        <v>0</v>
      </c>
      <c r="S81" s="164">
        <f t="shared" si="15"/>
        <v>1408285.7508343442</v>
      </c>
      <c r="T81" s="164">
        <f t="shared" si="16"/>
        <v>0</v>
      </c>
    </row>
    <row r="82" spans="2:20" x14ac:dyDescent="0.2">
      <c r="B82" s="171"/>
      <c r="D82" s="171"/>
      <c r="F82" s="158">
        <v>71</v>
      </c>
      <c r="G82" s="249">
        <f t="shared" si="17"/>
        <v>45808</v>
      </c>
      <c r="H82" s="158">
        <f t="shared" si="21"/>
        <v>31</v>
      </c>
      <c r="I82" s="254">
        <f>VLOOKUP(G82,'Прогноз переменной ставки'!$B$5:$E$304,4,1)</f>
        <v>9.9000000000000005E-2</v>
      </c>
      <c r="J82" s="164">
        <f t="shared" si="18"/>
        <v>60000.000000000007</v>
      </c>
      <c r="K82" s="164">
        <f t="shared" si="19"/>
        <v>1408285.7508343442</v>
      </c>
      <c r="L82" s="164">
        <f t="shared" si="22"/>
        <v>1408285.7508343442</v>
      </c>
      <c r="M82" s="164">
        <f t="shared" si="22"/>
        <v>0</v>
      </c>
      <c r="N82" s="164">
        <f t="shared" si="20"/>
        <v>11833.070415634777</v>
      </c>
      <c r="O82" s="164">
        <f t="shared" si="12"/>
        <v>48166.929584365229</v>
      </c>
      <c r="P82" s="164">
        <f t="shared" si="13"/>
        <v>11833.070415634777</v>
      </c>
      <c r="Q82" s="164">
        <f t="shared" si="14"/>
        <v>0</v>
      </c>
      <c r="R82" s="164">
        <f t="shared" si="23"/>
        <v>0</v>
      </c>
      <c r="S82" s="164">
        <f t="shared" si="15"/>
        <v>1360118.8212499788</v>
      </c>
      <c r="T82" s="164">
        <f t="shared" si="16"/>
        <v>0</v>
      </c>
    </row>
    <row r="83" spans="2:20" x14ac:dyDescent="0.2">
      <c r="B83" s="171"/>
      <c r="D83" s="171"/>
      <c r="F83" s="158">
        <v>72</v>
      </c>
      <c r="G83" s="249">
        <f t="shared" si="17"/>
        <v>45838</v>
      </c>
      <c r="H83" s="158">
        <f t="shared" si="21"/>
        <v>30</v>
      </c>
      <c r="I83" s="254">
        <f>VLOOKUP(G83,'Прогноз переменной ставки'!$B$5:$E$304,4,1)</f>
        <v>9.9000000000000005E-2</v>
      </c>
      <c r="J83" s="164">
        <f t="shared" si="18"/>
        <v>60000.000000000007</v>
      </c>
      <c r="K83" s="164">
        <f t="shared" si="19"/>
        <v>1360118.8212499788</v>
      </c>
      <c r="L83" s="164">
        <f t="shared" si="22"/>
        <v>1360118.8212499788</v>
      </c>
      <c r="M83" s="164">
        <f t="shared" si="22"/>
        <v>0</v>
      </c>
      <c r="N83" s="164">
        <f t="shared" si="20"/>
        <v>11059.69308449675</v>
      </c>
      <c r="O83" s="164">
        <f t="shared" si="12"/>
        <v>48940.306915503257</v>
      </c>
      <c r="P83" s="164">
        <f t="shared" si="13"/>
        <v>11059.69308449675</v>
      </c>
      <c r="Q83" s="164">
        <f t="shared" si="14"/>
        <v>0</v>
      </c>
      <c r="R83" s="164">
        <f t="shared" si="23"/>
        <v>0</v>
      </c>
      <c r="S83" s="164">
        <f t="shared" si="15"/>
        <v>1311178.5143344756</v>
      </c>
      <c r="T83" s="164">
        <f t="shared" si="16"/>
        <v>0</v>
      </c>
    </row>
    <row r="84" spans="2:20" x14ac:dyDescent="0.2">
      <c r="B84" s="171"/>
      <c r="D84" s="171"/>
      <c r="F84" s="158">
        <v>73</v>
      </c>
      <c r="G84" s="249">
        <f t="shared" si="17"/>
        <v>45869</v>
      </c>
      <c r="H84" s="158">
        <f t="shared" si="21"/>
        <v>31</v>
      </c>
      <c r="I84" s="254">
        <f>VLOOKUP(G84,'Прогноз переменной ставки'!$B$5:$E$304,4,1)</f>
        <v>9.9000000000000005E-2</v>
      </c>
      <c r="J84" s="164">
        <f t="shared" si="18"/>
        <v>60000.000000000007</v>
      </c>
      <c r="K84" s="164">
        <f t="shared" si="19"/>
        <v>1311178.5143344756</v>
      </c>
      <c r="L84" s="164">
        <f t="shared" si="22"/>
        <v>1311178.5143344756</v>
      </c>
      <c r="M84" s="164">
        <f t="shared" si="22"/>
        <v>0</v>
      </c>
      <c r="N84" s="164">
        <f t="shared" si="20"/>
        <v>11017.130350424382</v>
      </c>
      <c r="O84" s="164">
        <f t="shared" si="12"/>
        <v>48982.869649575623</v>
      </c>
      <c r="P84" s="164">
        <f t="shared" si="13"/>
        <v>11017.130350424382</v>
      </c>
      <c r="Q84" s="164">
        <f t="shared" si="14"/>
        <v>0</v>
      </c>
      <c r="R84" s="164">
        <f t="shared" si="23"/>
        <v>0</v>
      </c>
      <c r="S84" s="164">
        <f t="shared" si="15"/>
        <v>1262195.6446849001</v>
      </c>
      <c r="T84" s="164">
        <f t="shared" si="16"/>
        <v>0</v>
      </c>
    </row>
    <row r="85" spans="2:20" x14ac:dyDescent="0.2">
      <c r="B85" s="171"/>
      <c r="D85" s="171"/>
      <c r="F85" s="158">
        <v>74</v>
      </c>
      <c r="G85" s="249">
        <f t="shared" si="17"/>
        <v>45900</v>
      </c>
      <c r="H85" s="158">
        <f t="shared" si="21"/>
        <v>31</v>
      </c>
      <c r="I85" s="254">
        <f>VLOOKUP(G85,'Прогноз переменной ставки'!$B$5:$E$304,4,1)</f>
        <v>9.9000000000000005E-2</v>
      </c>
      <c r="J85" s="164">
        <f t="shared" si="18"/>
        <v>60000.000000000007</v>
      </c>
      <c r="K85" s="164">
        <f t="shared" si="19"/>
        <v>1262195.6446849001</v>
      </c>
      <c r="L85" s="164">
        <f t="shared" si="22"/>
        <v>1262195.6446849001</v>
      </c>
      <c r="M85" s="164">
        <f t="shared" si="22"/>
        <v>0</v>
      </c>
      <c r="N85" s="164">
        <f t="shared" si="20"/>
        <v>10605.553548358545</v>
      </c>
      <c r="O85" s="164">
        <f t="shared" si="12"/>
        <v>49394.446451641459</v>
      </c>
      <c r="P85" s="164">
        <f t="shared" si="13"/>
        <v>10605.553548358545</v>
      </c>
      <c r="Q85" s="164">
        <f t="shared" si="14"/>
        <v>0</v>
      </c>
      <c r="R85" s="164">
        <f t="shared" si="23"/>
        <v>0</v>
      </c>
      <c r="S85" s="164">
        <f t="shared" si="15"/>
        <v>1212801.1982332587</v>
      </c>
      <c r="T85" s="164">
        <f t="shared" si="16"/>
        <v>0</v>
      </c>
    </row>
    <row r="86" spans="2:20" x14ac:dyDescent="0.2">
      <c r="B86" s="171"/>
      <c r="D86" s="171"/>
      <c r="F86" s="158">
        <v>75</v>
      </c>
      <c r="G86" s="249">
        <f t="shared" si="17"/>
        <v>45930</v>
      </c>
      <c r="H86" s="158">
        <f t="shared" si="21"/>
        <v>30</v>
      </c>
      <c r="I86" s="254">
        <f>VLOOKUP(G86,'Прогноз переменной ставки'!$B$5:$E$304,4,1)</f>
        <v>9.9000000000000005E-2</v>
      </c>
      <c r="J86" s="164">
        <f t="shared" si="18"/>
        <v>60000.000000000007</v>
      </c>
      <c r="K86" s="164">
        <f t="shared" si="19"/>
        <v>1212801.1982332587</v>
      </c>
      <c r="L86" s="164">
        <f t="shared" si="22"/>
        <v>1212801.1982332587</v>
      </c>
      <c r="M86" s="164">
        <f t="shared" si="22"/>
        <v>0</v>
      </c>
      <c r="N86" s="164">
        <f t="shared" si="20"/>
        <v>9861.792084196517</v>
      </c>
      <c r="O86" s="164">
        <f t="shared" si="12"/>
        <v>50138.20791580349</v>
      </c>
      <c r="P86" s="164">
        <f t="shared" si="13"/>
        <v>9861.792084196517</v>
      </c>
      <c r="Q86" s="164">
        <f t="shared" si="14"/>
        <v>0</v>
      </c>
      <c r="R86" s="164">
        <f t="shared" si="23"/>
        <v>0</v>
      </c>
      <c r="S86" s="164">
        <f t="shared" si="15"/>
        <v>1162662.9903174553</v>
      </c>
      <c r="T86" s="164">
        <f t="shared" si="16"/>
        <v>0</v>
      </c>
    </row>
    <row r="87" spans="2:20" x14ac:dyDescent="0.2">
      <c r="B87" s="171"/>
      <c r="D87" s="171"/>
      <c r="F87" s="158">
        <v>76</v>
      </c>
      <c r="G87" s="249">
        <f t="shared" si="17"/>
        <v>45961</v>
      </c>
      <c r="H87" s="158">
        <f t="shared" si="21"/>
        <v>31</v>
      </c>
      <c r="I87" s="254">
        <f>VLOOKUP(G87,'Прогноз переменной ставки'!$B$5:$E$304,4,1)</f>
        <v>9.9000000000000005E-2</v>
      </c>
      <c r="J87" s="164">
        <f t="shared" si="18"/>
        <v>60000.000000000007</v>
      </c>
      <c r="K87" s="164">
        <f t="shared" si="19"/>
        <v>1162662.9903174553</v>
      </c>
      <c r="L87" s="164">
        <f t="shared" si="22"/>
        <v>1162662.9903174553</v>
      </c>
      <c r="M87" s="164">
        <f t="shared" si="22"/>
        <v>0</v>
      </c>
      <c r="N87" s="164">
        <f t="shared" si="20"/>
        <v>9769.2339966715153</v>
      </c>
      <c r="O87" s="164">
        <f t="shared" si="12"/>
        <v>50230.766003328492</v>
      </c>
      <c r="P87" s="164">
        <f t="shared" si="13"/>
        <v>9769.2339966715153</v>
      </c>
      <c r="Q87" s="164">
        <f t="shared" si="14"/>
        <v>0</v>
      </c>
      <c r="R87" s="164">
        <f t="shared" si="23"/>
        <v>0</v>
      </c>
      <c r="S87" s="164">
        <f t="shared" si="15"/>
        <v>1112432.2243141267</v>
      </c>
      <c r="T87" s="164">
        <f t="shared" si="16"/>
        <v>0</v>
      </c>
    </row>
    <row r="88" spans="2:20" x14ac:dyDescent="0.2">
      <c r="B88" s="171"/>
      <c r="D88" s="171"/>
      <c r="F88" s="158">
        <v>77</v>
      </c>
      <c r="G88" s="249">
        <f t="shared" si="17"/>
        <v>45991</v>
      </c>
      <c r="H88" s="158">
        <f t="shared" si="21"/>
        <v>30</v>
      </c>
      <c r="I88" s="254">
        <f>VLOOKUP(G88,'Прогноз переменной ставки'!$B$5:$E$304,4,1)</f>
        <v>9.9000000000000005E-2</v>
      </c>
      <c r="J88" s="164">
        <f t="shared" si="18"/>
        <v>60000.000000000007</v>
      </c>
      <c r="K88" s="164">
        <f t="shared" si="19"/>
        <v>1112432.2243141267</v>
      </c>
      <c r="L88" s="164">
        <f t="shared" si="22"/>
        <v>1112432.2243141267</v>
      </c>
      <c r="M88" s="164">
        <f t="shared" si="22"/>
        <v>0</v>
      </c>
      <c r="N88" s="164">
        <f t="shared" si="20"/>
        <v>9045.6501196795525</v>
      </c>
      <c r="O88" s="164">
        <f t="shared" si="12"/>
        <v>50954.349880320457</v>
      </c>
      <c r="P88" s="164">
        <f t="shared" si="13"/>
        <v>9045.6501196795525</v>
      </c>
      <c r="Q88" s="164">
        <f t="shared" si="14"/>
        <v>0</v>
      </c>
      <c r="R88" s="164">
        <f t="shared" si="23"/>
        <v>0</v>
      </c>
      <c r="S88" s="164">
        <f t="shared" si="15"/>
        <v>1061477.8744338062</v>
      </c>
      <c r="T88" s="164">
        <f t="shared" si="16"/>
        <v>0</v>
      </c>
    </row>
    <row r="89" spans="2:20" x14ac:dyDescent="0.2">
      <c r="B89" s="171"/>
      <c r="D89" s="171"/>
      <c r="F89" s="158">
        <v>78</v>
      </c>
      <c r="G89" s="249">
        <f t="shared" si="17"/>
        <v>46022</v>
      </c>
      <c r="H89" s="158">
        <f t="shared" si="21"/>
        <v>31</v>
      </c>
      <c r="I89" s="254">
        <f>VLOOKUP(G89,'Прогноз переменной ставки'!$B$5:$E$304,4,1)</f>
        <v>9.9000000000000005E-2</v>
      </c>
      <c r="J89" s="164">
        <f t="shared" si="18"/>
        <v>60000.000000000007</v>
      </c>
      <c r="K89" s="164">
        <f t="shared" si="19"/>
        <v>1061477.8744338062</v>
      </c>
      <c r="L89" s="164">
        <f t="shared" si="22"/>
        <v>1061477.8744338062</v>
      </c>
      <c r="M89" s="164">
        <f t="shared" si="22"/>
        <v>0</v>
      </c>
      <c r="N89" s="164">
        <f t="shared" si="20"/>
        <v>8919.0296964746103</v>
      </c>
      <c r="O89" s="164">
        <f t="shared" si="12"/>
        <v>51080.970303525399</v>
      </c>
      <c r="P89" s="164">
        <f t="shared" si="13"/>
        <v>8919.0296964746103</v>
      </c>
      <c r="Q89" s="164">
        <f t="shared" si="14"/>
        <v>0</v>
      </c>
      <c r="R89" s="164">
        <f t="shared" si="23"/>
        <v>0</v>
      </c>
      <c r="S89" s="164">
        <f t="shared" si="15"/>
        <v>1010396.9041302807</v>
      </c>
      <c r="T89" s="164">
        <f t="shared" si="16"/>
        <v>0</v>
      </c>
    </row>
    <row r="90" spans="2:20" x14ac:dyDescent="0.2">
      <c r="B90" s="171"/>
      <c r="D90" s="171"/>
      <c r="F90" s="158">
        <v>79</v>
      </c>
      <c r="G90" s="249">
        <f t="shared" si="17"/>
        <v>46053</v>
      </c>
      <c r="H90" s="158">
        <f t="shared" si="21"/>
        <v>31</v>
      </c>
      <c r="I90" s="254">
        <f>VLOOKUP(G90,'Прогноз переменной ставки'!$B$5:$E$304,4,1)</f>
        <v>9.9000000000000005E-2</v>
      </c>
      <c r="J90" s="164">
        <f t="shared" si="18"/>
        <v>60000.000000000007</v>
      </c>
      <c r="K90" s="164">
        <f t="shared" si="19"/>
        <v>1010396.9041302807</v>
      </c>
      <c r="L90" s="164">
        <f t="shared" si="22"/>
        <v>1010396.9041302807</v>
      </c>
      <c r="M90" s="164">
        <f t="shared" si="22"/>
        <v>0</v>
      </c>
      <c r="N90" s="164">
        <f t="shared" si="20"/>
        <v>8489.8236790577175</v>
      </c>
      <c r="O90" s="164">
        <f t="shared" si="12"/>
        <v>51510.176320942293</v>
      </c>
      <c r="P90" s="164">
        <f t="shared" si="13"/>
        <v>8489.8236790577175</v>
      </c>
      <c r="Q90" s="164">
        <f t="shared" si="14"/>
        <v>0</v>
      </c>
      <c r="R90" s="164">
        <f t="shared" si="23"/>
        <v>0</v>
      </c>
      <c r="S90" s="164">
        <f t="shared" si="15"/>
        <v>958886.72780933836</v>
      </c>
      <c r="T90" s="164">
        <f t="shared" si="16"/>
        <v>0</v>
      </c>
    </row>
    <row r="91" spans="2:20" x14ac:dyDescent="0.2">
      <c r="B91" s="171"/>
      <c r="D91" s="171"/>
      <c r="F91" s="158">
        <v>80</v>
      </c>
      <c r="G91" s="249">
        <f t="shared" si="17"/>
        <v>46081</v>
      </c>
      <c r="H91" s="158">
        <f t="shared" si="21"/>
        <v>28</v>
      </c>
      <c r="I91" s="254">
        <f>VLOOKUP(G91,'Прогноз переменной ставки'!$B$5:$E$304,4,1)</f>
        <v>9.9000000000000005E-2</v>
      </c>
      <c r="J91" s="164">
        <f t="shared" si="18"/>
        <v>60000.000000000007</v>
      </c>
      <c r="K91" s="164">
        <f t="shared" si="19"/>
        <v>958886.72780933836</v>
      </c>
      <c r="L91" s="164">
        <f t="shared" si="22"/>
        <v>958886.72780933836</v>
      </c>
      <c r="M91" s="164">
        <f t="shared" si="22"/>
        <v>0</v>
      </c>
      <c r="N91" s="164">
        <f t="shared" si="20"/>
        <v>7277.3005050992097</v>
      </c>
      <c r="O91" s="164">
        <f t="shared" si="12"/>
        <v>52722.6994949008</v>
      </c>
      <c r="P91" s="164">
        <f t="shared" si="13"/>
        <v>7277.3005050992097</v>
      </c>
      <c r="Q91" s="164">
        <f t="shared" si="14"/>
        <v>0</v>
      </c>
      <c r="R91" s="164">
        <f t="shared" si="23"/>
        <v>0</v>
      </c>
      <c r="S91" s="164">
        <f t="shared" si="15"/>
        <v>906164.0283144376</v>
      </c>
      <c r="T91" s="164">
        <f t="shared" si="16"/>
        <v>0</v>
      </c>
    </row>
    <row r="92" spans="2:20" x14ac:dyDescent="0.2">
      <c r="B92" s="171"/>
      <c r="D92" s="171"/>
      <c r="F92" s="158">
        <v>81</v>
      </c>
      <c r="G92" s="249">
        <f t="shared" si="17"/>
        <v>46112</v>
      </c>
      <c r="H92" s="158">
        <f t="shared" si="21"/>
        <v>31</v>
      </c>
      <c r="I92" s="254">
        <f>VLOOKUP(G92,'Прогноз переменной ставки'!$B$5:$E$304,4,1)</f>
        <v>9.9000000000000005E-2</v>
      </c>
      <c r="J92" s="164">
        <f t="shared" si="18"/>
        <v>60000.000000000007</v>
      </c>
      <c r="K92" s="164">
        <f t="shared" si="19"/>
        <v>906164.0283144376</v>
      </c>
      <c r="L92" s="164">
        <f t="shared" si="22"/>
        <v>906164.0283144376</v>
      </c>
      <c r="M92" s="164">
        <f t="shared" si="22"/>
        <v>0</v>
      </c>
      <c r="N92" s="164">
        <f t="shared" si="20"/>
        <v>7614.0106855496479</v>
      </c>
      <c r="O92" s="164">
        <f t="shared" si="12"/>
        <v>52385.989314450359</v>
      </c>
      <c r="P92" s="164">
        <f t="shared" si="13"/>
        <v>7614.0106855496479</v>
      </c>
      <c r="Q92" s="164">
        <f t="shared" si="14"/>
        <v>0</v>
      </c>
      <c r="R92" s="164">
        <f t="shared" si="23"/>
        <v>0</v>
      </c>
      <c r="S92" s="164">
        <f t="shared" si="15"/>
        <v>853778.0389999873</v>
      </c>
      <c r="T92" s="164">
        <f t="shared" si="16"/>
        <v>0</v>
      </c>
    </row>
    <row r="93" spans="2:20" x14ac:dyDescent="0.2">
      <c r="B93" s="171"/>
      <c r="D93" s="171"/>
      <c r="F93" s="158">
        <v>82</v>
      </c>
      <c r="G93" s="249">
        <f t="shared" si="17"/>
        <v>46142</v>
      </c>
      <c r="H93" s="158">
        <f t="shared" si="21"/>
        <v>30</v>
      </c>
      <c r="I93" s="254">
        <f>VLOOKUP(G93,'Прогноз переменной ставки'!$B$5:$E$304,4,1)</f>
        <v>9.9000000000000005E-2</v>
      </c>
      <c r="J93" s="164">
        <f t="shared" si="18"/>
        <v>60000.000000000007</v>
      </c>
      <c r="K93" s="164">
        <f t="shared" si="19"/>
        <v>853778.0389999873</v>
      </c>
      <c r="L93" s="164">
        <f t="shared" si="22"/>
        <v>853778.0389999873</v>
      </c>
      <c r="M93" s="164">
        <f t="shared" si="22"/>
        <v>0</v>
      </c>
      <c r="N93" s="164">
        <f t="shared" si="20"/>
        <v>6942.4251220532851</v>
      </c>
      <c r="O93" s="164">
        <f t="shared" si="12"/>
        <v>53057.574877946725</v>
      </c>
      <c r="P93" s="164">
        <f t="shared" si="13"/>
        <v>6942.4251220532851</v>
      </c>
      <c r="Q93" s="164">
        <f t="shared" si="14"/>
        <v>0</v>
      </c>
      <c r="R93" s="164">
        <f t="shared" si="23"/>
        <v>0</v>
      </c>
      <c r="S93" s="164">
        <f t="shared" si="15"/>
        <v>800720.46412204055</v>
      </c>
      <c r="T93" s="164">
        <f t="shared" si="16"/>
        <v>0</v>
      </c>
    </row>
    <row r="94" spans="2:20" x14ac:dyDescent="0.2">
      <c r="B94" s="171"/>
      <c r="D94" s="171"/>
      <c r="F94" s="158">
        <v>83</v>
      </c>
      <c r="G94" s="249">
        <f t="shared" si="17"/>
        <v>46173</v>
      </c>
      <c r="H94" s="158">
        <f t="shared" si="21"/>
        <v>31</v>
      </c>
      <c r="I94" s="254">
        <f>VLOOKUP(G94,'Прогноз переменной ставки'!$B$5:$E$304,4,1)</f>
        <v>9.9000000000000005E-2</v>
      </c>
      <c r="J94" s="164">
        <f t="shared" si="18"/>
        <v>60000.000000000007</v>
      </c>
      <c r="K94" s="164">
        <f t="shared" si="19"/>
        <v>800720.46412204055</v>
      </c>
      <c r="L94" s="164">
        <f t="shared" si="22"/>
        <v>800720.46412204055</v>
      </c>
      <c r="M94" s="164">
        <f t="shared" si="22"/>
        <v>0</v>
      </c>
      <c r="N94" s="164">
        <f t="shared" si="20"/>
        <v>6728.0249264628128</v>
      </c>
      <c r="O94" s="164">
        <f t="shared" si="12"/>
        <v>53271.975073537193</v>
      </c>
      <c r="P94" s="164">
        <f t="shared" si="13"/>
        <v>6728.0249264628128</v>
      </c>
      <c r="Q94" s="164">
        <f t="shared" si="14"/>
        <v>0</v>
      </c>
      <c r="R94" s="164">
        <f t="shared" si="23"/>
        <v>0</v>
      </c>
      <c r="S94" s="164">
        <f t="shared" si="15"/>
        <v>747448.48904850334</v>
      </c>
      <c r="T94" s="164">
        <f t="shared" si="16"/>
        <v>0</v>
      </c>
    </row>
    <row r="95" spans="2:20" x14ac:dyDescent="0.2">
      <c r="B95" s="171"/>
      <c r="D95" s="171"/>
      <c r="F95" s="158">
        <v>84</v>
      </c>
      <c r="G95" s="249">
        <f t="shared" si="17"/>
        <v>46203</v>
      </c>
      <c r="H95" s="158">
        <f t="shared" si="21"/>
        <v>30</v>
      </c>
      <c r="I95" s="254">
        <f>VLOOKUP(G95,'Прогноз переменной ставки'!$B$5:$E$304,4,1)</f>
        <v>9.9000000000000005E-2</v>
      </c>
      <c r="J95" s="164">
        <f t="shared" si="18"/>
        <v>60000.000000000007</v>
      </c>
      <c r="K95" s="164">
        <f t="shared" si="19"/>
        <v>747448.48904850334</v>
      </c>
      <c r="L95" s="164">
        <f t="shared" si="22"/>
        <v>747448.48904850334</v>
      </c>
      <c r="M95" s="164">
        <f t="shared" si="22"/>
        <v>0</v>
      </c>
      <c r="N95" s="164">
        <f t="shared" si="20"/>
        <v>6077.8152292239702</v>
      </c>
      <c r="O95" s="164">
        <f t="shared" si="12"/>
        <v>53922.184770776039</v>
      </c>
      <c r="P95" s="164">
        <f t="shared" si="13"/>
        <v>6077.8152292239702</v>
      </c>
      <c r="Q95" s="164">
        <f t="shared" si="14"/>
        <v>0</v>
      </c>
      <c r="R95" s="164">
        <f t="shared" si="23"/>
        <v>0</v>
      </c>
      <c r="S95" s="164">
        <f t="shared" si="15"/>
        <v>693526.30427772726</v>
      </c>
      <c r="T95" s="164">
        <f t="shared" si="16"/>
        <v>0</v>
      </c>
    </row>
    <row r="96" spans="2:20" x14ac:dyDescent="0.2">
      <c r="B96" s="171"/>
      <c r="D96" s="171"/>
      <c r="F96" s="158">
        <v>85</v>
      </c>
      <c r="G96" s="249">
        <f t="shared" si="17"/>
        <v>46234</v>
      </c>
      <c r="H96" s="158">
        <f t="shared" si="21"/>
        <v>31</v>
      </c>
      <c r="I96" s="254">
        <f>VLOOKUP(G96,'Прогноз переменной ставки'!$B$5:$E$304,4,1)</f>
        <v>9.9000000000000005E-2</v>
      </c>
      <c r="J96" s="164">
        <f t="shared" si="18"/>
        <v>60000.000000000007</v>
      </c>
      <c r="K96" s="164">
        <f t="shared" si="19"/>
        <v>693526.30427772726</v>
      </c>
      <c r="L96" s="164">
        <f t="shared" si="22"/>
        <v>693526.30427772726</v>
      </c>
      <c r="M96" s="164">
        <f t="shared" si="22"/>
        <v>0</v>
      </c>
      <c r="N96" s="164">
        <f t="shared" si="20"/>
        <v>5827.3298503171654</v>
      </c>
      <c r="O96" s="164">
        <f t="shared" si="12"/>
        <v>54172.670149682839</v>
      </c>
      <c r="P96" s="164">
        <f t="shared" si="13"/>
        <v>5827.3298503171654</v>
      </c>
      <c r="Q96" s="164">
        <f t="shared" si="14"/>
        <v>0</v>
      </c>
      <c r="R96" s="164">
        <f t="shared" si="23"/>
        <v>0</v>
      </c>
      <c r="S96" s="164">
        <f t="shared" si="15"/>
        <v>639353.63412804448</v>
      </c>
      <c r="T96" s="164">
        <f t="shared" si="16"/>
        <v>0</v>
      </c>
    </row>
    <row r="97" spans="2:20" x14ac:dyDescent="0.2">
      <c r="B97" s="171"/>
      <c r="D97" s="171"/>
      <c r="F97" s="158">
        <v>86</v>
      </c>
      <c r="G97" s="249">
        <f t="shared" si="17"/>
        <v>46265</v>
      </c>
      <c r="H97" s="158">
        <f t="shared" si="21"/>
        <v>31</v>
      </c>
      <c r="I97" s="254">
        <f>VLOOKUP(G97,'Прогноз переменной ставки'!$B$5:$E$304,4,1)</f>
        <v>9.9000000000000005E-2</v>
      </c>
      <c r="J97" s="164">
        <f t="shared" si="18"/>
        <v>60000.000000000007</v>
      </c>
      <c r="K97" s="164">
        <f t="shared" si="19"/>
        <v>639353.63412804448</v>
      </c>
      <c r="L97" s="164">
        <f t="shared" si="22"/>
        <v>639353.63412804448</v>
      </c>
      <c r="M97" s="164">
        <f t="shared" si="22"/>
        <v>0</v>
      </c>
      <c r="N97" s="164">
        <f t="shared" si="20"/>
        <v>5372.1459360409817</v>
      </c>
      <c r="O97" s="164">
        <f t="shared" si="12"/>
        <v>54627.854063959028</v>
      </c>
      <c r="P97" s="164">
        <f t="shared" si="13"/>
        <v>5372.1459360409817</v>
      </c>
      <c r="Q97" s="164">
        <f t="shared" si="14"/>
        <v>0</v>
      </c>
      <c r="R97" s="164">
        <f t="shared" si="23"/>
        <v>0</v>
      </c>
      <c r="S97" s="164">
        <f t="shared" si="15"/>
        <v>584725.7800640855</v>
      </c>
      <c r="T97" s="164">
        <f t="shared" si="16"/>
        <v>0</v>
      </c>
    </row>
    <row r="98" spans="2:20" x14ac:dyDescent="0.2">
      <c r="B98" s="171"/>
      <c r="D98" s="171"/>
      <c r="F98" s="158">
        <v>87</v>
      </c>
      <c r="G98" s="249">
        <f t="shared" si="17"/>
        <v>46295</v>
      </c>
      <c r="H98" s="158">
        <f t="shared" si="21"/>
        <v>30</v>
      </c>
      <c r="I98" s="254">
        <f>VLOOKUP(G98,'Прогноз переменной ставки'!$B$5:$E$304,4,1)</f>
        <v>9.9000000000000005E-2</v>
      </c>
      <c r="J98" s="164">
        <f t="shared" si="18"/>
        <v>60000.000000000007</v>
      </c>
      <c r="K98" s="164">
        <f t="shared" si="19"/>
        <v>584725.7800640855</v>
      </c>
      <c r="L98" s="164">
        <f t="shared" si="22"/>
        <v>584725.7800640855</v>
      </c>
      <c r="M98" s="164">
        <f t="shared" si="22"/>
        <v>0</v>
      </c>
      <c r="N98" s="164">
        <f t="shared" si="20"/>
        <v>4754.6490534985187</v>
      </c>
      <c r="O98" s="164">
        <f t="shared" si="12"/>
        <v>55245.350946501487</v>
      </c>
      <c r="P98" s="164">
        <f t="shared" si="13"/>
        <v>4754.6490534985187</v>
      </c>
      <c r="Q98" s="164">
        <f t="shared" si="14"/>
        <v>0</v>
      </c>
      <c r="R98" s="164">
        <f t="shared" si="23"/>
        <v>0</v>
      </c>
      <c r="S98" s="164">
        <f t="shared" si="15"/>
        <v>529480.42911758402</v>
      </c>
      <c r="T98" s="164">
        <f t="shared" si="16"/>
        <v>0</v>
      </c>
    </row>
    <row r="99" spans="2:20" x14ac:dyDescent="0.2">
      <c r="B99" s="171"/>
      <c r="D99" s="171"/>
      <c r="F99" s="158">
        <v>88</v>
      </c>
      <c r="G99" s="249">
        <f t="shared" si="17"/>
        <v>46326</v>
      </c>
      <c r="H99" s="158">
        <f t="shared" si="21"/>
        <v>31</v>
      </c>
      <c r="I99" s="254">
        <f>VLOOKUP(G99,'Прогноз переменной ставки'!$B$5:$E$304,4,1)</f>
        <v>9.9000000000000005E-2</v>
      </c>
      <c r="J99" s="164">
        <f t="shared" si="18"/>
        <v>60000.000000000007</v>
      </c>
      <c r="K99" s="164">
        <f t="shared" si="19"/>
        <v>529480.42911758402</v>
      </c>
      <c r="L99" s="164">
        <f t="shared" si="22"/>
        <v>529480.42911758402</v>
      </c>
      <c r="M99" s="164">
        <f t="shared" si="22"/>
        <v>0</v>
      </c>
      <c r="N99" s="164">
        <f t="shared" si="20"/>
        <v>4448.9402791563734</v>
      </c>
      <c r="O99" s="164">
        <f t="shared" si="12"/>
        <v>55551.059720843637</v>
      </c>
      <c r="P99" s="164">
        <f t="shared" si="13"/>
        <v>4448.9402791563734</v>
      </c>
      <c r="Q99" s="164">
        <f t="shared" si="14"/>
        <v>0</v>
      </c>
      <c r="R99" s="164">
        <f t="shared" si="23"/>
        <v>0</v>
      </c>
      <c r="S99" s="164">
        <f t="shared" si="15"/>
        <v>473929.3693967404</v>
      </c>
      <c r="T99" s="164">
        <f t="shared" si="16"/>
        <v>0</v>
      </c>
    </row>
    <row r="100" spans="2:20" x14ac:dyDescent="0.2">
      <c r="B100" s="171"/>
      <c r="D100" s="171"/>
      <c r="F100" s="158">
        <v>89</v>
      </c>
      <c r="G100" s="249">
        <f t="shared" si="17"/>
        <v>46356</v>
      </c>
      <c r="H100" s="158">
        <f t="shared" si="21"/>
        <v>30</v>
      </c>
      <c r="I100" s="254">
        <f>VLOOKUP(G100,'Прогноз переменной ставки'!$B$5:$E$304,4,1)</f>
        <v>9.9000000000000005E-2</v>
      </c>
      <c r="J100" s="164">
        <f t="shared" si="18"/>
        <v>60000.000000000007</v>
      </c>
      <c r="K100" s="164">
        <f t="shared" si="19"/>
        <v>473929.3693967404</v>
      </c>
      <c r="L100" s="164">
        <f t="shared" si="22"/>
        <v>473929.3693967404</v>
      </c>
      <c r="M100" s="164">
        <f t="shared" si="22"/>
        <v>0</v>
      </c>
      <c r="N100" s="164">
        <f t="shared" si="20"/>
        <v>3853.7172542322219</v>
      </c>
      <c r="O100" s="164">
        <f t="shared" si="12"/>
        <v>56146.282745767785</v>
      </c>
      <c r="P100" s="164">
        <f t="shared" si="13"/>
        <v>3853.7172542322219</v>
      </c>
      <c r="Q100" s="164">
        <f t="shared" si="14"/>
        <v>0</v>
      </c>
      <c r="R100" s="164">
        <f t="shared" si="23"/>
        <v>0</v>
      </c>
      <c r="S100" s="164">
        <f t="shared" si="15"/>
        <v>417783.0866509726</v>
      </c>
      <c r="T100" s="164">
        <f t="shared" si="16"/>
        <v>0</v>
      </c>
    </row>
    <row r="101" spans="2:20" x14ac:dyDescent="0.2">
      <c r="B101" s="171"/>
      <c r="D101" s="171"/>
      <c r="F101" s="158">
        <v>90</v>
      </c>
      <c r="G101" s="249">
        <f t="shared" si="17"/>
        <v>46387</v>
      </c>
      <c r="H101" s="158">
        <f t="shared" si="21"/>
        <v>31</v>
      </c>
      <c r="I101" s="254">
        <f>VLOOKUP(G101,'Прогноз переменной ставки'!$B$5:$E$304,4,1)</f>
        <v>9.9000000000000005E-2</v>
      </c>
      <c r="J101" s="164">
        <f t="shared" si="18"/>
        <v>60000.000000000007</v>
      </c>
      <c r="K101" s="164">
        <f t="shared" si="19"/>
        <v>417783.0866509726</v>
      </c>
      <c r="L101" s="164">
        <f t="shared" si="22"/>
        <v>417783.0866509726</v>
      </c>
      <c r="M101" s="164">
        <f t="shared" si="22"/>
        <v>0</v>
      </c>
      <c r="N101" s="164">
        <f t="shared" si="20"/>
        <v>3510.4073728455437</v>
      </c>
      <c r="O101" s="164">
        <f t="shared" si="12"/>
        <v>56489.592627154467</v>
      </c>
      <c r="P101" s="164">
        <f t="shared" si="13"/>
        <v>3510.4073728455437</v>
      </c>
      <c r="Q101" s="164">
        <f t="shared" si="14"/>
        <v>0</v>
      </c>
      <c r="R101" s="164">
        <f t="shared" si="23"/>
        <v>0</v>
      </c>
      <c r="S101" s="164">
        <f t="shared" si="15"/>
        <v>361293.49402381812</v>
      </c>
      <c r="T101" s="164">
        <f t="shared" si="16"/>
        <v>0</v>
      </c>
    </row>
    <row r="102" spans="2:20" x14ac:dyDescent="0.2">
      <c r="B102" s="171"/>
      <c r="D102" s="171"/>
      <c r="F102" s="158">
        <v>91</v>
      </c>
      <c r="G102" s="249">
        <f t="shared" si="17"/>
        <v>46418</v>
      </c>
      <c r="H102" s="158">
        <f t="shared" si="21"/>
        <v>31</v>
      </c>
      <c r="I102" s="254">
        <f>VLOOKUP(G102,'Прогноз переменной ставки'!$B$5:$E$304,4,1)</f>
        <v>9.9000000000000005E-2</v>
      </c>
      <c r="J102" s="164">
        <f t="shared" si="18"/>
        <v>60000.000000000007</v>
      </c>
      <c r="K102" s="164">
        <f t="shared" si="19"/>
        <v>361293.49402381812</v>
      </c>
      <c r="L102" s="164">
        <f t="shared" si="22"/>
        <v>361293.49402381812</v>
      </c>
      <c r="M102" s="164">
        <f t="shared" si="22"/>
        <v>0</v>
      </c>
      <c r="N102" s="164">
        <f t="shared" si="20"/>
        <v>3035.7556007093713</v>
      </c>
      <c r="O102" s="164">
        <f t="shared" si="12"/>
        <v>56964.244399290634</v>
      </c>
      <c r="P102" s="164">
        <f t="shared" si="13"/>
        <v>3035.7556007093713</v>
      </c>
      <c r="Q102" s="164">
        <f t="shared" si="14"/>
        <v>0</v>
      </c>
      <c r="R102" s="164">
        <f t="shared" si="23"/>
        <v>0</v>
      </c>
      <c r="S102" s="164">
        <f t="shared" si="15"/>
        <v>304329.24962452747</v>
      </c>
      <c r="T102" s="164">
        <f t="shared" si="16"/>
        <v>0</v>
      </c>
    </row>
    <row r="103" spans="2:20" x14ac:dyDescent="0.2">
      <c r="B103" s="171"/>
      <c r="D103" s="171"/>
      <c r="F103" s="158">
        <v>92</v>
      </c>
      <c r="G103" s="249">
        <f t="shared" si="17"/>
        <v>46446</v>
      </c>
      <c r="H103" s="158">
        <f t="shared" si="21"/>
        <v>28</v>
      </c>
      <c r="I103" s="254">
        <f>VLOOKUP(G103,'Прогноз переменной ставки'!$B$5:$E$304,4,1)</f>
        <v>9.9000000000000005E-2</v>
      </c>
      <c r="J103" s="164">
        <f t="shared" si="18"/>
        <v>60000.000000000007</v>
      </c>
      <c r="K103" s="164">
        <f t="shared" si="19"/>
        <v>304329.24962452747</v>
      </c>
      <c r="L103" s="164">
        <f t="shared" si="22"/>
        <v>304329.24962452747</v>
      </c>
      <c r="M103" s="164">
        <f t="shared" si="22"/>
        <v>0</v>
      </c>
      <c r="N103" s="164">
        <f t="shared" si="20"/>
        <v>2309.6527856514444</v>
      </c>
      <c r="O103" s="164">
        <f t="shared" si="12"/>
        <v>57690.347214348563</v>
      </c>
      <c r="P103" s="164">
        <f t="shared" si="13"/>
        <v>2309.6527856514444</v>
      </c>
      <c r="Q103" s="164">
        <f t="shared" si="14"/>
        <v>0</v>
      </c>
      <c r="R103" s="164">
        <f t="shared" si="23"/>
        <v>0</v>
      </c>
      <c r="S103" s="164">
        <f t="shared" si="15"/>
        <v>246638.90241017891</v>
      </c>
      <c r="T103" s="164">
        <f t="shared" si="16"/>
        <v>0</v>
      </c>
    </row>
    <row r="104" spans="2:20" x14ac:dyDescent="0.2">
      <c r="B104" s="171"/>
      <c r="D104" s="171"/>
      <c r="F104" s="158">
        <v>93</v>
      </c>
      <c r="G104" s="249">
        <f t="shared" si="17"/>
        <v>46477</v>
      </c>
      <c r="H104" s="158">
        <f t="shared" si="21"/>
        <v>31</v>
      </c>
      <c r="I104" s="254">
        <f>VLOOKUP(G104,'Прогноз переменной ставки'!$B$5:$E$304,4,1)</f>
        <v>9.9000000000000005E-2</v>
      </c>
      <c r="J104" s="164">
        <f t="shared" si="18"/>
        <v>60000.000000000007</v>
      </c>
      <c r="K104" s="164">
        <f t="shared" si="19"/>
        <v>246638.90241017891</v>
      </c>
      <c r="L104" s="164">
        <f t="shared" si="22"/>
        <v>246638.90241017891</v>
      </c>
      <c r="M104" s="164">
        <f t="shared" si="22"/>
        <v>0</v>
      </c>
      <c r="N104" s="164">
        <f t="shared" si="20"/>
        <v>2072.3745147072941</v>
      </c>
      <c r="O104" s="164">
        <f t="shared" si="12"/>
        <v>57927.625485292716</v>
      </c>
      <c r="P104" s="164">
        <f t="shared" si="13"/>
        <v>2072.3745147072941</v>
      </c>
      <c r="Q104" s="164">
        <f t="shared" si="14"/>
        <v>0</v>
      </c>
      <c r="R104" s="164">
        <f t="shared" si="23"/>
        <v>0</v>
      </c>
      <c r="S104" s="164">
        <f t="shared" si="15"/>
        <v>188711.27692488619</v>
      </c>
      <c r="T104" s="164">
        <f t="shared" si="16"/>
        <v>0</v>
      </c>
    </row>
    <row r="105" spans="2:20" x14ac:dyDescent="0.2">
      <c r="B105" s="171"/>
      <c r="D105" s="171"/>
      <c r="F105" s="158">
        <v>94</v>
      </c>
      <c r="G105" s="249">
        <f t="shared" si="17"/>
        <v>46507</v>
      </c>
      <c r="H105" s="158">
        <f t="shared" si="21"/>
        <v>30</v>
      </c>
      <c r="I105" s="254">
        <f>VLOOKUP(G105,'Прогноз переменной ставки'!$B$5:$E$304,4,1)</f>
        <v>9.9000000000000005E-2</v>
      </c>
      <c r="J105" s="164">
        <f t="shared" si="18"/>
        <v>60000.000000000007</v>
      </c>
      <c r="K105" s="164">
        <f t="shared" si="19"/>
        <v>188711.27692488619</v>
      </c>
      <c r="L105" s="164">
        <f t="shared" si="22"/>
        <v>188711.27692488619</v>
      </c>
      <c r="M105" s="164">
        <f t="shared" si="22"/>
        <v>0</v>
      </c>
      <c r="N105" s="164">
        <f t="shared" si="20"/>
        <v>1534.4900546664257</v>
      </c>
      <c r="O105" s="164">
        <f t="shared" si="12"/>
        <v>58465.509945333579</v>
      </c>
      <c r="P105" s="164">
        <f t="shared" si="13"/>
        <v>1534.4900546664257</v>
      </c>
      <c r="Q105" s="164">
        <f t="shared" si="14"/>
        <v>0</v>
      </c>
      <c r="R105" s="164">
        <f t="shared" si="23"/>
        <v>0</v>
      </c>
      <c r="S105" s="164">
        <f t="shared" si="15"/>
        <v>130245.7669795526</v>
      </c>
      <c r="T105" s="164">
        <f t="shared" si="16"/>
        <v>0</v>
      </c>
    </row>
    <row r="106" spans="2:20" x14ac:dyDescent="0.2">
      <c r="B106" s="171"/>
      <c r="D106" s="171"/>
      <c r="F106" s="158">
        <v>95</v>
      </c>
      <c r="G106" s="249">
        <f t="shared" si="17"/>
        <v>46538</v>
      </c>
      <c r="H106" s="158">
        <f t="shared" si="21"/>
        <v>31</v>
      </c>
      <c r="I106" s="254">
        <f>VLOOKUP(G106,'Прогноз переменной ставки'!$B$5:$E$304,4,1)</f>
        <v>9.9000000000000005E-2</v>
      </c>
      <c r="J106" s="164">
        <f t="shared" si="18"/>
        <v>60000.000000000007</v>
      </c>
      <c r="K106" s="164">
        <f t="shared" si="19"/>
        <v>130245.7669795526</v>
      </c>
      <c r="L106" s="164">
        <f t="shared" si="22"/>
        <v>130245.7669795526</v>
      </c>
      <c r="M106" s="164">
        <f t="shared" si="22"/>
        <v>0</v>
      </c>
      <c r="N106" s="164">
        <f t="shared" si="20"/>
        <v>1094.385376756323</v>
      </c>
      <c r="O106" s="164">
        <f t="shared" si="12"/>
        <v>58905.614623243688</v>
      </c>
      <c r="P106" s="164">
        <f t="shared" si="13"/>
        <v>1094.385376756323</v>
      </c>
      <c r="Q106" s="164">
        <f t="shared" si="14"/>
        <v>0</v>
      </c>
      <c r="R106" s="164">
        <f t="shared" si="23"/>
        <v>0</v>
      </c>
      <c r="S106" s="164">
        <f t="shared" si="15"/>
        <v>71340.152356308914</v>
      </c>
      <c r="T106" s="164">
        <f t="shared" si="16"/>
        <v>0</v>
      </c>
    </row>
    <row r="107" spans="2:20" x14ac:dyDescent="0.2">
      <c r="B107" s="171"/>
      <c r="D107" s="171"/>
      <c r="F107" s="158">
        <v>96</v>
      </c>
      <c r="G107" s="249">
        <f t="shared" si="17"/>
        <v>46568</v>
      </c>
      <c r="H107" s="158">
        <f t="shared" si="21"/>
        <v>30</v>
      </c>
      <c r="I107" s="254">
        <f>VLOOKUP(G107,'Прогноз переменной ставки'!$B$5:$E$304,4,1)</f>
        <v>9.9000000000000005E-2</v>
      </c>
      <c r="J107" s="164">
        <f t="shared" si="18"/>
        <v>60000.000000000007</v>
      </c>
      <c r="K107" s="164">
        <f t="shared" si="19"/>
        <v>71340.152356308914</v>
      </c>
      <c r="L107" s="164">
        <f t="shared" si="22"/>
        <v>71340.152356308914</v>
      </c>
      <c r="M107" s="164">
        <f t="shared" si="22"/>
        <v>0</v>
      </c>
      <c r="N107" s="164">
        <f t="shared" si="20"/>
        <v>580.09651608004788</v>
      </c>
      <c r="O107" s="164">
        <f t="shared" si="12"/>
        <v>59419.903483919959</v>
      </c>
      <c r="P107" s="164">
        <f t="shared" si="13"/>
        <v>580.09651608004788</v>
      </c>
      <c r="Q107" s="164">
        <f t="shared" si="14"/>
        <v>0</v>
      </c>
      <c r="R107" s="164">
        <f t="shared" si="23"/>
        <v>0</v>
      </c>
      <c r="S107" s="164">
        <f t="shared" si="15"/>
        <v>11920.248872388955</v>
      </c>
      <c r="T107" s="164">
        <f t="shared" si="16"/>
        <v>0</v>
      </c>
    </row>
    <row r="108" spans="2:20" x14ac:dyDescent="0.2">
      <c r="B108" s="171"/>
      <c r="D108" s="171"/>
      <c r="F108" s="158">
        <v>97</v>
      </c>
      <c r="G108" s="249">
        <f t="shared" si="17"/>
        <v>46599</v>
      </c>
      <c r="H108" s="158">
        <f t="shared" si="21"/>
        <v>31</v>
      </c>
      <c r="I108" s="254">
        <f>VLOOKUP(G108,'Прогноз переменной ставки'!$B$5:$E$304,4,1)</f>
        <v>9.9000000000000005E-2</v>
      </c>
      <c r="J108" s="164">
        <f t="shared" si="18"/>
        <v>12020.408335193504</v>
      </c>
      <c r="K108" s="164">
        <f t="shared" si="19"/>
        <v>11920.248872388955</v>
      </c>
      <c r="L108" s="164">
        <f t="shared" si="22"/>
        <v>11920.248872388955</v>
      </c>
      <c r="M108" s="164">
        <f t="shared" si="22"/>
        <v>0</v>
      </c>
      <c r="N108" s="164">
        <f t="shared" si="20"/>
        <v>100.15946280454951</v>
      </c>
      <c r="O108" s="164">
        <f t="shared" si="12"/>
        <v>11920.248872388955</v>
      </c>
      <c r="P108" s="164">
        <f t="shared" si="13"/>
        <v>100.15946280454951</v>
      </c>
      <c r="Q108" s="164">
        <f t="shared" si="14"/>
        <v>0</v>
      </c>
      <c r="R108" s="164">
        <f t="shared" si="23"/>
        <v>0</v>
      </c>
      <c r="S108" s="164">
        <f t="shared" si="15"/>
        <v>0</v>
      </c>
      <c r="T108" s="164">
        <f t="shared" si="16"/>
        <v>0</v>
      </c>
    </row>
    <row r="109" spans="2:20" x14ac:dyDescent="0.2">
      <c r="B109" s="171"/>
      <c r="D109" s="171"/>
      <c r="F109" s="158">
        <v>98</v>
      </c>
      <c r="G109" s="249">
        <f t="shared" si="17"/>
        <v>46630</v>
      </c>
      <c r="H109" s="158">
        <f t="shared" si="21"/>
        <v>31</v>
      </c>
      <c r="I109" s="254">
        <f>VLOOKUP(G109,'Прогноз переменной ставки'!$B$5:$E$304,4,1)</f>
        <v>9.9000000000000005E-2</v>
      </c>
      <c r="J109" s="164">
        <f t="shared" si="18"/>
        <v>0</v>
      </c>
      <c r="K109" s="164">
        <f t="shared" si="19"/>
        <v>0</v>
      </c>
      <c r="L109" s="164">
        <f t="shared" si="22"/>
        <v>0</v>
      </c>
      <c r="M109" s="164">
        <f t="shared" si="22"/>
        <v>0</v>
      </c>
      <c r="N109" s="164">
        <f t="shared" si="20"/>
        <v>0</v>
      </c>
      <c r="O109" s="164">
        <f t="shared" si="12"/>
        <v>0</v>
      </c>
      <c r="P109" s="164">
        <f t="shared" si="13"/>
        <v>0</v>
      </c>
      <c r="Q109" s="164">
        <f t="shared" si="14"/>
        <v>0</v>
      </c>
      <c r="R109" s="164">
        <f t="shared" si="23"/>
        <v>0</v>
      </c>
      <c r="S109" s="164">
        <f t="shared" si="15"/>
        <v>0</v>
      </c>
      <c r="T109" s="164">
        <f t="shared" si="16"/>
        <v>0</v>
      </c>
    </row>
    <row r="110" spans="2:20" x14ac:dyDescent="0.2">
      <c r="B110" s="171"/>
      <c r="D110" s="171"/>
      <c r="F110" s="158">
        <v>99</v>
      </c>
      <c r="G110" s="249">
        <f t="shared" si="17"/>
        <v>46660</v>
      </c>
      <c r="H110" s="158">
        <f t="shared" si="21"/>
        <v>30</v>
      </c>
      <c r="I110" s="254">
        <f>VLOOKUP(G110,'Прогноз переменной ставки'!$B$5:$E$304,4,1)</f>
        <v>9.9000000000000005E-2</v>
      </c>
      <c r="J110" s="164">
        <f t="shared" si="18"/>
        <v>0</v>
      </c>
      <c r="K110" s="164">
        <f t="shared" si="19"/>
        <v>0</v>
      </c>
      <c r="L110" s="164">
        <f t="shared" si="22"/>
        <v>0</v>
      </c>
      <c r="M110" s="164">
        <f t="shared" si="22"/>
        <v>0</v>
      </c>
      <c r="N110" s="164">
        <f t="shared" si="20"/>
        <v>0</v>
      </c>
      <c r="O110" s="164">
        <f t="shared" si="12"/>
        <v>0</v>
      </c>
      <c r="P110" s="164">
        <f t="shared" si="13"/>
        <v>0</v>
      </c>
      <c r="Q110" s="164">
        <f t="shared" si="14"/>
        <v>0</v>
      </c>
      <c r="R110" s="164">
        <f t="shared" si="23"/>
        <v>0</v>
      </c>
      <c r="S110" s="164">
        <f t="shared" si="15"/>
        <v>0</v>
      </c>
      <c r="T110" s="164">
        <f t="shared" si="16"/>
        <v>0</v>
      </c>
    </row>
    <row r="111" spans="2:20" x14ac:dyDescent="0.2">
      <c r="B111" s="171"/>
      <c r="D111" s="171"/>
      <c r="F111" s="158">
        <v>100</v>
      </c>
      <c r="G111" s="249">
        <f t="shared" si="17"/>
        <v>46691</v>
      </c>
      <c r="H111" s="158">
        <f t="shared" si="21"/>
        <v>31</v>
      </c>
      <c r="I111" s="254">
        <f>VLOOKUP(G111,'Прогноз переменной ставки'!$B$5:$E$304,4,1)</f>
        <v>9.9000000000000005E-2</v>
      </c>
      <c r="J111" s="164">
        <f t="shared" si="18"/>
        <v>0</v>
      </c>
      <c r="K111" s="164">
        <f t="shared" si="19"/>
        <v>0</v>
      </c>
      <c r="L111" s="164">
        <f t="shared" si="22"/>
        <v>0</v>
      </c>
      <c r="M111" s="164">
        <f t="shared" si="22"/>
        <v>0</v>
      </c>
      <c r="N111" s="164">
        <f t="shared" si="20"/>
        <v>0</v>
      </c>
      <c r="O111" s="164">
        <f t="shared" si="12"/>
        <v>0</v>
      </c>
      <c r="P111" s="164">
        <f t="shared" si="13"/>
        <v>0</v>
      </c>
      <c r="Q111" s="164">
        <f t="shared" si="14"/>
        <v>0</v>
      </c>
      <c r="R111" s="164">
        <f t="shared" si="23"/>
        <v>0</v>
      </c>
      <c r="S111" s="164">
        <f t="shared" si="15"/>
        <v>0</v>
      </c>
      <c r="T111" s="164">
        <f t="shared" si="16"/>
        <v>0</v>
      </c>
    </row>
    <row r="112" spans="2:20" x14ac:dyDescent="0.2">
      <c r="B112" s="171"/>
      <c r="D112" s="171"/>
      <c r="F112" s="158">
        <v>101</v>
      </c>
      <c r="G112" s="249">
        <f t="shared" si="17"/>
        <v>46721</v>
      </c>
      <c r="H112" s="158">
        <f t="shared" si="21"/>
        <v>30</v>
      </c>
      <c r="I112" s="254">
        <f>VLOOKUP(G112,'Прогноз переменной ставки'!$B$5:$E$304,4,1)</f>
        <v>9.9000000000000005E-2</v>
      </c>
      <c r="J112" s="164">
        <f t="shared" si="18"/>
        <v>0</v>
      </c>
      <c r="K112" s="164">
        <f t="shared" si="19"/>
        <v>0</v>
      </c>
      <c r="L112" s="164">
        <f t="shared" si="22"/>
        <v>0</v>
      </c>
      <c r="M112" s="164">
        <f t="shared" si="22"/>
        <v>0</v>
      </c>
      <c r="N112" s="164">
        <f t="shared" si="20"/>
        <v>0</v>
      </c>
      <c r="O112" s="164">
        <f t="shared" si="12"/>
        <v>0</v>
      </c>
      <c r="P112" s="164">
        <f t="shared" si="13"/>
        <v>0</v>
      </c>
      <c r="Q112" s="164">
        <f t="shared" si="14"/>
        <v>0</v>
      </c>
      <c r="R112" s="164">
        <f t="shared" si="23"/>
        <v>0</v>
      </c>
      <c r="S112" s="164">
        <f t="shared" si="15"/>
        <v>0</v>
      </c>
      <c r="T112" s="164">
        <f t="shared" si="16"/>
        <v>0</v>
      </c>
    </row>
    <row r="113" spans="2:20" x14ac:dyDescent="0.2">
      <c r="B113" s="171"/>
      <c r="D113" s="171"/>
      <c r="F113" s="158">
        <v>102</v>
      </c>
      <c r="G113" s="249">
        <f t="shared" si="17"/>
        <v>46752</v>
      </c>
      <c r="H113" s="158">
        <f t="shared" si="21"/>
        <v>31</v>
      </c>
      <c r="I113" s="254">
        <f>VLOOKUP(G113,'Прогноз переменной ставки'!$B$5:$E$304,4,1)</f>
        <v>9.9000000000000005E-2</v>
      </c>
      <c r="J113" s="164">
        <f t="shared" si="18"/>
        <v>0</v>
      </c>
      <c r="K113" s="164">
        <f t="shared" si="19"/>
        <v>0</v>
      </c>
      <c r="L113" s="164">
        <f t="shared" si="22"/>
        <v>0</v>
      </c>
      <c r="M113" s="164">
        <f t="shared" si="22"/>
        <v>0</v>
      </c>
      <c r="N113" s="164">
        <f t="shared" si="20"/>
        <v>0</v>
      </c>
      <c r="O113" s="164">
        <f t="shared" si="12"/>
        <v>0</v>
      </c>
      <c r="P113" s="164">
        <f t="shared" si="13"/>
        <v>0</v>
      </c>
      <c r="Q113" s="164">
        <f t="shared" si="14"/>
        <v>0</v>
      </c>
      <c r="R113" s="164">
        <f t="shared" si="23"/>
        <v>0</v>
      </c>
      <c r="S113" s="164">
        <f t="shared" si="15"/>
        <v>0</v>
      </c>
      <c r="T113" s="164">
        <f t="shared" si="16"/>
        <v>0</v>
      </c>
    </row>
    <row r="114" spans="2:20" x14ac:dyDescent="0.2">
      <c r="B114" s="171"/>
      <c r="D114" s="171"/>
      <c r="F114" s="158">
        <v>103</v>
      </c>
      <c r="G114" s="249">
        <f t="shared" si="17"/>
        <v>46783</v>
      </c>
      <c r="H114" s="158">
        <f t="shared" si="21"/>
        <v>31</v>
      </c>
      <c r="I114" s="254">
        <f>VLOOKUP(G114,'Прогноз переменной ставки'!$B$5:$E$304,4,1)</f>
        <v>9.9000000000000005E-2</v>
      </c>
      <c r="J114" s="164">
        <f t="shared" si="18"/>
        <v>0</v>
      </c>
      <c r="K114" s="164">
        <f t="shared" si="19"/>
        <v>0</v>
      </c>
      <c r="L114" s="164">
        <f t="shared" si="22"/>
        <v>0</v>
      </c>
      <c r="M114" s="164">
        <f t="shared" si="22"/>
        <v>0</v>
      </c>
      <c r="N114" s="164">
        <f t="shared" si="20"/>
        <v>0</v>
      </c>
      <c r="O114" s="164">
        <f t="shared" si="12"/>
        <v>0</v>
      </c>
      <c r="P114" s="164">
        <f t="shared" si="13"/>
        <v>0</v>
      </c>
      <c r="Q114" s="164">
        <f t="shared" si="14"/>
        <v>0</v>
      </c>
      <c r="R114" s="164">
        <f t="shared" si="23"/>
        <v>0</v>
      </c>
      <c r="S114" s="164">
        <f t="shared" si="15"/>
        <v>0</v>
      </c>
      <c r="T114" s="164">
        <f t="shared" si="16"/>
        <v>0</v>
      </c>
    </row>
    <row r="115" spans="2:20" x14ac:dyDescent="0.2">
      <c r="B115" s="171"/>
      <c r="D115" s="171"/>
      <c r="F115" s="158">
        <v>104</v>
      </c>
      <c r="G115" s="249">
        <f t="shared" si="17"/>
        <v>46812</v>
      </c>
      <c r="H115" s="158">
        <f t="shared" si="21"/>
        <v>29</v>
      </c>
      <c r="I115" s="254">
        <f>VLOOKUP(G115,'Прогноз переменной ставки'!$B$5:$E$304,4,1)</f>
        <v>9.9000000000000005E-2</v>
      </c>
      <c r="J115" s="164">
        <f t="shared" si="18"/>
        <v>0</v>
      </c>
      <c r="K115" s="164">
        <f t="shared" si="19"/>
        <v>0</v>
      </c>
      <c r="L115" s="164">
        <f t="shared" si="22"/>
        <v>0</v>
      </c>
      <c r="M115" s="164">
        <f t="shared" si="22"/>
        <v>0</v>
      </c>
      <c r="N115" s="164">
        <f t="shared" si="20"/>
        <v>0</v>
      </c>
      <c r="O115" s="164">
        <f t="shared" si="12"/>
        <v>0</v>
      </c>
      <c r="P115" s="164">
        <f t="shared" si="13"/>
        <v>0</v>
      </c>
      <c r="Q115" s="164">
        <f t="shared" si="14"/>
        <v>0</v>
      </c>
      <c r="R115" s="164">
        <f t="shared" si="23"/>
        <v>0</v>
      </c>
      <c r="S115" s="164">
        <f t="shared" si="15"/>
        <v>0</v>
      </c>
      <c r="T115" s="164">
        <f t="shared" si="16"/>
        <v>0</v>
      </c>
    </row>
    <row r="116" spans="2:20" x14ac:dyDescent="0.2">
      <c r="B116" s="171"/>
      <c r="D116" s="171"/>
      <c r="F116" s="158">
        <v>105</v>
      </c>
      <c r="G116" s="249">
        <f t="shared" si="17"/>
        <v>46843</v>
      </c>
      <c r="H116" s="158">
        <f t="shared" si="21"/>
        <v>31</v>
      </c>
      <c r="I116" s="254">
        <f>VLOOKUP(G116,'Прогноз переменной ставки'!$B$5:$E$304,4,1)</f>
        <v>9.9000000000000005E-2</v>
      </c>
      <c r="J116" s="164">
        <f t="shared" si="18"/>
        <v>0</v>
      </c>
      <c r="K116" s="164">
        <f t="shared" si="19"/>
        <v>0</v>
      </c>
      <c r="L116" s="164">
        <f t="shared" si="22"/>
        <v>0</v>
      </c>
      <c r="M116" s="164">
        <f t="shared" si="22"/>
        <v>0</v>
      </c>
      <c r="N116" s="164">
        <f t="shared" si="20"/>
        <v>0</v>
      </c>
      <c r="O116" s="164">
        <f t="shared" si="12"/>
        <v>0</v>
      </c>
      <c r="P116" s="164">
        <f t="shared" si="13"/>
        <v>0</v>
      </c>
      <c r="Q116" s="164">
        <f t="shared" si="14"/>
        <v>0</v>
      </c>
      <c r="R116" s="164">
        <f t="shared" si="23"/>
        <v>0</v>
      </c>
      <c r="S116" s="164">
        <f t="shared" si="15"/>
        <v>0</v>
      </c>
      <c r="T116" s="164">
        <f t="shared" si="16"/>
        <v>0</v>
      </c>
    </row>
    <row r="117" spans="2:20" x14ac:dyDescent="0.2">
      <c r="B117" s="171"/>
      <c r="D117" s="171"/>
      <c r="F117" s="158">
        <v>106</v>
      </c>
      <c r="G117" s="249">
        <f t="shared" si="17"/>
        <v>46873</v>
      </c>
      <c r="H117" s="158">
        <f t="shared" si="21"/>
        <v>30</v>
      </c>
      <c r="I117" s="254">
        <f>VLOOKUP(G117,'Прогноз переменной ставки'!$B$5:$E$304,4,1)</f>
        <v>9.9000000000000005E-2</v>
      </c>
      <c r="J117" s="164">
        <f t="shared" si="18"/>
        <v>0</v>
      </c>
      <c r="K117" s="164">
        <f t="shared" si="19"/>
        <v>0</v>
      </c>
      <c r="L117" s="164">
        <f t="shared" si="22"/>
        <v>0</v>
      </c>
      <c r="M117" s="164">
        <f t="shared" si="22"/>
        <v>0</v>
      </c>
      <c r="N117" s="164">
        <f t="shared" si="20"/>
        <v>0</v>
      </c>
      <c r="O117" s="164">
        <f t="shared" si="12"/>
        <v>0</v>
      </c>
      <c r="P117" s="164">
        <f t="shared" si="13"/>
        <v>0</v>
      </c>
      <c r="Q117" s="164">
        <f t="shared" si="14"/>
        <v>0</v>
      </c>
      <c r="R117" s="164">
        <f t="shared" si="23"/>
        <v>0</v>
      </c>
      <c r="S117" s="164">
        <f t="shared" si="15"/>
        <v>0</v>
      </c>
      <c r="T117" s="164">
        <f t="shared" si="16"/>
        <v>0</v>
      </c>
    </row>
    <row r="118" spans="2:20" x14ac:dyDescent="0.2">
      <c r="B118" s="171"/>
      <c r="D118" s="171"/>
      <c r="F118" s="158">
        <v>107</v>
      </c>
      <c r="G118" s="249">
        <f t="shared" si="17"/>
        <v>46904</v>
      </c>
      <c r="H118" s="158">
        <f t="shared" si="21"/>
        <v>31</v>
      </c>
      <c r="I118" s="254">
        <f>VLOOKUP(G118,'Прогноз переменной ставки'!$B$5:$E$304,4,1)</f>
        <v>9.9000000000000005E-2</v>
      </c>
      <c r="J118" s="164">
        <f t="shared" si="18"/>
        <v>0</v>
      </c>
      <c r="K118" s="164">
        <f t="shared" si="19"/>
        <v>0</v>
      </c>
      <c r="L118" s="164">
        <f t="shared" si="22"/>
        <v>0</v>
      </c>
      <c r="M118" s="164">
        <f t="shared" si="22"/>
        <v>0</v>
      </c>
      <c r="N118" s="164">
        <f t="shared" si="20"/>
        <v>0</v>
      </c>
      <c r="O118" s="164">
        <f t="shared" si="12"/>
        <v>0</v>
      </c>
      <c r="P118" s="164">
        <f t="shared" si="13"/>
        <v>0</v>
      </c>
      <c r="Q118" s="164">
        <f t="shared" si="14"/>
        <v>0</v>
      </c>
      <c r="R118" s="164">
        <f t="shared" si="23"/>
        <v>0</v>
      </c>
      <c r="S118" s="164">
        <f t="shared" si="15"/>
        <v>0</v>
      </c>
      <c r="T118" s="164">
        <f t="shared" si="16"/>
        <v>0</v>
      </c>
    </row>
    <row r="119" spans="2:20" x14ac:dyDescent="0.2">
      <c r="B119" s="171"/>
      <c r="D119" s="171"/>
      <c r="F119" s="158">
        <v>108</v>
      </c>
      <c r="G119" s="249">
        <f t="shared" si="17"/>
        <v>46934</v>
      </c>
      <c r="H119" s="158">
        <f t="shared" si="21"/>
        <v>30</v>
      </c>
      <c r="I119" s="254">
        <f>VLOOKUP(G119,'Прогноз переменной ставки'!$B$5:$E$304,4,1)</f>
        <v>9.9000000000000005E-2</v>
      </c>
      <c r="J119" s="164">
        <f t="shared" si="18"/>
        <v>0</v>
      </c>
      <c r="K119" s="164">
        <f t="shared" si="19"/>
        <v>0</v>
      </c>
      <c r="L119" s="164">
        <f t="shared" si="22"/>
        <v>0</v>
      </c>
      <c r="M119" s="164">
        <f t="shared" si="22"/>
        <v>0</v>
      </c>
      <c r="N119" s="164">
        <f t="shared" si="20"/>
        <v>0</v>
      </c>
      <c r="O119" s="164">
        <f t="shared" si="12"/>
        <v>0</v>
      </c>
      <c r="P119" s="164">
        <f t="shared" si="13"/>
        <v>0</v>
      </c>
      <c r="Q119" s="164">
        <f t="shared" si="14"/>
        <v>0</v>
      </c>
      <c r="R119" s="164">
        <f t="shared" si="23"/>
        <v>0</v>
      </c>
      <c r="S119" s="164">
        <f t="shared" si="15"/>
        <v>0</v>
      </c>
      <c r="T119" s="164">
        <f t="shared" si="16"/>
        <v>0</v>
      </c>
    </row>
    <row r="120" spans="2:20" x14ac:dyDescent="0.2">
      <c r="B120" s="171"/>
      <c r="D120" s="171"/>
      <c r="F120" s="158">
        <v>109</v>
      </c>
      <c r="G120" s="249">
        <f t="shared" si="17"/>
        <v>46965</v>
      </c>
      <c r="H120" s="158">
        <f t="shared" si="21"/>
        <v>31</v>
      </c>
      <c r="I120" s="254">
        <f>VLOOKUP(G120,'Прогноз переменной ставки'!$B$5:$E$304,4,1)</f>
        <v>9.9000000000000005E-2</v>
      </c>
      <c r="J120" s="164">
        <f t="shared" si="18"/>
        <v>0</v>
      </c>
      <c r="K120" s="164">
        <f t="shared" si="19"/>
        <v>0</v>
      </c>
      <c r="L120" s="164">
        <f t="shared" si="22"/>
        <v>0</v>
      </c>
      <c r="M120" s="164">
        <f t="shared" si="22"/>
        <v>0</v>
      </c>
      <c r="N120" s="164">
        <f t="shared" si="20"/>
        <v>0</v>
      </c>
      <c r="O120" s="164">
        <f t="shared" si="12"/>
        <v>0</v>
      </c>
      <c r="P120" s="164">
        <f t="shared" si="13"/>
        <v>0</v>
      </c>
      <c r="Q120" s="164">
        <f t="shared" si="14"/>
        <v>0</v>
      </c>
      <c r="R120" s="164">
        <f t="shared" si="23"/>
        <v>0</v>
      </c>
      <c r="S120" s="164">
        <f t="shared" si="15"/>
        <v>0</v>
      </c>
      <c r="T120" s="164">
        <f t="shared" si="16"/>
        <v>0</v>
      </c>
    </row>
    <row r="121" spans="2:20" x14ac:dyDescent="0.2">
      <c r="B121" s="171"/>
      <c r="D121" s="171"/>
      <c r="F121" s="158">
        <v>110</v>
      </c>
      <c r="G121" s="249">
        <f t="shared" si="17"/>
        <v>46996</v>
      </c>
      <c r="H121" s="158">
        <f t="shared" si="21"/>
        <v>31</v>
      </c>
      <c r="I121" s="254">
        <f>VLOOKUP(G121,'Прогноз переменной ставки'!$B$5:$E$304,4,1)</f>
        <v>9.9000000000000005E-2</v>
      </c>
      <c r="J121" s="164">
        <f t="shared" si="18"/>
        <v>0</v>
      </c>
      <c r="K121" s="164">
        <f t="shared" si="19"/>
        <v>0</v>
      </c>
      <c r="L121" s="164">
        <f t="shared" si="22"/>
        <v>0</v>
      </c>
      <c r="M121" s="164">
        <f t="shared" si="22"/>
        <v>0</v>
      </c>
      <c r="N121" s="164">
        <f t="shared" si="20"/>
        <v>0</v>
      </c>
      <c r="O121" s="164">
        <f t="shared" si="12"/>
        <v>0</v>
      </c>
      <c r="P121" s="164">
        <f t="shared" si="13"/>
        <v>0</v>
      </c>
      <c r="Q121" s="164">
        <f t="shared" si="14"/>
        <v>0</v>
      </c>
      <c r="R121" s="164">
        <f t="shared" si="23"/>
        <v>0</v>
      </c>
      <c r="S121" s="164">
        <f t="shared" si="15"/>
        <v>0</v>
      </c>
      <c r="T121" s="164">
        <f t="shared" si="16"/>
        <v>0</v>
      </c>
    </row>
    <row r="122" spans="2:20" x14ac:dyDescent="0.2">
      <c r="B122" s="171"/>
      <c r="D122" s="171"/>
      <c r="F122" s="158">
        <v>111</v>
      </c>
      <c r="G122" s="249">
        <f t="shared" si="17"/>
        <v>47026</v>
      </c>
      <c r="H122" s="158">
        <f t="shared" si="21"/>
        <v>30</v>
      </c>
      <c r="I122" s="254">
        <f>VLOOKUP(G122,'Прогноз переменной ставки'!$B$5:$E$304,4,1)</f>
        <v>9.9000000000000005E-2</v>
      </c>
      <c r="J122" s="164">
        <f t="shared" si="18"/>
        <v>0</v>
      </c>
      <c r="K122" s="164">
        <f t="shared" si="19"/>
        <v>0</v>
      </c>
      <c r="L122" s="164">
        <f t="shared" si="22"/>
        <v>0</v>
      </c>
      <c r="M122" s="164">
        <f t="shared" si="22"/>
        <v>0</v>
      </c>
      <c r="N122" s="164">
        <f t="shared" si="20"/>
        <v>0</v>
      </c>
      <c r="O122" s="164">
        <f t="shared" si="12"/>
        <v>0</v>
      </c>
      <c r="P122" s="164">
        <f t="shared" si="13"/>
        <v>0</v>
      </c>
      <c r="Q122" s="164">
        <f t="shared" si="14"/>
        <v>0</v>
      </c>
      <c r="R122" s="164">
        <f t="shared" si="23"/>
        <v>0</v>
      </c>
      <c r="S122" s="164">
        <f t="shared" si="15"/>
        <v>0</v>
      </c>
      <c r="T122" s="164">
        <f t="shared" si="16"/>
        <v>0</v>
      </c>
    </row>
    <row r="123" spans="2:20" x14ac:dyDescent="0.2">
      <c r="B123" s="171"/>
      <c r="D123" s="171"/>
      <c r="F123" s="158">
        <v>112</v>
      </c>
      <c r="G123" s="249">
        <f t="shared" si="17"/>
        <v>47057</v>
      </c>
      <c r="H123" s="158">
        <f t="shared" si="21"/>
        <v>31</v>
      </c>
      <c r="I123" s="254">
        <f>VLOOKUP(G123,'Прогноз переменной ставки'!$B$5:$E$304,4,1)</f>
        <v>9.9000000000000005E-2</v>
      </c>
      <c r="J123" s="164">
        <f t="shared" si="18"/>
        <v>0</v>
      </c>
      <c r="K123" s="164">
        <f t="shared" si="19"/>
        <v>0</v>
      </c>
      <c r="L123" s="164">
        <f t="shared" si="22"/>
        <v>0</v>
      </c>
      <c r="M123" s="164">
        <f t="shared" si="22"/>
        <v>0</v>
      </c>
      <c r="N123" s="164">
        <f t="shared" si="20"/>
        <v>0</v>
      </c>
      <c r="O123" s="164">
        <f t="shared" si="12"/>
        <v>0</v>
      </c>
      <c r="P123" s="164">
        <f t="shared" si="13"/>
        <v>0</v>
      </c>
      <c r="Q123" s="164">
        <f t="shared" si="14"/>
        <v>0</v>
      </c>
      <c r="R123" s="164">
        <f t="shared" si="23"/>
        <v>0</v>
      </c>
      <c r="S123" s="164">
        <f t="shared" si="15"/>
        <v>0</v>
      </c>
      <c r="T123" s="164">
        <f t="shared" si="16"/>
        <v>0</v>
      </c>
    </row>
    <row r="124" spans="2:20" x14ac:dyDescent="0.2">
      <c r="B124" s="171"/>
      <c r="D124" s="171"/>
      <c r="F124" s="158">
        <v>113</v>
      </c>
      <c r="G124" s="249">
        <f t="shared" si="17"/>
        <v>47087</v>
      </c>
      <c r="H124" s="158">
        <f t="shared" si="21"/>
        <v>30</v>
      </c>
      <c r="I124" s="254">
        <f>VLOOKUP(G124,'Прогноз переменной ставки'!$B$5:$E$304,4,1)</f>
        <v>9.9000000000000005E-2</v>
      </c>
      <c r="J124" s="164">
        <f t="shared" si="18"/>
        <v>0</v>
      </c>
      <c r="K124" s="164">
        <f t="shared" si="19"/>
        <v>0</v>
      </c>
      <c r="L124" s="164">
        <f t="shared" si="22"/>
        <v>0</v>
      </c>
      <c r="M124" s="164">
        <f t="shared" si="22"/>
        <v>0</v>
      </c>
      <c r="N124" s="164">
        <f t="shared" si="20"/>
        <v>0</v>
      </c>
      <c r="O124" s="164">
        <f t="shared" si="12"/>
        <v>0</v>
      </c>
      <c r="P124" s="164">
        <f t="shared" si="13"/>
        <v>0</v>
      </c>
      <c r="Q124" s="164">
        <f t="shared" si="14"/>
        <v>0</v>
      </c>
      <c r="R124" s="164">
        <f t="shared" si="23"/>
        <v>0</v>
      </c>
      <c r="S124" s="164">
        <f t="shared" si="15"/>
        <v>0</v>
      </c>
      <c r="T124" s="164">
        <f t="shared" si="16"/>
        <v>0</v>
      </c>
    </row>
    <row r="125" spans="2:20" x14ac:dyDescent="0.2">
      <c r="B125" s="171"/>
      <c r="D125" s="171"/>
      <c r="F125" s="158">
        <v>114</v>
      </c>
      <c r="G125" s="249">
        <f t="shared" si="17"/>
        <v>47118</v>
      </c>
      <c r="H125" s="158">
        <f t="shared" si="21"/>
        <v>31</v>
      </c>
      <c r="I125" s="254">
        <f>VLOOKUP(G125,'Прогноз переменной ставки'!$B$5:$E$304,4,1)</f>
        <v>9.9000000000000005E-2</v>
      </c>
      <c r="J125" s="164">
        <f t="shared" si="18"/>
        <v>0</v>
      </c>
      <c r="K125" s="164">
        <f t="shared" si="19"/>
        <v>0</v>
      </c>
      <c r="L125" s="164">
        <f t="shared" si="22"/>
        <v>0</v>
      </c>
      <c r="M125" s="164">
        <f t="shared" si="22"/>
        <v>0</v>
      </c>
      <c r="N125" s="164">
        <f t="shared" si="20"/>
        <v>0</v>
      </c>
      <c r="O125" s="164">
        <f t="shared" si="12"/>
        <v>0</v>
      </c>
      <c r="P125" s="164">
        <f t="shared" si="13"/>
        <v>0</v>
      </c>
      <c r="Q125" s="164">
        <f t="shared" si="14"/>
        <v>0</v>
      </c>
      <c r="R125" s="164">
        <f t="shared" si="23"/>
        <v>0</v>
      </c>
      <c r="S125" s="164">
        <f t="shared" si="15"/>
        <v>0</v>
      </c>
      <c r="T125" s="164">
        <f t="shared" si="16"/>
        <v>0</v>
      </c>
    </row>
    <row r="126" spans="2:20" x14ac:dyDescent="0.2">
      <c r="B126" s="171"/>
      <c r="D126" s="171"/>
      <c r="F126" s="158">
        <v>115</v>
      </c>
      <c r="G126" s="249">
        <f t="shared" si="17"/>
        <v>47149</v>
      </c>
      <c r="H126" s="158">
        <f t="shared" si="21"/>
        <v>31</v>
      </c>
      <c r="I126" s="254">
        <f>VLOOKUP(G126,'Прогноз переменной ставки'!$B$5:$E$304,4,1)</f>
        <v>9.9000000000000005E-2</v>
      </c>
      <c r="J126" s="164">
        <f t="shared" si="18"/>
        <v>0</v>
      </c>
      <c r="K126" s="164">
        <f t="shared" si="19"/>
        <v>0</v>
      </c>
      <c r="L126" s="164">
        <f t="shared" si="22"/>
        <v>0</v>
      </c>
      <c r="M126" s="164">
        <f t="shared" si="22"/>
        <v>0</v>
      </c>
      <c r="N126" s="164">
        <f t="shared" si="20"/>
        <v>0</v>
      </c>
      <c r="O126" s="164">
        <f t="shared" si="12"/>
        <v>0</v>
      </c>
      <c r="P126" s="164">
        <f t="shared" si="13"/>
        <v>0</v>
      </c>
      <c r="Q126" s="164">
        <f t="shared" si="14"/>
        <v>0</v>
      </c>
      <c r="R126" s="164">
        <f t="shared" si="23"/>
        <v>0</v>
      </c>
      <c r="S126" s="164">
        <f t="shared" si="15"/>
        <v>0</v>
      </c>
      <c r="T126" s="164">
        <f t="shared" si="16"/>
        <v>0</v>
      </c>
    </row>
    <row r="127" spans="2:20" x14ac:dyDescent="0.2">
      <c r="B127" s="171"/>
      <c r="D127" s="171"/>
      <c r="F127" s="158">
        <v>116</v>
      </c>
      <c r="G127" s="249">
        <f t="shared" si="17"/>
        <v>47177</v>
      </c>
      <c r="H127" s="158">
        <f t="shared" si="21"/>
        <v>28</v>
      </c>
      <c r="I127" s="254">
        <f>VLOOKUP(G127,'Прогноз переменной ставки'!$B$5:$E$304,4,1)</f>
        <v>9.9000000000000005E-2</v>
      </c>
      <c r="J127" s="164">
        <f t="shared" si="18"/>
        <v>0</v>
      </c>
      <c r="K127" s="164">
        <f t="shared" si="19"/>
        <v>0</v>
      </c>
      <c r="L127" s="164">
        <f t="shared" si="22"/>
        <v>0</v>
      </c>
      <c r="M127" s="164">
        <f t="shared" si="22"/>
        <v>0</v>
      </c>
      <c r="N127" s="164">
        <f t="shared" si="20"/>
        <v>0</v>
      </c>
      <c r="O127" s="164">
        <f t="shared" si="12"/>
        <v>0</v>
      </c>
      <c r="P127" s="164">
        <f t="shared" si="13"/>
        <v>0</v>
      </c>
      <c r="Q127" s="164">
        <f t="shared" si="14"/>
        <v>0</v>
      </c>
      <c r="R127" s="164">
        <f t="shared" si="23"/>
        <v>0</v>
      </c>
      <c r="S127" s="164">
        <f t="shared" si="15"/>
        <v>0</v>
      </c>
      <c r="T127" s="164">
        <f t="shared" si="16"/>
        <v>0</v>
      </c>
    </row>
    <row r="128" spans="2:20" x14ac:dyDescent="0.2">
      <c r="B128" s="171"/>
      <c r="D128" s="171"/>
      <c r="F128" s="158">
        <v>117</v>
      </c>
      <c r="G128" s="249">
        <f t="shared" si="17"/>
        <v>47208</v>
      </c>
      <c r="H128" s="158">
        <f t="shared" si="21"/>
        <v>31</v>
      </c>
      <c r="I128" s="254">
        <f>VLOOKUP(G128,'Прогноз переменной ставки'!$B$5:$E$304,4,1)</f>
        <v>9.9000000000000005E-2</v>
      </c>
      <c r="J128" s="164">
        <f t="shared" si="18"/>
        <v>0</v>
      </c>
      <c r="K128" s="164">
        <f t="shared" si="19"/>
        <v>0</v>
      </c>
      <c r="L128" s="164">
        <f t="shared" si="22"/>
        <v>0</v>
      </c>
      <c r="M128" s="164">
        <f t="shared" si="22"/>
        <v>0</v>
      </c>
      <c r="N128" s="164">
        <f t="shared" si="20"/>
        <v>0</v>
      </c>
      <c r="O128" s="164">
        <f t="shared" si="12"/>
        <v>0</v>
      </c>
      <c r="P128" s="164">
        <f t="shared" si="13"/>
        <v>0</v>
      </c>
      <c r="Q128" s="164">
        <f t="shared" si="14"/>
        <v>0</v>
      </c>
      <c r="R128" s="164">
        <f t="shared" si="23"/>
        <v>0</v>
      </c>
      <c r="S128" s="164">
        <f t="shared" si="15"/>
        <v>0</v>
      </c>
      <c r="T128" s="164">
        <f t="shared" si="16"/>
        <v>0</v>
      </c>
    </row>
    <row r="129" spans="2:20" x14ac:dyDescent="0.2">
      <c r="B129" s="171"/>
      <c r="D129" s="171"/>
      <c r="F129" s="158">
        <v>118</v>
      </c>
      <c r="G129" s="249">
        <f t="shared" si="17"/>
        <v>47238</v>
      </c>
      <c r="H129" s="158">
        <f t="shared" si="21"/>
        <v>30</v>
      </c>
      <c r="I129" s="254">
        <f>VLOOKUP(G129,'Прогноз переменной ставки'!$B$5:$E$304,4,1)</f>
        <v>9.9000000000000005E-2</v>
      </c>
      <c r="J129" s="164">
        <f t="shared" si="18"/>
        <v>0</v>
      </c>
      <c r="K129" s="164">
        <f t="shared" si="19"/>
        <v>0</v>
      </c>
      <c r="L129" s="164">
        <f t="shared" si="22"/>
        <v>0</v>
      </c>
      <c r="M129" s="164">
        <f t="shared" si="22"/>
        <v>0</v>
      </c>
      <c r="N129" s="164">
        <f t="shared" si="20"/>
        <v>0</v>
      </c>
      <c r="O129" s="164">
        <f t="shared" si="12"/>
        <v>0</v>
      </c>
      <c r="P129" s="164">
        <f t="shared" si="13"/>
        <v>0</v>
      </c>
      <c r="Q129" s="164">
        <f t="shared" si="14"/>
        <v>0</v>
      </c>
      <c r="R129" s="164">
        <f t="shared" si="23"/>
        <v>0</v>
      </c>
      <c r="S129" s="164">
        <f t="shared" si="15"/>
        <v>0</v>
      </c>
      <c r="T129" s="164">
        <f t="shared" si="16"/>
        <v>0</v>
      </c>
    </row>
    <row r="130" spans="2:20" x14ac:dyDescent="0.2">
      <c r="B130" s="171"/>
      <c r="D130" s="171"/>
      <c r="F130" s="158">
        <v>119</v>
      </c>
      <c r="G130" s="249">
        <f t="shared" si="17"/>
        <v>47269</v>
      </c>
      <c r="H130" s="158">
        <f t="shared" si="21"/>
        <v>31</v>
      </c>
      <c r="I130" s="254">
        <f>VLOOKUP(G130,'Прогноз переменной ставки'!$B$5:$E$304,4,1)</f>
        <v>9.9000000000000005E-2</v>
      </c>
      <c r="J130" s="164">
        <f t="shared" si="18"/>
        <v>0</v>
      </c>
      <c r="K130" s="164">
        <f t="shared" si="19"/>
        <v>0</v>
      </c>
      <c r="L130" s="164">
        <f t="shared" si="22"/>
        <v>0</v>
      </c>
      <c r="M130" s="164">
        <f t="shared" si="22"/>
        <v>0</v>
      </c>
      <c r="N130" s="164">
        <f t="shared" si="20"/>
        <v>0</v>
      </c>
      <c r="O130" s="164">
        <f t="shared" si="12"/>
        <v>0</v>
      </c>
      <c r="P130" s="164">
        <f t="shared" si="13"/>
        <v>0</v>
      </c>
      <c r="Q130" s="164">
        <f t="shared" si="14"/>
        <v>0</v>
      </c>
      <c r="R130" s="164">
        <f t="shared" si="23"/>
        <v>0</v>
      </c>
      <c r="S130" s="164">
        <f t="shared" si="15"/>
        <v>0</v>
      </c>
      <c r="T130" s="164">
        <f t="shared" si="16"/>
        <v>0</v>
      </c>
    </row>
    <row r="131" spans="2:20" x14ac:dyDescent="0.2">
      <c r="B131" s="171"/>
      <c r="D131" s="171"/>
      <c r="F131" s="158">
        <v>120</v>
      </c>
      <c r="G131" s="249">
        <f t="shared" si="17"/>
        <v>47299</v>
      </c>
      <c r="H131" s="158">
        <f t="shared" si="21"/>
        <v>30</v>
      </c>
      <c r="I131" s="254">
        <f>VLOOKUP(G131,'Прогноз переменной ставки'!$B$5:$E$304,4,1)</f>
        <v>9.9000000000000005E-2</v>
      </c>
      <c r="J131" s="164">
        <f t="shared" si="18"/>
        <v>0</v>
      </c>
      <c r="K131" s="164">
        <f t="shared" si="19"/>
        <v>0</v>
      </c>
      <c r="L131" s="164">
        <f t="shared" si="22"/>
        <v>0</v>
      </c>
      <c r="M131" s="164">
        <f t="shared" si="22"/>
        <v>0</v>
      </c>
      <c r="N131" s="164">
        <f t="shared" si="20"/>
        <v>0</v>
      </c>
      <c r="O131" s="164">
        <f t="shared" si="12"/>
        <v>0</v>
      </c>
      <c r="P131" s="164">
        <f t="shared" si="13"/>
        <v>0</v>
      </c>
      <c r="Q131" s="164">
        <f t="shared" si="14"/>
        <v>0</v>
      </c>
      <c r="R131" s="164">
        <f t="shared" si="23"/>
        <v>0</v>
      </c>
      <c r="S131" s="164">
        <f t="shared" si="15"/>
        <v>0</v>
      </c>
      <c r="T131" s="164">
        <f t="shared" si="16"/>
        <v>0</v>
      </c>
    </row>
    <row r="132" spans="2:20" x14ac:dyDescent="0.2">
      <c r="B132" s="171"/>
      <c r="D132" s="171"/>
      <c r="F132" s="158">
        <v>121</v>
      </c>
      <c r="G132" s="249">
        <f t="shared" si="17"/>
        <v>47330</v>
      </c>
      <c r="H132" s="158">
        <f t="shared" si="21"/>
        <v>31</v>
      </c>
      <c r="I132" s="254">
        <f>VLOOKUP(G132,'Прогноз переменной ставки'!$B$5:$E$304,4,1)</f>
        <v>9.9000000000000005E-2</v>
      </c>
      <c r="J132" s="164">
        <f t="shared" si="18"/>
        <v>0</v>
      </c>
      <c r="K132" s="164">
        <f t="shared" si="19"/>
        <v>0</v>
      </c>
      <c r="L132" s="164">
        <f t="shared" si="22"/>
        <v>0</v>
      </c>
      <c r="M132" s="164">
        <f t="shared" si="22"/>
        <v>0</v>
      </c>
      <c r="N132" s="164">
        <f t="shared" si="20"/>
        <v>0</v>
      </c>
      <c r="O132" s="164">
        <f t="shared" si="12"/>
        <v>0</v>
      </c>
      <c r="P132" s="164">
        <f t="shared" si="13"/>
        <v>0</v>
      </c>
      <c r="Q132" s="164">
        <f t="shared" si="14"/>
        <v>0</v>
      </c>
      <c r="R132" s="164">
        <f t="shared" si="23"/>
        <v>0</v>
      </c>
      <c r="S132" s="164">
        <f t="shared" si="15"/>
        <v>0</v>
      </c>
      <c r="T132" s="164">
        <f t="shared" si="16"/>
        <v>0</v>
      </c>
    </row>
    <row r="133" spans="2:20" x14ac:dyDescent="0.2">
      <c r="B133" s="171"/>
      <c r="D133" s="171"/>
      <c r="F133" s="158">
        <v>122</v>
      </c>
      <c r="G133" s="249">
        <f t="shared" si="17"/>
        <v>47361</v>
      </c>
      <c r="H133" s="158">
        <f t="shared" si="21"/>
        <v>31</v>
      </c>
      <c r="I133" s="254">
        <f>VLOOKUP(G133,'Прогноз переменной ставки'!$B$5:$E$304,4,1)</f>
        <v>9.9000000000000005E-2</v>
      </c>
      <c r="J133" s="164">
        <f t="shared" si="18"/>
        <v>0</v>
      </c>
      <c r="K133" s="164">
        <f t="shared" si="19"/>
        <v>0</v>
      </c>
      <c r="L133" s="164">
        <f t="shared" si="22"/>
        <v>0</v>
      </c>
      <c r="M133" s="164">
        <f t="shared" si="22"/>
        <v>0</v>
      </c>
      <c r="N133" s="164">
        <f t="shared" si="20"/>
        <v>0</v>
      </c>
      <c r="O133" s="164">
        <f t="shared" si="12"/>
        <v>0</v>
      </c>
      <c r="P133" s="164">
        <f t="shared" si="13"/>
        <v>0</v>
      </c>
      <c r="Q133" s="164">
        <f t="shared" si="14"/>
        <v>0</v>
      </c>
      <c r="R133" s="164">
        <f t="shared" si="23"/>
        <v>0</v>
      </c>
      <c r="S133" s="164">
        <f t="shared" si="15"/>
        <v>0</v>
      </c>
      <c r="T133" s="164">
        <f t="shared" si="16"/>
        <v>0</v>
      </c>
    </row>
    <row r="134" spans="2:20" x14ac:dyDescent="0.2">
      <c r="B134" s="171"/>
      <c r="D134" s="171"/>
      <c r="F134" s="158">
        <v>123</v>
      </c>
      <c r="G134" s="249">
        <f t="shared" si="17"/>
        <v>47391</v>
      </c>
      <c r="H134" s="158">
        <f t="shared" si="21"/>
        <v>30</v>
      </c>
      <c r="I134" s="254">
        <f>VLOOKUP(G134,'Прогноз переменной ставки'!$B$5:$E$304,4,1)</f>
        <v>9.9000000000000005E-2</v>
      </c>
      <c r="J134" s="164">
        <f t="shared" si="18"/>
        <v>0</v>
      </c>
      <c r="K134" s="164">
        <f t="shared" si="19"/>
        <v>0</v>
      </c>
      <c r="L134" s="164">
        <f t="shared" si="22"/>
        <v>0</v>
      </c>
      <c r="M134" s="164">
        <f t="shared" si="22"/>
        <v>0</v>
      </c>
      <c r="N134" s="164">
        <f t="shared" si="20"/>
        <v>0</v>
      </c>
      <c r="O134" s="164">
        <f t="shared" si="12"/>
        <v>0</v>
      </c>
      <c r="P134" s="164">
        <f t="shared" si="13"/>
        <v>0</v>
      </c>
      <c r="Q134" s="164">
        <f t="shared" si="14"/>
        <v>0</v>
      </c>
      <c r="R134" s="164">
        <f t="shared" si="23"/>
        <v>0</v>
      </c>
      <c r="S134" s="164">
        <f t="shared" si="15"/>
        <v>0</v>
      </c>
      <c r="T134" s="164">
        <f t="shared" si="16"/>
        <v>0</v>
      </c>
    </row>
    <row r="135" spans="2:20" x14ac:dyDescent="0.2">
      <c r="B135" s="171"/>
      <c r="D135" s="171"/>
      <c r="F135" s="158">
        <v>124</v>
      </c>
      <c r="G135" s="249">
        <f t="shared" si="17"/>
        <v>47422</v>
      </c>
      <c r="H135" s="158">
        <f t="shared" si="21"/>
        <v>31</v>
      </c>
      <c r="I135" s="254">
        <f>VLOOKUP(G135,'Прогноз переменной ставки'!$B$5:$E$304,4,1)</f>
        <v>9.9000000000000005E-2</v>
      </c>
      <c r="J135" s="164">
        <f t="shared" si="18"/>
        <v>0</v>
      </c>
      <c r="K135" s="164">
        <f t="shared" si="19"/>
        <v>0</v>
      </c>
      <c r="L135" s="164">
        <f t="shared" si="22"/>
        <v>0</v>
      </c>
      <c r="M135" s="164">
        <f t="shared" si="22"/>
        <v>0</v>
      </c>
      <c r="N135" s="164">
        <f t="shared" si="20"/>
        <v>0</v>
      </c>
      <c r="O135" s="164">
        <f t="shared" si="12"/>
        <v>0</v>
      </c>
      <c r="P135" s="164">
        <f t="shared" si="13"/>
        <v>0</v>
      </c>
      <c r="Q135" s="164">
        <f t="shared" si="14"/>
        <v>0</v>
      </c>
      <c r="R135" s="164">
        <f t="shared" si="23"/>
        <v>0</v>
      </c>
      <c r="S135" s="164">
        <f t="shared" si="15"/>
        <v>0</v>
      </c>
      <c r="T135" s="164">
        <f t="shared" si="16"/>
        <v>0</v>
      </c>
    </row>
    <row r="136" spans="2:20" x14ac:dyDescent="0.2">
      <c r="B136" s="171"/>
      <c r="D136" s="171"/>
      <c r="F136" s="158">
        <v>125</v>
      </c>
      <c r="G136" s="249">
        <f t="shared" si="17"/>
        <v>47452</v>
      </c>
      <c r="H136" s="158">
        <f t="shared" si="21"/>
        <v>30</v>
      </c>
      <c r="I136" s="254">
        <f>VLOOKUP(G136,'Прогноз переменной ставки'!$B$5:$E$304,4,1)</f>
        <v>9.9000000000000005E-2</v>
      </c>
      <c r="J136" s="164">
        <f t="shared" si="18"/>
        <v>0</v>
      </c>
      <c r="K136" s="164">
        <f t="shared" si="19"/>
        <v>0</v>
      </c>
      <c r="L136" s="164">
        <f t="shared" si="22"/>
        <v>0</v>
      </c>
      <c r="M136" s="164">
        <f t="shared" si="22"/>
        <v>0</v>
      </c>
      <c r="N136" s="164">
        <f t="shared" si="20"/>
        <v>0</v>
      </c>
      <c r="O136" s="164">
        <f t="shared" si="12"/>
        <v>0</v>
      </c>
      <c r="P136" s="164">
        <f t="shared" si="13"/>
        <v>0</v>
      </c>
      <c r="Q136" s="164">
        <f t="shared" si="14"/>
        <v>0</v>
      </c>
      <c r="R136" s="164">
        <f t="shared" si="23"/>
        <v>0</v>
      </c>
      <c r="S136" s="164">
        <f t="shared" si="15"/>
        <v>0</v>
      </c>
      <c r="T136" s="164">
        <f t="shared" si="16"/>
        <v>0</v>
      </c>
    </row>
    <row r="137" spans="2:20" x14ac:dyDescent="0.2">
      <c r="B137" s="171"/>
      <c r="D137" s="171"/>
      <c r="F137" s="158">
        <v>126</v>
      </c>
      <c r="G137" s="249">
        <f t="shared" si="17"/>
        <v>47483</v>
      </c>
      <c r="H137" s="158">
        <f t="shared" si="21"/>
        <v>31</v>
      </c>
      <c r="I137" s="254">
        <f>VLOOKUP(G137,'Прогноз переменной ставки'!$B$5:$E$304,4,1)</f>
        <v>9.9000000000000005E-2</v>
      </c>
      <c r="J137" s="164">
        <f t="shared" si="18"/>
        <v>0</v>
      </c>
      <c r="K137" s="164">
        <f t="shared" si="19"/>
        <v>0</v>
      </c>
      <c r="L137" s="164">
        <f t="shared" si="22"/>
        <v>0</v>
      </c>
      <c r="M137" s="164">
        <f t="shared" si="22"/>
        <v>0</v>
      </c>
      <c r="N137" s="164">
        <f t="shared" si="20"/>
        <v>0</v>
      </c>
      <c r="O137" s="164">
        <f t="shared" si="12"/>
        <v>0</v>
      </c>
      <c r="P137" s="164">
        <f t="shared" si="13"/>
        <v>0</v>
      </c>
      <c r="Q137" s="164">
        <f t="shared" si="14"/>
        <v>0</v>
      </c>
      <c r="R137" s="164">
        <f t="shared" si="23"/>
        <v>0</v>
      </c>
      <c r="S137" s="164">
        <f t="shared" si="15"/>
        <v>0</v>
      </c>
      <c r="T137" s="164">
        <f t="shared" si="16"/>
        <v>0</v>
      </c>
    </row>
    <row r="138" spans="2:20" x14ac:dyDescent="0.2">
      <c r="B138" s="171"/>
      <c r="D138" s="171"/>
      <c r="F138" s="158">
        <v>127</v>
      </c>
      <c r="G138" s="249">
        <f t="shared" si="17"/>
        <v>47514</v>
      </c>
      <c r="H138" s="158">
        <f t="shared" si="21"/>
        <v>31</v>
      </c>
      <c r="I138" s="254">
        <f>VLOOKUP(G138,'Прогноз переменной ставки'!$B$5:$E$304,4,1)</f>
        <v>9.9000000000000005E-2</v>
      </c>
      <c r="J138" s="164">
        <f t="shared" si="18"/>
        <v>0</v>
      </c>
      <c r="K138" s="164">
        <f t="shared" si="19"/>
        <v>0</v>
      </c>
      <c r="L138" s="164">
        <f t="shared" si="22"/>
        <v>0</v>
      </c>
      <c r="M138" s="164">
        <f t="shared" si="22"/>
        <v>0</v>
      </c>
      <c r="N138" s="164">
        <f t="shared" si="20"/>
        <v>0</v>
      </c>
      <c r="O138" s="164">
        <f t="shared" si="12"/>
        <v>0</v>
      </c>
      <c r="P138" s="164">
        <f t="shared" si="13"/>
        <v>0</v>
      </c>
      <c r="Q138" s="164">
        <f t="shared" si="14"/>
        <v>0</v>
      </c>
      <c r="R138" s="164">
        <f t="shared" si="23"/>
        <v>0</v>
      </c>
      <c r="S138" s="164">
        <f t="shared" si="15"/>
        <v>0</v>
      </c>
      <c r="T138" s="164">
        <f t="shared" si="16"/>
        <v>0</v>
      </c>
    </row>
    <row r="139" spans="2:20" x14ac:dyDescent="0.2">
      <c r="B139" s="171"/>
      <c r="D139" s="171"/>
      <c r="F139" s="158">
        <v>128</v>
      </c>
      <c r="G139" s="249">
        <f t="shared" si="17"/>
        <v>47542</v>
      </c>
      <c r="H139" s="158">
        <f t="shared" si="21"/>
        <v>28</v>
      </c>
      <c r="I139" s="254">
        <f>VLOOKUP(G139,'Прогноз переменной ставки'!$B$5:$E$304,4,1)</f>
        <v>9.9000000000000005E-2</v>
      </c>
      <c r="J139" s="164">
        <f t="shared" si="18"/>
        <v>0</v>
      </c>
      <c r="K139" s="164">
        <f t="shared" si="19"/>
        <v>0</v>
      </c>
      <c r="L139" s="164">
        <f t="shared" si="22"/>
        <v>0</v>
      </c>
      <c r="M139" s="164">
        <f t="shared" si="22"/>
        <v>0</v>
      </c>
      <c r="N139" s="164">
        <f t="shared" si="20"/>
        <v>0</v>
      </c>
      <c r="O139" s="164">
        <f t="shared" si="12"/>
        <v>0</v>
      </c>
      <c r="P139" s="164">
        <f t="shared" si="13"/>
        <v>0</v>
      </c>
      <c r="Q139" s="164">
        <f t="shared" si="14"/>
        <v>0</v>
      </c>
      <c r="R139" s="164">
        <f t="shared" si="23"/>
        <v>0</v>
      </c>
      <c r="S139" s="164">
        <f t="shared" si="15"/>
        <v>0</v>
      </c>
      <c r="T139" s="164">
        <f t="shared" si="16"/>
        <v>0</v>
      </c>
    </row>
    <row r="140" spans="2:20" x14ac:dyDescent="0.2">
      <c r="B140" s="171"/>
      <c r="D140" s="171"/>
      <c r="F140" s="158">
        <v>129</v>
      </c>
      <c r="G140" s="249">
        <f t="shared" si="17"/>
        <v>47573</v>
      </c>
      <c r="H140" s="158">
        <f t="shared" si="21"/>
        <v>31</v>
      </c>
      <c r="I140" s="254">
        <f>VLOOKUP(G140,'Прогноз переменной ставки'!$B$5:$E$304,4,1)</f>
        <v>9.9000000000000005E-2</v>
      </c>
      <c r="J140" s="164">
        <f t="shared" si="18"/>
        <v>0</v>
      </c>
      <c r="K140" s="164">
        <f t="shared" si="19"/>
        <v>0</v>
      </c>
      <c r="L140" s="164">
        <f t="shared" si="22"/>
        <v>0</v>
      </c>
      <c r="M140" s="164">
        <f t="shared" si="22"/>
        <v>0</v>
      </c>
      <c r="N140" s="164">
        <f t="shared" si="20"/>
        <v>0</v>
      </c>
      <c r="O140" s="164">
        <f t="shared" ref="O140:O203" si="24">MIN(J140-Q140-P140,L140)</f>
        <v>0</v>
      </c>
      <c r="P140" s="164">
        <f t="shared" ref="P140:P203" si="25">MIN(J140-Q140,N140)</f>
        <v>0</v>
      </c>
      <c r="Q140" s="164">
        <f t="shared" ref="Q140:Q203" si="26">MIN(J140,M140)</f>
        <v>0</v>
      </c>
      <c r="R140" s="164">
        <f t="shared" si="23"/>
        <v>0</v>
      </c>
      <c r="S140" s="164">
        <f t="shared" ref="S140:S203" si="27">L140-O140</f>
        <v>0</v>
      </c>
      <c r="T140" s="164">
        <f t="shared" ref="T140:T203" si="28">M140+R140-Q140</f>
        <v>0</v>
      </c>
    </row>
    <row r="141" spans="2:20" x14ac:dyDescent="0.2">
      <c r="B141" s="171"/>
      <c r="D141" s="171"/>
      <c r="F141" s="158">
        <v>130</v>
      </c>
      <c r="G141" s="249">
        <f t="shared" ref="G141:G204" si="29">EOMONTH($D$9,F141-1)</f>
        <v>47603</v>
      </c>
      <c r="H141" s="158">
        <f t="shared" si="21"/>
        <v>30</v>
      </c>
      <c r="I141" s="254">
        <f>VLOOKUP(G141,'Прогноз переменной ставки'!$B$5:$E$304,4,1)</f>
        <v>9.9000000000000005E-2</v>
      </c>
      <c r="J141" s="164">
        <f t="shared" ref="J141:J204" si="30">IF(F141=$D$4,K141+N141,MIN($D$5,K141+N141))</f>
        <v>0</v>
      </c>
      <c r="K141" s="164">
        <f t="shared" ref="K141:K204" si="31">L141+M141</f>
        <v>0</v>
      </c>
      <c r="L141" s="164">
        <f t="shared" si="22"/>
        <v>0</v>
      </c>
      <c r="M141" s="164">
        <f t="shared" si="22"/>
        <v>0</v>
      </c>
      <c r="N141" s="164">
        <f t="shared" ref="N141:N204" si="32">L141*I141/365.25*H141</f>
        <v>0</v>
      </c>
      <c r="O141" s="164">
        <f t="shared" si="24"/>
        <v>0</v>
      </c>
      <c r="P141" s="164">
        <f t="shared" si="25"/>
        <v>0</v>
      </c>
      <c r="Q141" s="164">
        <f t="shared" si="26"/>
        <v>0</v>
      </c>
      <c r="R141" s="164">
        <f t="shared" si="23"/>
        <v>0</v>
      </c>
      <c r="S141" s="164">
        <f t="shared" si="27"/>
        <v>0</v>
      </c>
      <c r="T141" s="164">
        <f t="shared" si="28"/>
        <v>0</v>
      </c>
    </row>
    <row r="142" spans="2:20" x14ac:dyDescent="0.2">
      <c r="B142" s="171"/>
      <c r="D142" s="171"/>
      <c r="F142" s="158">
        <v>131</v>
      </c>
      <c r="G142" s="249">
        <f t="shared" si="29"/>
        <v>47634</v>
      </c>
      <c r="H142" s="158">
        <f t="shared" ref="H142:H205" si="33">G142-G141</f>
        <v>31</v>
      </c>
      <c r="I142" s="254">
        <f>VLOOKUP(G142,'Прогноз переменной ставки'!$B$5:$E$304,4,1)</f>
        <v>9.9000000000000005E-2</v>
      </c>
      <c r="J142" s="164">
        <f t="shared" si="30"/>
        <v>0</v>
      </c>
      <c r="K142" s="164">
        <f t="shared" si="31"/>
        <v>0</v>
      </c>
      <c r="L142" s="164">
        <f t="shared" ref="L142:M205" si="34">S141</f>
        <v>0</v>
      </c>
      <c r="M142" s="164">
        <f t="shared" si="34"/>
        <v>0</v>
      </c>
      <c r="N142" s="164">
        <f t="shared" si="32"/>
        <v>0</v>
      </c>
      <c r="O142" s="164">
        <f t="shared" si="24"/>
        <v>0</v>
      </c>
      <c r="P142" s="164">
        <f t="shared" si="25"/>
        <v>0</v>
      </c>
      <c r="Q142" s="164">
        <f t="shared" si="26"/>
        <v>0</v>
      </c>
      <c r="R142" s="164">
        <f t="shared" ref="R142:R205" si="35">MAX(N142-P142,0)</f>
        <v>0</v>
      </c>
      <c r="S142" s="164">
        <f t="shared" si="27"/>
        <v>0</v>
      </c>
      <c r="T142" s="164">
        <f t="shared" si="28"/>
        <v>0</v>
      </c>
    </row>
    <row r="143" spans="2:20" x14ac:dyDescent="0.2">
      <c r="B143" s="171"/>
      <c r="D143" s="171"/>
      <c r="F143" s="158">
        <v>132</v>
      </c>
      <c r="G143" s="249">
        <f t="shared" si="29"/>
        <v>47664</v>
      </c>
      <c r="H143" s="158">
        <f t="shared" si="33"/>
        <v>30</v>
      </c>
      <c r="I143" s="254">
        <f>VLOOKUP(G143,'Прогноз переменной ставки'!$B$5:$E$304,4,1)</f>
        <v>9.9000000000000005E-2</v>
      </c>
      <c r="J143" s="164">
        <f t="shared" si="30"/>
        <v>0</v>
      </c>
      <c r="K143" s="164">
        <f t="shared" si="31"/>
        <v>0</v>
      </c>
      <c r="L143" s="164">
        <f t="shared" si="34"/>
        <v>0</v>
      </c>
      <c r="M143" s="164">
        <f t="shared" si="34"/>
        <v>0</v>
      </c>
      <c r="N143" s="164">
        <f t="shared" si="32"/>
        <v>0</v>
      </c>
      <c r="O143" s="164">
        <f t="shared" si="24"/>
        <v>0</v>
      </c>
      <c r="P143" s="164">
        <f t="shared" si="25"/>
        <v>0</v>
      </c>
      <c r="Q143" s="164">
        <f t="shared" si="26"/>
        <v>0</v>
      </c>
      <c r="R143" s="164">
        <f t="shared" si="35"/>
        <v>0</v>
      </c>
      <c r="S143" s="164">
        <f t="shared" si="27"/>
        <v>0</v>
      </c>
      <c r="T143" s="164">
        <f t="shared" si="28"/>
        <v>0</v>
      </c>
    </row>
    <row r="144" spans="2:20" x14ac:dyDescent="0.2">
      <c r="B144" s="171"/>
      <c r="D144" s="171"/>
      <c r="F144" s="158">
        <v>133</v>
      </c>
      <c r="G144" s="249">
        <f t="shared" si="29"/>
        <v>47695</v>
      </c>
      <c r="H144" s="158">
        <f t="shared" si="33"/>
        <v>31</v>
      </c>
      <c r="I144" s="254">
        <f>VLOOKUP(G144,'Прогноз переменной ставки'!$B$5:$E$304,4,1)</f>
        <v>9.9000000000000005E-2</v>
      </c>
      <c r="J144" s="164">
        <f t="shared" si="30"/>
        <v>0</v>
      </c>
      <c r="K144" s="164">
        <f t="shared" si="31"/>
        <v>0</v>
      </c>
      <c r="L144" s="164">
        <f t="shared" si="34"/>
        <v>0</v>
      </c>
      <c r="M144" s="164">
        <f t="shared" si="34"/>
        <v>0</v>
      </c>
      <c r="N144" s="164">
        <f t="shared" si="32"/>
        <v>0</v>
      </c>
      <c r="O144" s="164">
        <f t="shared" si="24"/>
        <v>0</v>
      </c>
      <c r="P144" s="164">
        <f t="shared" si="25"/>
        <v>0</v>
      </c>
      <c r="Q144" s="164">
        <f t="shared" si="26"/>
        <v>0</v>
      </c>
      <c r="R144" s="164">
        <f t="shared" si="35"/>
        <v>0</v>
      </c>
      <c r="S144" s="164">
        <f t="shared" si="27"/>
        <v>0</v>
      </c>
      <c r="T144" s="164">
        <f t="shared" si="28"/>
        <v>0</v>
      </c>
    </row>
    <row r="145" spans="2:20" x14ac:dyDescent="0.2">
      <c r="B145" s="171"/>
      <c r="D145" s="171"/>
      <c r="F145" s="158">
        <v>134</v>
      </c>
      <c r="G145" s="249">
        <f t="shared" si="29"/>
        <v>47726</v>
      </c>
      <c r="H145" s="158">
        <f t="shared" si="33"/>
        <v>31</v>
      </c>
      <c r="I145" s="254">
        <f>VLOOKUP(G145,'Прогноз переменной ставки'!$B$5:$E$304,4,1)</f>
        <v>9.9000000000000005E-2</v>
      </c>
      <c r="J145" s="164">
        <f t="shared" si="30"/>
        <v>0</v>
      </c>
      <c r="K145" s="164">
        <f t="shared" si="31"/>
        <v>0</v>
      </c>
      <c r="L145" s="164">
        <f t="shared" si="34"/>
        <v>0</v>
      </c>
      <c r="M145" s="164">
        <f t="shared" si="34"/>
        <v>0</v>
      </c>
      <c r="N145" s="164">
        <f t="shared" si="32"/>
        <v>0</v>
      </c>
      <c r="O145" s="164">
        <f t="shared" si="24"/>
        <v>0</v>
      </c>
      <c r="P145" s="164">
        <f t="shared" si="25"/>
        <v>0</v>
      </c>
      <c r="Q145" s="164">
        <f t="shared" si="26"/>
        <v>0</v>
      </c>
      <c r="R145" s="164">
        <f t="shared" si="35"/>
        <v>0</v>
      </c>
      <c r="S145" s="164">
        <f t="shared" si="27"/>
        <v>0</v>
      </c>
      <c r="T145" s="164">
        <f t="shared" si="28"/>
        <v>0</v>
      </c>
    </row>
    <row r="146" spans="2:20" x14ac:dyDescent="0.2">
      <c r="B146" s="171"/>
      <c r="D146" s="171"/>
      <c r="F146" s="158">
        <v>135</v>
      </c>
      <c r="G146" s="249">
        <f t="shared" si="29"/>
        <v>47756</v>
      </c>
      <c r="H146" s="158">
        <f t="shared" si="33"/>
        <v>30</v>
      </c>
      <c r="I146" s="254">
        <f>VLOOKUP(G146,'Прогноз переменной ставки'!$B$5:$E$304,4,1)</f>
        <v>9.9000000000000005E-2</v>
      </c>
      <c r="J146" s="164">
        <f t="shared" si="30"/>
        <v>0</v>
      </c>
      <c r="K146" s="164">
        <f t="shared" si="31"/>
        <v>0</v>
      </c>
      <c r="L146" s="164">
        <f t="shared" si="34"/>
        <v>0</v>
      </c>
      <c r="M146" s="164">
        <f t="shared" si="34"/>
        <v>0</v>
      </c>
      <c r="N146" s="164">
        <f t="shared" si="32"/>
        <v>0</v>
      </c>
      <c r="O146" s="164">
        <f t="shared" si="24"/>
        <v>0</v>
      </c>
      <c r="P146" s="164">
        <f t="shared" si="25"/>
        <v>0</v>
      </c>
      <c r="Q146" s="164">
        <f t="shared" si="26"/>
        <v>0</v>
      </c>
      <c r="R146" s="164">
        <f t="shared" si="35"/>
        <v>0</v>
      </c>
      <c r="S146" s="164">
        <f t="shared" si="27"/>
        <v>0</v>
      </c>
      <c r="T146" s="164">
        <f t="shared" si="28"/>
        <v>0</v>
      </c>
    </row>
    <row r="147" spans="2:20" x14ac:dyDescent="0.2">
      <c r="B147" s="171"/>
      <c r="D147" s="171"/>
      <c r="F147" s="158">
        <v>136</v>
      </c>
      <c r="G147" s="249">
        <f t="shared" si="29"/>
        <v>47787</v>
      </c>
      <c r="H147" s="158">
        <f t="shared" si="33"/>
        <v>31</v>
      </c>
      <c r="I147" s="254">
        <f>VLOOKUP(G147,'Прогноз переменной ставки'!$B$5:$E$304,4,1)</f>
        <v>9.9000000000000005E-2</v>
      </c>
      <c r="J147" s="164">
        <f t="shared" si="30"/>
        <v>0</v>
      </c>
      <c r="K147" s="164">
        <f t="shared" si="31"/>
        <v>0</v>
      </c>
      <c r="L147" s="164">
        <f t="shared" si="34"/>
        <v>0</v>
      </c>
      <c r="M147" s="164">
        <f t="shared" si="34"/>
        <v>0</v>
      </c>
      <c r="N147" s="164">
        <f t="shared" si="32"/>
        <v>0</v>
      </c>
      <c r="O147" s="164">
        <f t="shared" si="24"/>
        <v>0</v>
      </c>
      <c r="P147" s="164">
        <f t="shared" si="25"/>
        <v>0</v>
      </c>
      <c r="Q147" s="164">
        <f t="shared" si="26"/>
        <v>0</v>
      </c>
      <c r="R147" s="164">
        <f t="shared" si="35"/>
        <v>0</v>
      </c>
      <c r="S147" s="164">
        <f t="shared" si="27"/>
        <v>0</v>
      </c>
      <c r="T147" s="164">
        <f t="shared" si="28"/>
        <v>0</v>
      </c>
    </row>
    <row r="148" spans="2:20" x14ac:dyDescent="0.2">
      <c r="B148" s="171"/>
      <c r="D148" s="171"/>
      <c r="F148" s="158">
        <v>137</v>
      </c>
      <c r="G148" s="249">
        <f t="shared" si="29"/>
        <v>47817</v>
      </c>
      <c r="H148" s="158">
        <f t="shared" si="33"/>
        <v>30</v>
      </c>
      <c r="I148" s="254">
        <f>VLOOKUP(G148,'Прогноз переменной ставки'!$B$5:$E$304,4,1)</f>
        <v>9.9000000000000005E-2</v>
      </c>
      <c r="J148" s="164">
        <f t="shared" si="30"/>
        <v>0</v>
      </c>
      <c r="K148" s="164">
        <f t="shared" si="31"/>
        <v>0</v>
      </c>
      <c r="L148" s="164">
        <f t="shared" si="34"/>
        <v>0</v>
      </c>
      <c r="M148" s="164">
        <f t="shared" si="34"/>
        <v>0</v>
      </c>
      <c r="N148" s="164">
        <f t="shared" si="32"/>
        <v>0</v>
      </c>
      <c r="O148" s="164">
        <f t="shared" si="24"/>
        <v>0</v>
      </c>
      <c r="P148" s="164">
        <f t="shared" si="25"/>
        <v>0</v>
      </c>
      <c r="Q148" s="164">
        <f t="shared" si="26"/>
        <v>0</v>
      </c>
      <c r="R148" s="164">
        <f t="shared" si="35"/>
        <v>0</v>
      </c>
      <c r="S148" s="164">
        <f t="shared" si="27"/>
        <v>0</v>
      </c>
      <c r="T148" s="164">
        <f t="shared" si="28"/>
        <v>0</v>
      </c>
    </row>
    <row r="149" spans="2:20" x14ac:dyDescent="0.2">
      <c r="B149" s="171"/>
      <c r="D149" s="171"/>
      <c r="F149" s="158">
        <v>138</v>
      </c>
      <c r="G149" s="249">
        <f t="shared" si="29"/>
        <v>47848</v>
      </c>
      <c r="H149" s="158">
        <f t="shared" si="33"/>
        <v>31</v>
      </c>
      <c r="I149" s="254">
        <f>VLOOKUP(G149,'Прогноз переменной ставки'!$B$5:$E$304,4,1)</f>
        <v>9.9000000000000005E-2</v>
      </c>
      <c r="J149" s="164">
        <f t="shared" si="30"/>
        <v>0</v>
      </c>
      <c r="K149" s="164">
        <f t="shared" si="31"/>
        <v>0</v>
      </c>
      <c r="L149" s="164">
        <f t="shared" si="34"/>
        <v>0</v>
      </c>
      <c r="M149" s="164">
        <f t="shared" si="34"/>
        <v>0</v>
      </c>
      <c r="N149" s="164">
        <f t="shared" si="32"/>
        <v>0</v>
      </c>
      <c r="O149" s="164">
        <f t="shared" si="24"/>
        <v>0</v>
      </c>
      <c r="P149" s="164">
        <f t="shared" si="25"/>
        <v>0</v>
      </c>
      <c r="Q149" s="164">
        <f t="shared" si="26"/>
        <v>0</v>
      </c>
      <c r="R149" s="164">
        <f t="shared" si="35"/>
        <v>0</v>
      </c>
      <c r="S149" s="164">
        <f t="shared" si="27"/>
        <v>0</v>
      </c>
      <c r="T149" s="164">
        <f t="shared" si="28"/>
        <v>0</v>
      </c>
    </row>
    <row r="150" spans="2:20" x14ac:dyDescent="0.2">
      <c r="B150" s="171"/>
      <c r="D150" s="171"/>
      <c r="F150" s="158">
        <v>139</v>
      </c>
      <c r="G150" s="249">
        <f t="shared" si="29"/>
        <v>47879</v>
      </c>
      <c r="H150" s="158">
        <f t="shared" si="33"/>
        <v>31</v>
      </c>
      <c r="I150" s="254">
        <f>VLOOKUP(G150,'Прогноз переменной ставки'!$B$5:$E$304,4,1)</f>
        <v>9.9000000000000005E-2</v>
      </c>
      <c r="J150" s="164">
        <f t="shared" si="30"/>
        <v>0</v>
      </c>
      <c r="K150" s="164">
        <f t="shared" si="31"/>
        <v>0</v>
      </c>
      <c r="L150" s="164">
        <f t="shared" si="34"/>
        <v>0</v>
      </c>
      <c r="M150" s="164">
        <f t="shared" si="34"/>
        <v>0</v>
      </c>
      <c r="N150" s="164">
        <f t="shared" si="32"/>
        <v>0</v>
      </c>
      <c r="O150" s="164">
        <f t="shared" si="24"/>
        <v>0</v>
      </c>
      <c r="P150" s="164">
        <f t="shared" si="25"/>
        <v>0</v>
      </c>
      <c r="Q150" s="164">
        <f t="shared" si="26"/>
        <v>0</v>
      </c>
      <c r="R150" s="164">
        <f t="shared" si="35"/>
        <v>0</v>
      </c>
      <c r="S150" s="164">
        <f t="shared" si="27"/>
        <v>0</v>
      </c>
      <c r="T150" s="164">
        <f t="shared" si="28"/>
        <v>0</v>
      </c>
    </row>
    <row r="151" spans="2:20" x14ac:dyDescent="0.2">
      <c r="B151" s="171"/>
      <c r="D151" s="171"/>
      <c r="F151" s="158">
        <v>140</v>
      </c>
      <c r="G151" s="249">
        <f t="shared" si="29"/>
        <v>47907</v>
      </c>
      <c r="H151" s="158">
        <f t="shared" si="33"/>
        <v>28</v>
      </c>
      <c r="I151" s="254">
        <f>VLOOKUP(G151,'Прогноз переменной ставки'!$B$5:$E$304,4,1)</f>
        <v>9.9000000000000005E-2</v>
      </c>
      <c r="J151" s="164">
        <f t="shared" si="30"/>
        <v>0</v>
      </c>
      <c r="K151" s="164">
        <f t="shared" si="31"/>
        <v>0</v>
      </c>
      <c r="L151" s="164">
        <f t="shared" si="34"/>
        <v>0</v>
      </c>
      <c r="M151" s="164">
        <f t="shared" si="34"/>
        <v>0</v>
      </c>
      <c r="N151" s="164">
        <f t="shared" si="32"/>
        <v>0</v>
      </c>
      <c r="O151" s="164">
        <f t="shared" si="24"/>
        <v>0</v>
      </c>
      <c r="P151" s="164">
        <f t="shared" si="25"/>
        <v>0</v>
      </c>
      <c r="Q151" s="164">
        <f t="shared" si="26"/>
        <v>0</v>
      </c>
      <c r="R151" s="164">
        <f t="shared" si="35"/>
        <v>0</v>
      </c>
      <c r="S151" s="164">
        <f t="shared" si="27"/>
        <v>0</v>
      </c>
      <c r="T151" s="164">
        <f t="shared" si="28"/>
        <v>0</v>
      </c>
    </row>
    <row r="152" spans="2:20" x14ac:dyDescent="0.2">
      <c r="B152" s="171"/>
      <c r="D152" s="171"/>
      <c r="F152" s="158">
        <v>141</v>
      </c>
      <c r="G152" s="249">
        <f t="shared" si="29"/>
        <v>47938</v>
      </c>
      <c r="H152" s="158">
        <f t="shared" si="33"/>
        <v>31</v>
      </c>
      <c r="I152" s="254">
        <f>VLOOKUP(G152,'Прогноз переменной ставки'!$B$5:$E$304,4,1)</f>
        <v>9.9000000000000005E-2</v>
      </c>
      <c r="J152" s="164">
        <f t="shared" si="30"/>
        <v>0</v>
      </c>
      <c r="K152" s="164">
        <f t="shared" si="31"/>
        <v>0</v>
      </c>
      <c r="L152" s="164">
        <f t="shared" si="34"/>
        <v>0</v>
      </c>
      <c r="M152" s="164">
        <f t="shared" si="34"/>
        <v>0</v>
      </c>
      <c r="N152" s="164">
        <f t="shared" si="32"/>
        <v>0</v>
      </c>
      <c r="O152" s="164">
        <f t="shared" si="24"/>
        <v>0</v>
      </c>
      <c r="P152" s="164">
        <f t="shared" si="25"/>
        <v>0</v>
      </c>
      <c r="Q152" s="164">
        <f t="shared" si="26"/>
        <v>0</v>
      </c>
      <c r="R152" s="164">
        <f t="shared" si="35"/>
        <v>0</v>
      </c>
      <c r="S152" s="164">
        <f t="shared" si="27"/>
        <v>0</v>
      </c>
      <c r="T152" s="164">
        <f t="shared" si="28"/>
        <v>0</v>
      </c>
    </row>
    <row r="153" spans="2:20" x14ac:dyDescent="0.2">
      <c r="B153" s="171"/>
      <c r="D153" s="171"/>
      <c r="F153" s="158">
        <v>142</v>
      </c>
      <c r="G153" s="249">
        <f t="shared" si="29"/>
        <v>47968</v>
      </c>
      <c r="H153" s="158">
        <f t="shared" si="33"/>
        <v>30</v>
      </c>
      <c r="I153" s="254">
        <f>VLOOKUP(G153,'Прогноз переменной ставки'!$B$5:$E$304,4,1)</f>
        <v>9.9000000000000005E-2</v>
      </c>
      <c r="J153" s="164">
        <f t="shared" si="30"/>
        <v>0</v>
      </c>
      <c r="K153" s="164">
        <f t="shared" si="31"/>
        <v>0</v>
      </c>
      <c r="L153" s="164">
        <f t="shared" si="34"/>
        <v>0</v>
      </c>
      <c r="M153" s="164">
        <f t="shared" si="34"/>
        <v>0</v>
      </c>
      <c r="N153" s="164">
        <f t="shared" si="32"/>
        <v>0</v>
      </c>
      <c r="O153" s="164">
        <f t="shared" si="24"/>
        <v>0</v>
      </c>
      <c r="P153" s="164">
        <f t="shared" si="25"/>
        <v>0</v>
      </c>
      <c r="Q153" s="164">
        <f t="shared" si="26"/>
        <v>0</v>
      </c>
      <c r="R153" s="164">
        <f t="shared" si="35"/>
        <v>0</v>
      </c>
      <c r="S153" s="164">
        <f t="shared" si="27"/>
        <v>0</v>
      </c>
      <c r="T153" s="164">
        <f t="shared" si="28"/>
        <v>0</v>
      </c>
    </row>
    <row r="154" spans="2:20" x14ac:dyDescent="0.2">
      <c r="B154" s="171"/>
      <c r="D154" s="171"/>
      <c r="F154" s="158">
        <v>143</v>
      </c>
      <c r="G154" s="249">
        <f t="shared" si="29"/>
        <v>47999</v>
      </c>
      <c r="H154" s="158">
        <f t="shared" si="33"/>
        <v>31</v>
      </c>
      <c r="I154" s="254">
        <f>VLOOKUP(G154,'Прогноз переменной ставки'!$B$5:$E$304,4,1)</f>
        <v>9.9000000000000005E-2</v>
      </c>
      <c r="J154" s="164">
        <f t="shared" si="30"/>
        <v>0</v>
      </c>
      <c r="K154" s="164">
        <f t="shared" si="31"/>
        <v>0</v>
      </c>
      <c r="L154" s="164">
        <f t="shared" si="34"/>
        <v>0</v>
      </c>
      <c r="M154" s="164">
        <f t="shared" si="34"/>
        <v>0</v>
      </c>
      <c r="N154" s="164">
        <f t="shared" si="32"/>
        <v>0</v>
      </c>
      <c r="O154" s="164">
        <f t="shared" si="24"/>
        <v>0</v>
      </c>
      <c r="P154" s="164">
        <f t="shared" si="25"/>
        <v>0</v>
      </c>
      <c r="Q154" s="164">
        <f t="shared" si="26"/>
        <v>0</v>
      </c>
      <c r="R154" s="164">
        <f t="shared" si="35"/>
        <v>0</v>
      </c>
      <c r="S154" s="164">
        <f t="shared" si="27"/>
        <v>0</v>
      </c>
      <c r="T154" s="164">
        <f t="shared" si="28"/>
        <v>0</v>
      </c>
    </row>
    <row r="155" spans="2:20" x14ac:dyDescent="0.2">
      <c r="B155" s="171"/>
      <c r="D155" s="171"/>
      <c r="F155" s="158">
        <v>144</v>
      </c>
      <c r="G155" s="249">
        <f t="shared" si="29"/>
        <v>48029</v>
      </c>
      <c r="H155" s="158">
        <f t="shared" si="33"/>
        <v>30</v>
      </c>
      <c r="I155" s="254">
        <f>VLOOKUP(G155,'Прогноз переменной ставки'!$B$5:$E$304,4,1)</f>
        <v>9.9000000000000005E-2</v>
      </c>
      <c r="J155" s="164">
        <f t="shared" si="30"/>
        <v>0</v>
      </c>
      <c r="K155" s="164">
        <f t="shared" si="31"/>
        <v>0</v>
      </c>
      <c r="L155" s="164">
        <f t="shared" si="34"/>
        <v>0</v>
      </c>
      <c r="M155" s="164">
        <f t="shared" si="34"/>
        <v>0</v>
      </c>
      <c r="N155" s="164">
        <f t="shared" si="32"/>
        <v>0</v>
      </c>
      <c r="O155" s="164">
        <f t="shared" si="24"/>
        <v>0</v>
      </c>
      <c r="P155" s="164">
        <f t="shared" si="25"/>
        <v>0</v>
      </c>
      <c r="Q155" s="164">
        <f t="shared" si="26"/>
        <v>0</v>
      </c>
      <c r="R155" s="164">
        <f t="shared" si="35"/>
        <v>0</v>
      </c>
      <c r="S155" s="164">
        <f t="shared" si="27"/>
        <v>0</v>
      </c>
      <c r="T155" s="164">
        <f t="shared" si="28"/>
        <v>0</v>
      </c>
    </row>
    <row r="156" spans="2:20" x14ac:dyDescent="0.2">
      <c r="B156" s="171"/>
      <c r="D156" s="171"/>
      <c r="F156" s="158">
        <v>145</v>
      </c>
      <c r="G156" s="249">
        <f t="shared" si="29"/>
        <v>48060</v>
      </c>
      <c r="H156" s="158">
        <f t="shared" si="33"/>
        <v>31</v>
      </c>
      <c r="I156" s="254">
        <f>VLOOKUP(G156,'Прогноз переменной ставки'!$B$5:$E$304,4,1)</f>
        <v>9.9000000000000005E-2</v>
      </c>
      <c r="J156" s="164">
        <f t="shared" si="30"/>
        <v>0</v>
      </c>
      <c r="K156" s="164">
        <f t="shared" si="31"/>
        <v>0</v>
      </c>
      <c r="L156" s="164">
        <f t="shared" si="34"/>
        <v>0</v>
      </c>
      <c r="M156" s="164">
        <f t="shared" si="34"/>
        <v>0</v>
      </c>
      <c r="N156" s="164">
        <f t="shared" si="32"/>
        <v>0</v>
      </c>
      <c r="O156" s="164">
        <f t="shared" si="24"/>
        <v>0</v>
      </c>
      <c r="P156" s="164">
        <f t="shared" si="25"/>
        <v>0</v>
      </c>
      <c r="Q156" s="164">
        <f t="shared" si="26"/>
        <v>0</v>
      </c>
      <c r="R156" s="164">
        <f t="shared" si="35"/>
        <v>0</v>
      </c>
      <c r="S156" s="164">
        <f t="shared" si="27"/>
        <v>0</v>
      </c>
      <c r="T156" s="164">
        <f t="shared" si="28"/>
        <v>0</v>
      </c>
    </row>
    <row r="157" spans="2:20" x14ac:dyDescent="0.2">
      <c r="B157" s="171"/>
      <c r="D157" s="171"/>
      <c r="F157" s="158">
        <v>146</v>
      </c>
      <c r="G157" s="249">
        <f t="shared" si="29"/>
        <v>48091</v>
      </c>
      <c r="H157" s="158">
        <f t="shared" si="33"/>
        <v>31</v>
      </c>
      <c r="I157" s="254">
        <f>VLOOKUP(G157,'Прогноз переменной ставки'!$B$5:$E$304,4,1)</f>
        <v>9.9000000000000005E-2</v>
      </c>
      <c r="J157" s="164">
        <f t="shared" si="30"/>
        <v>0</v>
      </c>
      <c r="K157" s="164">
        <f t="shared" si="31"/>
        <v>0</v>
      </c>
      <c r="L157" s="164">
        <f t="shared" si="34"/>
        <v>0</v>
      </c>
      <c r="M157" s="164">
        <f t="shared" si="34"/>
        <v>0</v>
      </c>
      <c r="N157" s="164">
        <f t="shared" si="32"/>
        <v>0</v>
      </c>
      <c r="O157" s="164">
        <f t="shared" si="24"/>
        <v>0</v>
      </c>
      <c r="P157" s="164">
        <f t="shared" si="25"/>
        <v>0</v>
      </c>
      <c r="Q157" s="164">
        <f t="shared" si="26"/>
        <v>0</v>
      </c>
      <c r="R157" s="164">
        <f t="shared" si="35"/>
        <v>0</v>
      </c>
      <c r="S157" s="164">
        <f t="shared" si="27"/>
        <v>0</v>
      </c>
      <c r="T157" s="164">
        <f t="shared" si="28"/>
        <v>0</v>
      </c>
    </row>
    <row r="158" spans="2:20" x14ac:dyDescent="0.2">
      <c r="B158" s="171"/>
      <c r="D158" s="171"/>
      <c r="F158" s="158">
        <v>147</v>
      </c>
      <c r="G158" s="249">
        <f t="shared" si="29"/>
        <v>48121</v>
      </c>
      <c r="H158" s="158">
        <f t="shared" si="33"/>
        <v>30</v>
      </c>
      <c r="I158" s="254">
        <f>VLOOKUP(G158,'Прогноз переменной ставки'!$B$5:$E$304,4,1)</f>
        <v>9.9000000000000005E-2</v>
      </c>
      <c r="J158" s="164">
        <f t="shared" si="30"/>
        <v>0</v>
      </c>
      <c r="K158" s="164">
        <f t="shared" si="31"/>
        <v>0</v>
      </c>
      <c r="L158" s="164">
        <f t="shared" si="34"/>
        <v>0</v>
      </c>
      <c r="M158" s="164">
        <f t="shared" si="34"/>
        <v>0</v>
      </c>
      <c r="N158" s="164">
        <f t="shared" si="32"/>
        <v>0</v>
      </c>
      <c r="O158" s="164">
        <f t="shared" si="24"/>
        <v>0</v>
      </c>
      <c r="P158" s="164">
        <f t="shared" si="25"/>
        <v>0</v>
      </c>
      <c r="Q158" s="164">
        <f t="shared" si="26"/>
        <v>0</v>
      </c>
      <c r="R158" s="164">
        <f t="shared" si="35"/>
        <v>0</v>
      </c>
      <c r="S158" s="164">
        <f t="shared" si="27"/>
        <v>0</v>
      </c>
      <c r="T158" s="164">
        <f t="shared" si="28"/>
        <v>0</v>
      </c>
    </row>
    <row r="159" spans="2:20" x14ac:dyDescent="0.2">
      <c r="B159" s="171"/>
      <c r="D159" s="171"/>
      <c r="F159" s="158">
        <v>148</v>
      </c>
      <c r="G159" s="249">
        <f t="shared" si="29"/>
        <v>48152</v>
      </c>
      <c r="H159" s="158">
        <f t="shared" si="33"/>
        <v>31</v>
      </c>
      <c r="I159" s="254">
        <f>VLOOKUP(G159,'Прогноз переменной ставки'!$B$5:$E$304,4,1)</f>
        <v>9.9000000000000005E-2</v>
      </c>
      <c r="J159" s="164">
        <f t="shared" si="30"/>
        <v>0</v>
      </c>
      <c r="K159" s="164">
        <f t="shared" si="31"/>
        <v>0</v>
      </c>
      <c r="L159" s="164">
        <f t="shared" si="34"/>
        <v>0</v>
      </c>
      <c r="M159" s="164">
        <f t="shared" si="34"/>
        <v>0</v>
      </c>
      <c r="N159" s="164">
        <f t="shared" si="32"/>
        <v>0</v>
      </c>
      <c r="O159" s="164">
        <f t="shared" si="24"/>
        <v>0</v>
      </c>
      <c r="P159" s="164">
        <f t="shared" si="25"/>
        <v>0</v>
      </c>
      <c r="Q159" s="164">
        <f t="shared" si="26"/>
        <v>0</v>
      </c>
      <c r="R159" s="164">
        <f t="shared" si="35"/>
        <v>0</v>
      </c>
      <c r="S159" s="164">
        <f t="shared" si="27"/>
        <v>0</v>
      </c>
      <c r="T159" s="164">
        <f t="shared" si="28"/>
        <v>0</v>
      </c>
    </row>
    <row r="160" spans="2:20" x14ac:dyDescent="0.2">
      <c r="B160" s="171"/>
      <c r="D160" s="171"/>
      <c r="F160" s="158">
        <v>149</v>
      </c>
      <c r="G160" s="249">
        <f t="shared" si="29"/>
        <v>48182</v>
      </c>
      <c r="H160" s="158">
        <f t="shared" si="33"/>
        <v>30</v>
      </c>
      <c r="I160" s="254">
        <f>VLOOKUP(G160,'Прогноз переменной ставки'!$B$5:$E$304,4,1)</f>
        <v>9.9000000000000005E-2</v>
      </c>
      <c r="J160" s="164">
        <f t="shared" si="30"/>
        <v>0</v>
      </c>
      <c r="K160" s="164">
        <f t="shared" si="31"/>
        <v>0</v>
      </c>
      <c r="L160" s="164">
        <f t="shared" si="34"/>
        <v>0</v>
      </c>
      <c r="M160" s="164">
        <f t="shared" si="34"/>
        <v>0</v>
      </c>
      <c r="N160" s="164">
        <f t="shared" si="32"/>
        <v>0</v>
      </c>
      <c r="O160" s="164">
        <f t="shared" si="24"/>
        <v>0</v>
      </c>
      <c r="P160" s="164">
        <f t="shared" si="25"/>
        <v>0</v>
      </c>
      <c r="Q160" s="164">
        <f t="shared" si="26"/>
        <v>0</v>
      </c>
      <c r="R160" s="164">
        <f t="shared" si="35"/>
        <v>0</v>
      </c>
      <c r="S160" s="164">
        <f t="shared" si="27"/>
        <v>0</v>
      </c>
      <c r="T160" s="164">
        <f t="shared" si="28"/>
        <v>0</v>
      </c>
    </row>
    <row r="161" spans="2:20" x14ac:dyDescent="0.2">
      <c r="B161" s="171"/>
      <c r="D161" s="171"/>
      <c r="F161" s="158">
        <v>150</v>
      </c>
      <c r="G161" s="249">
        <f t="shared" si="29"/>
        <v>48213</v>
      </c>
      <c r="H161" s="158">
        <f t="shared" si="33"/>
        <v>31</v>
      </c>
      <c r="I161" s="254">
        <f>VLOOKUP(G161,'Прогноз переменной ставки'!$B$5:$E$304,4,1)</f>
        <v>9.9000000000000005E-2</v>
      </c>
      <c r="J161" s="164">
        <f t="shared" si="30"/>
        <v>0</v>
      </c>
      <c r="K161" s="164">
        <f t="shared" si="31"/>
        <v>0</v>
      </c>
      <c r="L161" s="164">
        <f t="shared" si="34"/>
        <v>0</v>
      </c>
      <c r="M161" s="164">
        <f t="shared" si="34"/>
        <v>0</v>
      </c>
      <c r="N161" s="164">
        <f t="shared" si="32"/>
        <v>0</v>
      </c>
      <c r="O161" s="164">
        <f t="shared" si="24"/>
        <v>0</v>
      </c>
      <c r="P161" s="164">
        <f t="shared" si="25"/>
        <v>0</v>
      </c>
      <c r="Q161" s="164">
        <f t="shared" si="26"/>
        <v>0</v>
      </c>
      <c r="R161" s="164">
        <f t="shared" si="35"/>
        <v>0</v>
      </c>
      <c r="S161" s="164">
        <f t="shared" si="27"/>
        <v>0</v>
      </c>
      <c r="T161" s="164">
        <f t="shared" si="28"/>
        <v>0</v>
      </c>
    </row>
    <row r="162" spans="2:20" x14ac:dyDescent="0.2">
      <c r="B162" s="171"/>
      <c r="D162" s="171"/>
      <c r="F162" s="158">
        <v>151</v>
      </c>
      <c r="G162" s="249">
        <f t="shared" si="29"/>
        <v>48244</v>
      </c>
      <c r="H162" s="158">
        <f t="shared" si="33"/>
        <v>31</v>
      </c>
      <c r="I162" s="254">
        <f>VLOOKUP(G162,'Прогноз переменной ставки'!$B$5:$E$304,4,1)</f>
        <v>9.9000000000000005E-2</v>
      </c>
      <c r="J162" s="164">
        <f t="shared" si="30"/>
        <v>0</v>
      </c>
      <c r="K162" s="164">
        <f t="shared" si="31"/>
        <v>0</v>
      </c>
      <c r="L162" s="164">
        <f t="shared" si="34"/>
        <v>0</v>
      </c>
      <c r="M162" s="164">
        <f t="shared" si="34"/>
        <v>0</v>
      </c>
      <c r="N162" s="164">
        <f t="shared" si="32"/>
        <v>0</v>
      </c>
      <c r="O162" s="164">
        <f t="shared" si="24"/>
        <v>0</v>
      </c>
      <c r="P162" s="164">
        <f t="shared" si="25"/>
        <v>0</v>
      </c>
      <c r="Q162" s="164">
        <f t="shared" si="26"/>
        <v>0</v>
      </c>
      <c r="R162" s="164">
        <f t="shared" si="35"/>
        <v>0</v>
      </c>
      <c r="S162" s="164">
        <f t="shared" si="27"/>
        <v>0</v>
      </c>
      <c r="T162" s="164">
        <f t="shared" si="28"/>
        <v>0</v>
      </c>
    </row>
    <row r="163" spans="2:20" x14ac:dyDescent="0.2">
      <c r="B163" s="171"/>
      <c r="D163" s="171"/>
      <c r="F163" s="158">
        <v>152</v>
      </c>
      <c r="G163" s="249">
        <f t="shared" si="29"/>
        <v>48273</v>
      </c>
      <c r="H163" s="158">
        <f t="shared" si="33"/>
        <v>29</v>
      </c>
      <c r="I163" s="254">
        <f>VLOOKUP(G163,'Прогноз переменной ставки'!$B$5:$E$304,4,1)</f>
        <v>9.9000000000000005E-2</v>
      </c>
      <c r="J163" s="164">
        <f t="shared" si="30"/>
        <v>0</v>
      </c>
      <c r="K163" s="164">
        <f t="shared" si="31"/>
        <v>0</v>
      </c>
      <c r="L163" s="164">
        <f t="shared" si="34"/>
        <v>0</v>
      </c>
      <c r="M163" s="164">
        <f t="shared" si="34"/>
        <v>0</v>
      </c>
      <c r="N163" s="164">
        <f t="shared" si="32"/>
        <v>0</v>
      </c>
      <c r="O163" s="164">
        <f t="shared" si="24"/>
        <v>0</v>
      </c>
      <c r="P163" s="164">
        <f t="shared" si="25"/>
        <v>0</v>
      </c>
      <c r="Q163" s="164">
        <f t="shared" si="26"/>
        <v>0</v>
      </c>
      <c r="R163" s="164">
        <f t="shared" si="35"/>
        <v>0</v>
      </c>
      <c r="S163" s="164">
        <f t="shared" si="27"/>
        <v>0</v>
      </c>
      <c r="T163" s="164">
        <f t="shared" si="28"/>
        <v>0</v>
      </c>
    </row>
    <row r="164" spans="2:20" x14ac:dyDescent="0.2">
      <c r="B164" s="171"/>
      <c r="D164" s="171"/>
      <c r="F164" s="158">
        <v>153</v>
      </c>
      <c r="G164" s="249">
        <f t="shared" si="29"/>
        <v>48304</v>
      </c>
      <c r="H164" s="158">
        <f t="shared" si="33"/>
        <v>31</v>
      </c>
      <c r="I164" s="254">
        <f>VLOOKUP(G164,'Прогноз переменной ставки'!$B$5:$E$304,4,1)</f>
        <v>9.9000000000000005E-2</v>
      </c>
      <c r="J164" s="164">
        <f t="shared" si="30"/>
        <v>0</v>
      </c>
      <c r="K164" s="164">
        <f t="shared" si="31"/>
        <v>0</v>
      </c>
      <c r="L164" s="164">
        <f t="shared" si="34"/>
        <v>0</v>
      </c>
      <c r="M164" s="164">
        <f t="shared" si="34"/>
        <v>0</v>
      </c>
      <c r="N164" s="164">
        <f t="shared" si="32"/>
        <v>0</v>
      </c>
      <c r="O164" s="164">
        <f t="shared" si="24"/>
        <v>0</v>
      </c>
      <c r="P164" s="164">
        <f t="shared" si="25"/>
        <v>0</v>
      </c>
      <c r="Q164" s="164">
        <f t="shared" si="26"/>
        <v>0</v>
      </c>
      <c r="R164" s="164">
        <f t="shared" si="35"/>
        <v>0</v>
      </c>
      <c r="S164" s="164">
        <f t="shared" si="27"/>
        <v>0</v>
      </c>
      <c r="T164" s="164">
        <f t="shared" si="28"/>
        <v>0</v>
      </c>
    </row>
    <row r="165" spans="2:20" x14ac:dyDescent="0.2">
      <c r="B165" s="171"/>
      <c r="D165" s="171"/>
      <c r="F165" s="158">
        <v>154</v>
      </c>
      <c r="G165" s="249">
        <f t="shared" si="29"/>
        <v>48334</v>
      </c>
      <c r="H165" s="158">
        <f t="shared" si="33"/>
        <v>30</v>
      </c>
      <c r="I165" s="254">
        <f>VLOOKUP(G165,'Прогноз переменной ставки'!$B$5:$E$304,4,1)</f>
        <v>9.9000000000000005E-2</v>
      </c>
      <c r="J165" s="164">
        <f t="shared" si="30"/>
        <v>0</v>
      </c>
      <c r="K165" s="164">
        <f t="shared" si="31"/>
        <v>0</v>
      </c>
      <c r="L165" s="164">
        <f t="shared" si="34"/>
        <v>0</v>
      </c>
      <c r="M165" s="164">
        <f t="shared" si="34"/>
        <v>0</v>
      </c>
      <c r="N165" s="164">
        <f t="shared" si="32"/>
        <v>0</v>
      </c>
      <c r="O165" s="164">
        <f t="shared" si="24"/>
        <v>0</v>
      </c>
      <c r="P165" s="164">
        <f t="shared" si="25"/>
        <v>0</v>
      </c>
      <c r="Q165" s="164">
        <f t="shared" si="26"/>
        <v>0</v>
      </c>
      <c r="R165" s="164">
        <f t="shared" si="35"/>
        <v>0</v>
      </c>
      <c r="S165" s="164">
        <f t="shared" si="27"/>
        <v>0</v>
      </c>
      <c r="T165" s="164">
        <f t="shared" si="28"/>
        <v>0</v>
      </c>
    </row>
    <row r="166" spans="2:20" x14ac:dyDescent="0.2">
      <c r="B166" s="171"/>
      <c r="D166" s="171"/>
      <c r="F166" s="158">
        <v>155</v>
      </c>
      <c r="G166" s="249">
        <f t="shared" si="29"/>
        <v>48365</v>
      </c>
      <c r="H166" s="158">
        <f t="shared" si="33"/>
        <v>31</v>
      </c>
      <c r="I166" s="254">
        <f>VLOOKUP(G166,'Прогноз переменной ставки'!$B$5:$E$304,4,1)</f>
        <v>9.9000000000000005E-2</v>
      </c>
      <c r="J166" s="164">
        <f t="shared" si="30"/>
        <v>0</v>
      </c>
      <c r="K166" s="164">
        <f t="shared" si="31"/>
        <v>0</v>
      </c>
      <c r="L166" s="164">
        <f t="shared" si="34"/>
        <v>0</v>
      </c>
      <c r="M166" s="164">
        <f t="shared" si="34"/>
        <v>0</v>
      </c>
      <c r="N166" s="164">
        <f t="shared" si="32"/>
        <v>0</v>
      </c>
      <c r="O166" s="164">
        <f t="shared" si="24"/>
        <v>0</v>
      </c>
      <c r="P166" s="164">
        <f t="shared" si="25"/>
        <v>0</v>
      </c>
      <c r="Q166" s="164">
        <f t="shared" si="26"/>
        <v>0</v>
      </c>
      <c r="R166" s="164">
        <f t="shared" si="35"/>
        <v>0</v>
      </c>
      <c r="S166" s="164">
        <f t="shared" si="27"/>
        <v>0</v>
      </c>
      <c r="T166" s="164">
        <f t="shared" si="28"/>
        <v>0</v>
      </c>
    </row>
    <row r="167" spans="2:20" x14ac:dyDescent="0.2">
      <c r="B167" s="171"/>
      <c r="D167" s="171"/>
      <c r="F167" s="158">
        <v>156</v>
      </c>
      <c r="G167" s="249">
        <f t="shared" si="29"/>
        <v>48395</v>
      </c>
      <c r="H167" s="158">
        <f t="shared" si="33"/>
        <v>30</v>
      </c>
      <c r="I167" s="254">
        <f>VLOOKUP(G167,'Прогноз переменной ставки'!$B$5:$E$304,4,1)</f>
        <v>9.9000000000000005E-2</v>
      </c>
      <c r="J167" s="164">
        <f t="shared" si="30"/>
        <v>0</v>
      </c>
      <c r="K167" s="164">
        <f t="shared" si="31"/>
        <v>0</v>
      </c>
      <c r="L167" s="164">
        <f t="shared" si="34"/>
        <v>0</v>
      </c>
      <c r="M167" s="164">
        <f t="shared" si="34"/>
        <v>0</v>
      </c>
      <c r="N167" s="164">
        <f t="shared" si="32"/>
        <v>0</v>
      </c>
      <c r="O167" s="164">
        <f t="shared" si="24"/>
        <v>0</v>
      </c>
      <c r="P167" s="164">
        <f t="shared" si="25"/>
        <v>0</v>
      </c>
      <c r="Q167" s="164">
        <f t="shared" si="26"/>
        <v>0</v>
      </c>
      <c r="R167" s="164">
        <f t="shared" si="35"/>
        <v>0</v>
      </c>
      <c r="S167" s="164">
        <f t="shared" si="27"/>
        <v>0</v>
      </c>
      <c r="T167" s="164">
        <f t="shared" si="28"/>
        <v>0</v>
      </c>
    </row>
    <row r="168" spans="2:20" x14ac:dyDescent="0.2">
      <c r="B168" s="171"/>
      <c r="D168" s="171"/>
      <c r="F168" s="158">
        <v>157</v>
      </c>
      <c r="G168" s="249">
        <f t="shared" si="29"/>
        <v>48426</v>
      </c>
      <c r="H168" s="158">
        <f t="shared" si="33"/>
        <v>31</v>
      </c>
      <c r="I168" s="254">
        <f>VLOOKUP(G168,'Прогноз переменной ставки'!$B$5:$E$304,4,1)</f>
        <v>9.9000000000000005E-2</v>
      </c>
      <c r="J168" s="164">
        <f t="shared" si="30"/>
        <v>0</v>
      </c>
      <c r="K168" s="164">
        <f t="shared" si="31"/>
        <v>0</v>
      </c>
      <c r="L168" s="164">
        <f t="shared" si="34"/>
        <v>0</v>
      </c>
      <c r="M168" s="164">
        <f t="shared" si="34"/>
        <v>0</v>
      </c>
      <c r="N168" s="164">
        <f t="shared" si="32"/>
        <v>0</v>
      </c>
      <c r="O168" s="164">
        <f t="shared" si="24"/>
        <v>0</v>
      </c>
      <c r="P168" s="164">
        <f t="shared" si="25"/>
        <v>0</v>
      </c>
      <c r="Q168" s="164">
        <f t="shared" si="26"/>
        <v>0</v>
      </c>
      <c r="R168" s="164">
        <f t="shared" si="35"/>
        <v>0</v>
      </c>
      <c r="S168" s="164">
        <f t="shared" si="27"/>
        <v>0</v>
      </c>
      <c r="T168" s="164">
        <f t="shared" si="28"/>
        <v>0</v>
      </c>
    </row>
    <row r="169" spans="2:20" x14ac:dyDescent="0.2">
      <c r="B169" s="171"/>
      <c r="D169" s="171"/>
      <c r="F169" s="158">
        <v>158</v>
      </c>
      <c r="G169" s="249">
        <f t="shared" si="29"/>
        <v>48457</v>
      </c>
      <c r="H169" s="158">
        <f t="shared" si="33"/>
        <v>31</v>
      </c>
      <c r="I169" s="254">
        <f>VLOOKUP(G169,'Прогноз переменной ставки'!$B$5:$E$304,4,1)</f>
        <v>9.9000000000000005E-2</v>
      </c>
      <c r="J169" s="164">
        <f t="shared" si="30"/>
        <v>0</v>
      </c>
      <c r="K169" s="164">
        <f t="shared" si="31"/>
        <v>0</v>
      </c>
      <c r="L169" s="164">
        <f t="shared" si="34"/>
        <v>0</v>
      </c>
      <c r="M169" s="164">
        <f t="shared" si="34"/>
        <v>0</v>
      </c>
      <c r="N169" s="164">
        <f t="shared" si="32"/>
        <v>0</v>
      </c>
      <c r="O169" s="164">
        <f t="shared" si="24"/>
        <v>0</v>
      </c>
      <c r="P169" s="164">
        <f t="shared" si="25"/>
        <v>0</v>
      </c>
      <c r="Q169" s="164">
        <f t="shared" si="26"/>
        <v>0</v>
      </c>
      <c r="R169" s="164">
        <f t="shared" si="35"/>
        <v>0</v>
      </c>
      <c r="S169" s="164">
        <f t="shared" si="27"/>
        <v>0</v>
      </c>
      <c r="T169" s="164">
        <f t="shared" si="28"/>
        <v>0</v>
      </c>
    </row>
    <row r="170" spans="2:20" x14ac:dyDescent="0.2">
      <c r="B170" s="171"/>
      <c r="D170" s="171"/>
      <c r="F170" s="158">
        <v>159</v>
      </c>
      <c r="G170" s="249">
        <f t="shared" si="29"/>
        <v>48487</v>
      </c>
      <c r="H170" s="158">
        <f t="shared" si="33"/>
        <v>30</v>
      </c>
      <c r="I170" s="254">
        <f>VLOOKUP(G170,'Прогноз переменной ставки'!$B$5:$E$304,4,1)</f>
        <v>9.9000000000000005E-2</v>
      </c>
      <c r="J170" s="164">
        <f t="shared" si="30"/>
        <v>0</v>
      </c>
      <c r="K170" s="164">
        <f t="shared" si="31"/>
        <v>0</v>
      </c>
      <c r="L170" s="164">
        <f t="shared" si="34"/>
        <v>0</v>
      </c>
      <c r="M170" s="164">
        <f t="shared" si="34"/>
        <v>0</v>
      </c>
      <c r="N170" s="164">
        <f t="shared" si="32"/>
        <v>0</v>
      </c>
      <c r="O170" s="164">
        <f t="shared" si="24"/>
        <v>0</v>
      </c>
      <c r="P170" s="164">
        <f t="shared" si="25"/>
        <v>0</v>
      </c>
      <c r="Q170" s="164">
        <f t="shared" si="26"/>
        <v>0</v>
      </c>
      <c r="R170" s="164">
        <f t="shared" si="35"/>
        <v>0</v>
      </c>
      <c r="S170" s="164">
        <f t="shared" si="27"/>
        <v>0</v>
      </c>
      <c r="T170" s="164">
        <f t="shared" si="28"/>
        <v>0</v>
      </c>
    </row>
    <row r="171" spans="2:20" x14ac:dyDescent="0.2">
      <c r="B171" s="171"/>
      <c r="D171" s="171"/>
      <c r="F171" s="158">
        <v>160</v>
      </c>
      <c r="G171" s="249">
        <f t="shared" si="29"/>
        <v>48518</v>
      </c>
      <c r="H171" s="158">
        <f t="shared" si="33"/>
        <v>31</v>
      </c>
      <c r="I171" s="254">
        <f>VLOOKUP(G171,'Прогноз переменной ставки'!$B$5:$E$304,4,1)</f>
        <v>9.9000000000000005E-2</v>
      </c>
      <c r="J171" s="164">
        <f t="shared" si="30"/>
        <v>0</v>
      </c>
      <c r="K171" s="164">
        <f t="shared" si="31"/>
        <v>0</v>
      </c>
      <c r="L171" s="164">
        <f t="shared" si="34"/>
        <v>0</v>
      </c>
      <c r="M171" s="164">
        <f t="shared" si="34"/>
        <v>0</v>
      </c>
      <c r="N171" s="164">
        <f t="shared" si="32"/>
        <v>0</v>
      </c>
      <c r="O171" s="164">
        <f t="shared" si="24"/>
        <v>0</v>
      </c>
      <c r="P171" s="164">
        <f t="shared" si="25"/>
        <v>0</v>
      </c>
      <c r="Q171" s="164">
        <f t="shared" si="26"/>
        <v>0</v>
      </c>
      <c r="R171" s="164">
        <f t="shared" si="35"/>
        <v>0</v>
      </c>
      <c r="S171" s="164">
        <f t="shared" si="27"/>
        <v>0</v>
      </c>
      <c r="T171" s="164">
        <f t="shared" si="28"/>
        <v>0</v>
      </c>
    </row>
    <row r="172" spans="2:20" x14ac:dyDescent="0.2">
      <c r="B172" s="171"/>
      <c r="D172" s="171"/>
      <c r="F172" s="158">
        <v>161</v>
      </c>
      <c r="G172" s="249">
        <f t="shared" si="29"/>
        <v>48548</v>
      </c>
      <c r="H172" s="158">
        <f t="shared" si="33"/>
        <v>30</v>
      </c>
      <c r="I172" s="254">
        <f>VLOOKUP(G172,'Прогноз переменной ставки'!$B$5:$E$304,4,1)</f>
        <v>9.9000000000000005E-2</v>
      </c>
      <c r="J172" s="164">
        <f t="shared" si="30"/>
        <v>0</v>
      </c>
      <c r="K172" s="164">
        <f t="shared" si="31"/>
        <v>0</v>
      </c>
      <c r="L172" s="164">
        <f t="shared" si="34"/>
        <v>0</v>
      </c>
      <c r="M172" s="164">
        <f t="shared" si="34"/>
        <v>0</v>
      </c>
      <c r="N172" s="164">
        <f t="shared" si="32"/>
        <v>0</v>
      </c>
      <c r="O172" s="164">
        <f t="shared" si="24"/>
        <v>0</v>
      </c>
      <c r="P172" s="164">
        <f t="shared" si="25"/>
        <v>0</v>
      </c>
      <c r="Q172" s="164">
        <f t="shared" si="26"/>
        <v>0</v>
      </c>
      <c r="R172" s="164">
        <f t="shared" si="35"/>
        <v>0</v>
      </c>
      <c r="S172" s="164">
        <f t="shared" si="27"/>
        <v>0</v>
      </c>
      <c r="T172" s="164">
        <f t="shared" si="28"/>
        <v>0</v>
      </c>
    </row>
    <row r="173" spans="2:20" x14ac:dyDescent="0.2">
      <c r="B173" s="171"/>
      <c r="D173" s="171"/>
      <c r="F173" s="158">
        <v>162</v>
      </c>
      <c r="G173" s="249">
        <f t="shared" si="29"/>
        <v>48579</v>
      </c>
      <c r="H173" s="158">
        <f t="shared" si="33"/>
        <v>31</v>
      </c>
      <c r="I173" s="254">
        <f>VLOOKUP(G173,'Прогноз переменной ставки'!$B$5:$E$304,4,1)</f>
        <v>9.9000000000000005E-2</v>
      </c>
      <c r="J173" s="164">
        <f t="shared" si="30"/>
        <v>0</v>
      </c>
      <c r="K173" s="164">
        <f t="shared" si="31"/>
        <v>0</v>
      </c>
      <c r="L173" s="164">
        <f t="shared" si="34"/>
        <v>0</v>
      </c>
      <c r="M173" s="164">
        <f t="shared" si="34"/>
        <v>0</v>
      </c>
      <c r="N173" s="164">
        <f t="shared" si="32"/>
        <v>0</v>
      </c>
      <c r="O173" s="164">
        <f t="shared" si="24"/>
        <v>0</v>
      </c>
      <c r="P173" s="164">
        <f t="shared" si="25"/>
        <v>0</v>
      </c>
      <c r="Q173" s="164">
        <f t="shared" si="26"/>
        <v>0</v>
      </c>
      <c r="R173" s="164">
        <f t="shared" si="35"/>
        <v>0</v>
      </c>
      <c r="S173" s="164">
        <f t="shared" si="27"/>
        <v>0</v>
      </c>
      <c r="T173" s="164">
        <f t="shared" si="28"/>
        <v>0</v>
      </c>
    </row>
    <row r="174" spans="2:20" x14ac:dyDescent="0.2">
      <c r="B174" s="171"/>
      <c r="D174" s="171"/>
      <c r="F174" s="158">
        <v>163</v>
      </c>
      <c r="G174" s="249">
        <f t="shared" si="29"/>
        <v>48610</v>
      </c>
      <c r="H174" s="158">
        <f t="shared" si="33"/>
        <v>31</v>
      </c>
      <c r="I174" s="254">
        <f>VLOOKUP(G174,'Прогноз переменной ставки'!$B$5:$E$304,4,1)</f>
        <v>9.9000000000000005E-2</v>
      </c>
      <c r="J174" s="164">
        <f t="shared" si="30"/>
        <v>0</v>
      </c>
      <c r="K174" s="164">
        <f t="shared" si="31"/>
        <v>0</v>
      </c>
      <c r="L174" s="164">
        <f t="shared" si="34"/>
        <v>0</v>
      </c>
      <c r="M174" s="164">
        <f t="shared" si="34"/>
        <v>0</v>
      </c>
      <c r="N174" s="164">
        <f t="shared" si="32"/>
        <v>0</v>
      </c>
      <c r="O174" s="164">
        <f t="shared" si="24"/>
        <v>0</v>
      </c>
      <c r="P174" s="164">
        <f t="shared" si="25"/>
        <v>0</v>
      </c>
      <c r="Q174" s="164">
        <f t="shared" si="26"/>
        <v>0</v>
      </c>
      <c r="R174" s="164">
        <f t="shared" si="35"/>
        <v>0</v>
      </c>
      <c r="S174" s="164">
        <f t="shared" si="27"/>
        <v>0</v>
      </c>
      <c r="T174" s="164">
        <f t="shared" si="28"/>
        <v>0</v>
      </c>
    </row>
    <row r="175" spans="2:20" x14ac:dyDescent="0.2">
      <c r="B175" s="171"/>
      <c r="D175" s="171"/>
      <c r="F175" s="158">
        <v>164</v>
      </c>
      <c r="G175" s="249">
        <f t="shared" si="29"/>
        <v>48638</v>
      </c>
      <c r="H175" s="158">
        <f t="shared" si="33"/>
        <v>28</v>
      </c>
      <c r="I175" s="254">
        <f>VLOOKUP(G175,'Прогноз переменной ставки'!$B$5:$E$304,4,1)</f>
        <v>9.9000000000000005E-2</v>
      </c>
      <c r="J175" s="164">
        <f t="shared" si="30"/>
        <v>0</v>
      </c>
      <c r="K175" s="164">
        <f t="shared" si="31"/>
        <v>0</v>
      </c>
      <c r="L175" s="164">
        <f t="shared" si="34"/>
        <v>0</v>
      </c>
      <c r="M175" s="164">
        <f t="shared" si="34"/>
        <v>0</v>
      </c>
      <c r="N175" s="164">
        <f t="shared" si="32"/>
        <v>0</v>
      </c>
      <c r="O175" s="164">
        <f t="shared" si="24"/>
        <v>0</v>
      </c>
      <c r="P175" s="164">
        <f t="shared" si="25"/>
        <v>0</v>
      </c>
      <c r="Q175" s="164">
        <f t="shared" si="26"/>
        <v>0</v>
      </c>
      <c r="R175" s="164">
        <f t="shared" si="35"/>
        <v>0</v>
      </c>
      <c r="S175" s="164">
        <f t="shared" si="27"/>
        <v>0</v>
      </c>
      <c r="T175" s="164">
        <f t="shared" si="28"/>
        <v>0</v>
      </c>
    </row>
    <row r="176" spans="2:20" x14ac:dyDescent="0.2">
      <c r="B176" s="171"/>
      <c r="D176" s="171"/>
      <c r="F176" s="158">
        <v>165</v>
      </c>
      <c r="G176" s="249">
        <f t="shared" si="29"/>
        <v>48669</v>
      </c>
      <c r="H176" s="158">
        <f t="shared" si="33"/>
        <v>31</v>
      </c>
      <c r="I176" s="254">
        <f>VLOOKUP(G176,'Прогноз переменной ставки'!$B$5:$E$304,4,1)</f>
        <v>9.9000000000000005E-2</v>
      </c>
      <c r="J176" s="164">
        <f t="shared" si="30"/>
        <v>0</v>
      </c>
      <c r="K176" s="164">
        <f t="shared" si="31"/>
        <v>0</v>
      </c>
      <c r="L176" s="164">
        <f t="shared" si="34"/>
        <v>0</v>
      </c>
      <c r="M176" s="164">
        <f t="shared" si="34"/>
        <v>0</v>
      </c>
      <c r="N176" s="164">
        <f t="shared" si="32"/>
        <v>0</v>
      </c>
      <c r="O176" s="164">
        <f t="shared" si="24"/>
        <v>0</v>
      </c>
      <c r="P176" s="164">
        <f t="shared" si="25"/>
        <v>0</v>
      </c>
      <c r="Q176" s="164">
        <f t="shared" si="26"/>
        <v>0</v>
      </c>
      <c r="R176" s="164">
        <f t="shared" si="35"/>
        <v>0</v>
      </c>
      <c r="S176" s="164">
        <f t="shared" si="27"/>
        <v>0</v>
      </c>
      <c r="T176" s="164">
        <f t="shared" si="28"/>
        <v>0</v>
      </c>
    </row>
    <row r="177" spans="2:20" x14ac:dyDescent="0.2">
      <c r="B177" s="171"/>
      <c r="D177" s="171"/>
      <c r="F177" s="158">
        <v>166</v>
      </c>
      <c r="G177" s="249">
        <f t="shared" si="29"/>
        <v>48699</v>
      </c>
      <c r="H177" s="158">
        <f t="shared" si="33"/>
        <v>30</v>
      </c>
      <c r="I177" s="254">
        <f>VLOOKUP(G177,'Прогноз переменной ставки'!$B$5:$E$304,4,1)</f>
        <v>9.9000000000000005E-2</v>
      </c>
      <c r="J177" s="164">
        <f t="shared" si="30"/>
        <v>0</v>
      </c>
      <c r="K177" s="164">
        <f t="shared" si="31"/>
        <v>0</v>
      </c>
      <c r="L177" s="164">
        <f t="shared" si="34"/>
        <v>0</v>
      </c>
      <c r="M177" s="164">
        <f t="shared" si="34"/>
        <v>0</v>
      </c>
      <c r="N177" s="164">
        <f t="shared" si="32"/>
        <v>0</v>
      </c>
      <c r="O177" s="164">
        <f t="shared" si="24"/>
        <v>0</v>
      </c>
      <c r="P177" s="164">
        <f t="shared" si="25"/>
        <v>0</v>
      </c>
      <c r="Q177" s="164">
        <f t="shared" si="26"/>
        <v>0</v>
      </c>
      <c r="R177" s="164">
        <f t="shared" si="35"/>
        <v>0</v>
      </c>
      <c r="S177" s="164">
        <f t="shared" si="27"/>
        <v>0</v>
      </c>
      <c r="T177" s="164">
        <f t="shared" si="28"/>
        <v>0</v>
      </c>
    </row>
    <row r="178" spans="2:20" x14ac:dyDescent="0.2">
      <c r="B178" s="171"/>
      <c r="D178" s="171"/>
      <c r="F178" s="158">
        <v>167</v>
      </c>
      <c r="G178" s="249">
        <f t="shared" si="29"/>
        <v>48730</v>
      </c>
      <c r="H178" s="158">
        <f t="shared" si="33"/>
        <v>31</v>
      </c>
      <c r="I178" s="254">
        <f>VLOOKUP(G178,'Прогноз переменной ставки'!$B$5:$E$304,4,1)</f>
        <v>9.9000000000000005E-2</v>
      </c>
      <c r="J178" s="164">
        <f t="shared" si="30"/>
        <v>0</v>
      </c>
      <c r="K178" s="164">
        <f t="shared" si="31"/>
        <v>0</v>
      </c>
      <c r="L178" s="164">
        <f t="shared" si="34"/>
        <v>0</v>
      </c>
      <c r="M178" s="164">
        <f t="shared" si="34"/>
        <v>0</v>
      </c>
      <c r="N178" s="164">
        <f t="shared" si="32"/>
        <v>0</v>
      </c>
      <c r="O178" s="164">
        <f t="shared" si="24"/>
        <v>0</v>
      </c>
      <c r="P178" s="164">
        <f t="shared" si="25"/>
        <v>0</v>
      </c>
      <c r="Q178" s="164">
        <f t="shared" si="26"/>
        <v>0</v>
      </c>
      <c r="R178" s="164">
        <f t="shared" si="35"/>
        <v>0</v>
      </c>
      <c r="S178" s="164">
        <f t="shared" si="27"/>
        <v>0</v>
      </c>
      <c r="T178" s="164">
        <f t="shared" si="28"/>
        <v>0</v>
      </c>
    </row>
    <row r="179" spans="2:20" x14ac:dyDescent="0.2">
      <c r="B179" s="171"/>
      <c r="D179" s="171"/>
      <c r="F179" s="158">
        <v>168</v>
      </c>
      <c r="G179" s="249">
        <f t="shared" si="29"/>
        <v>48760</v>
      </c>
      <c r="H179" s="158">
        <f t="shared" si="33"/>
        <v>30</v>
      </c>
      <c r="I179" s="254">
        <f>VLOOKUP(G179,'Прогноз переменной ставки'!$B$5:$E$304,4,1)</f>
        <v>9.9000000000000005E-2</v>
      </c>
      <c r="J179" s="164">
        <f t="shared" si="30"/>
        <v>0</v>
      </c>
      <c r="K179" s="164">
        <f t="shared" si="31"/>
        <v>0</v>
      </c>
      <c r="L179" s="164">
        <f t="shared" si="34"/>
        <v>0</v>
      </c>
      <c r="M179" s="164">
        <f t="shared" si="34"/>
        <v>0</v>
      </c>
      <c r="N179" s="164">
        <f t="shared" si="32"/>
        <v>0</v>
      </c>
      <c r="O179" s="164">
        <f t="shared" si="24"/>
        <v>0</v>
      </c>
      <c r="P179" s="164">
        <f t="shared" si="25"/>
        <v>0</v>
      </c>
      <c r="Q179" s="164">
        <f t="shared" si="26"/>
        <v>0</v>
      </c>
      <c r="R179" s="164">
        <f t="shared" si="35"/>
        <v>0</v>
      </c>
      <c r="S179" s="164">
        <f t="shared" si="27"/>
        <v>0</v>
      </c>
      <c r="T179" s="164">
        <f t="shared" si="28"/>
        <v>0</v>
      </c>
    </row>
    <row r="180" spans="2:20" x14ac:dyDescent="0.2">
      <c r="B180" s="171"/>
      <c r="D180" s="171"/>
      <c r="F180" s="158">
        <v>169</v>
      </c>
      <c r="G180" s="249">
        <f t="shared" si="29"/>
        <v>48791</v>
      </c>
      <c r="H180" s="158">
        <f t="shared" si="33"/>
        <v>31</v>
      </c>
      <c r="I180" s="254">
        <f>VLOOKUP(G180,'Прогноз переменной ставки'!$B$5:$E$304,4,1)</f>
        <v>9.9000000000000005E-2</v>
      </c>
      <c r="J180" s="164">
        <f t="shared" si="30"/>
        <v>0</v>
      </c>
      <c r="K180" s="164">
        <f t="shared" si="31"/>
        <v>0</v>
      </c>
      <c r="L180" s="164">
        <f t="shared" si="34"/>
        <v>0</v>
      </c>
      <c r="M180" s="164">
        <f t="shared" si="34"/>
        <v>0</v>
      </c>
      <c r="N180" s="164">
        <f t="shared" si="32"/>
        <v>0</v>
      </c>
      <c r="O180" s="164">
        <f t="shared" si="24"/>
        <v>0</v>
      </c>
      <c r="P180" s="164">
        <f t="shared" si="25"/>
        <v>0</v>
      </c>
      <c r="Q180" s="164">
        <f t="shared" si="26"/>
        <v>0</v>
      </c>
      <c r="R180" s="164">
        <f t="shared" si="35"/>
        <v>0</v>
      </c>
      <c r="S180" s="164">
        <f t="shared" si="27"/>
        <v>0</v>
      </c>
      <c r="T180" s="164">
        <f t="shared" si="28"/>
        <v>0</v>
      </c>
    </row>
    <row r="181" spans="2:20" x14ac:dyDescent="0.2">
      <c r="B181" s="171"/>
      <c r="D181" s="171"/>
      <c r="F181" s="158">
        <v>170</v>
      </c>
      <c r="G181" s="249">
        <f t="shared" si="29"/>
        <v>48822</v>
      </c>
      <c r="H181" s="158">
        <f t="shared" si="33"/>
        <v>31</v>
      </c>
      <c r="I181" s="254">
        <f>VLOOKUP(G181,'Прогноз переменной ставки'!$B$5:$E$304,4,1)</f>
        <v>9.9000000000000005E-2</v>
      </c>
      <c r="J181" s="164">
        <f t="shared" si="30"/>
        <v>0</v>
      </c>
      <c r="K181" s="164">
        <f t="shared" si="31"/>
        <v>0</v>
      </c>
      <c r="L181" s="164">
        <f t="shared" si="34"/>
        <v>0</v>
      </c>
      <c r="M181" s="164">
        <f t="shared" si="34"/>
        <v>0</v>
      </c>
      <c r="N181" s="164">
        <f t="shared" si="32"/>
        <v>0</v>
      </c>
      <c r="O181" s="164">
        <f t="shared" si="24"/>
        <v>0</v>
      </c>
      <c r="P181" s="164">
        <f t="shared" si="25"/>
        <v>0</v>
      </c>
      <c r="Q181" s="164">
        <f t="shared" si="26"/>
        <v>0</v>
      </c>
      <c r="R181" s="164">
        <f t="shared" si="35"/>
        <v>0</v>
      </c>
      <c r="S181" s="164">
        <f t="shared" si="27"/>
        <v>0</v>
      </c>
      <c r="T181" s="164">
        <f t="shared" si="28"/>
        <v>0</v>
      </c>
    </row>
    <row r="182" spans="2:20" x14ac:dyDescent="0.2">
      <c r="B182" s="171"/>
      <c r="D182" s="171"/>
      <c r="F182" s="158">
        <v>171</v>
      </c>
      <c r="G182" s="249">
        <f t="shared" si="29"/>
        <v>48852</v>
      </c>
      <c r="H182" s="158">
        <f t="shared" si="33"/>
        <v>30</v>
      </c>
      <c r="I182" s="254">
        <f>VLOOKUP(G182,'Прогноз переменной ставки'!$B$5:$E$304,4,1)</f>
        <v>9.9000000000000005E-2</v>
      </c>
      <c r="J182" s="164">
        <f t="shared" si="30"/>
        <v>0</v>
      </c>
      <c r="K182" s="164">
        <f t="shared" si="31"/>
        <v>0</v>
      </c>
      <c r="L182" s="164">
        <f t="shared" si="34"/>
        <v>0</v>
      </c>
      <c r="M182" s="164">
        <f t="shared" si="34"/>
        <v>0</v>
      </c>
      <c r="N182" s="164">
        <f t="shared" si="32"/>
        <v>0</v>
      </c>
      <c r="O182" s="164">
        <f t="shared" si="24"/>
        <v>0</v>
      </c>
      <c r="P182" s="164">
        <f t="shared" si="25"/>
        <v>0</v>
      </c>
      <c r="Q182" s="164">
        <f t="shared" si="26"/>
        <v>0</v>
      </c>
      <c r="R182" s="164">
        <f t="shared" si="35"/>
        <v>0</v>
      </c>
      <c r="S182" s="164">
        <f t="shared" si="27"/>
        <v>0</v>
      </c>
      <c r="T182" s="164">
        <f t="shared" si="28"/>
        <v>0</v>
      </c>
    </row>
    <row r="183" spans="2:20" x14ac:dyDescent="0.2">
      <c r="B183" s="171"/>
      <c r="D183" s="171"/>
      <c r="F183" s="158">
        <v>172</v>
      </c>
      <c r="G183" s="249">
        <f t="shared" si="29"/>
        <v>48883</v>
      </c>
      <c r="H183" s="158">
        <f t="shared" si="33"/>
        <v>31</v>
      </c>
      <c r="I183" s="254">
        <f>VLOOKUP(G183,'Прогноз переменной ставки'!$B$5:$E$304,4,1)</f>
        <v>9.9000000000000005E-2</v>
      </c>
      <c r="J183" s="164">
        <f t="shared" si="30"/>
        <v>0</v>
      </c>
      <c r="K183" s="164">
        <f t="shared" si="31"/>
        <v>0</v>
      </c>
      <c r="L183" s="164">
        <f t="shared" si="34"/>
        <v>0</v>
      </c>
      <c r="M183" s="164">
        <f t="shared" si="34"/>
        <v>0</v>
      </c>
      <c r="N183" s="164">
        <f t="shared" si="32"/>
        <v>0</v>
      </c>
      <c r="O183" s="164">
        <f t="shared" si="24"/>
        <v>0</v>
      </c>
      <c r="P183" s="164">
        <f t="shared" si="25"/>
        <v>0</v>
      </c>
      <c r="Q183" s="164">
        <f t="shared" si="26"/>
        <v>0</v>
      </c>
      <c r="R183" s="164">
        <f t="shared" si="35"/>
        <v>0</v>
      </c>
      <c r="S183" s="164">
        <f t="shared" si="27"/>
        <v>0</v>
      </c>
      <c r="T183" s="164">
        <f t="shared" si="28"/>
        <v>0</v>
      </c>
    </row>
    <row r="184" spans="2:20" x14ac:dyDescent="0.2">
      <c r="B184" s="171"/>
      <c r="D184" s="171"/>
      <c r="F184" s="158">
        <v>173</v>
      </c>
      <c r="G184" s="249">
        <f t="shared" si="29"/>
        <v>48913</v>
      </c>
      <c r="H184" s="158">
        <f t="shared" si="33"/>
        <v>30</v>
      </c>
      <c r="I184" s="254">
        <f>VLOOKUP(G184,'Прогноз переменной ставки'!$B$5:$E$304,4,1)</f>
        <v>9.9000000000000005E-2</v>
      </c>
      <c r="J184" s="164">
        <f t="shared" si="30"/>
        <v>0</v>
      </c>
      <c r="K184" s="164">
        <f t="shared" si="31"/>
        <v>0</v>
      </c>
      <c r="L184" s="164">
        <f t="shared" si="34"/>
        <v>0</v>
      </c>
      <c r="M184" s="164">
        <f t="shared" si="34"/>
        <v>0</v>
      </c>
      <c r="N184" s="164">
        <f t="shared" si="32"/>
        <v>0</v>
      </c>
      <c r="O184" s="164">
        <f t="shared" si="24"/>
        <v>0</v>
      </c>
      <c r="P184" s="164">
        <f t="shared" si="25"/>
        <v>0</v>
      </c>
      <c r="Q184" s="164">
        <f t="shared" si="26"/>
        <v>0</v>
      </c>
      <c r="R184" s="164">
        <f t="shared" si="35"/>
        <v>0</v>
      </c>
      <c r="S184" s="164">
        <f t="shared" si="27"/>
        <v>0</v>
      </c>
      <c r="T184" s="164">
        <f t="shared" si="28"/>
        <v>0</v>
      </c>
    </row>
    <row r="185" spans="2:20" x14ac:dyDescent="0.2">
      <c r="B185" s="171"/>
      <c r="D185" s="171"/>
      <c r="F185" s="158">
        <v>174</v>
      </c>
      <c r="G185" s="249">
        <f t="shared" si="29"/>
        <v>48944</v>
      </c>
      <c r="H185" s="158">
        <f t="shared" si="33"/>
        <v>31</v>
      </c>
      <c r="I185" s="254">
        <f>VLOOKUP(G185,'Прогноз переменной ставки'!$B$5:$E$304,4,1)</f>
        <v>9.9000000000000005E-2</v>
      </c>
      <c r="J185" s="164">
        <f t="shared" si="30"/>
        <v>0</v>
      </c>
      <c r="K185" s="164">
        <f t="shared" si="31"/>
        <v>0</v>
      </c>
      <c r="L185" s="164">
        <f t="shared" si="34"/>
        <v>0</v>
      </c>
      <c r="M185" s="164">
        <f t="shared" si="34"/>
        <v>0</v>
      </c>
      <c r="N185" s="164">
        <f t="shared" si="32"/>
        <v>0</v>
      </c>
      <c r="O185" s="164">
        <f t="shared" si="24"/>
        <v>0</v>
      </c>
      <c r="P185" s="164">
        <f t="shared" si="25"/>
        <v>0</v>
      </c>
      <c r="Q185" s="164">
        <f t="shared" si="26"/>
        <v>0</v>
      </c>
      <c r="R185" s="164">
        <f t="shared" si="35"/>
        <v>0</v>
      </c>
      <c r="S185" s="164">
        <f t="shared" si="27"/>
        <v>0</v>
      </c>
      <c r="T185" s="164">
        <f t="shared" si="28"/>
        <v>0</v>
      </c>
    </row>
    <row r="186" spans="2:20" x14ac:dyDescent="0.2">
      <c r="B186" s="171"/>
      <c r="D186" s="171"/>
      <c r="F186" s="158">
        <v>175</v>
      </c>
      <c r="G186" s="249">
        <f t="shared" si="29"/>
        <v>48975</v>
      </c>
      <c r="H186" s="158">
        <f t="shared" si="33"/>
        <v>31</v>
      </c>
      <c r="I186" s="254">
        <f>VLOOKUP(G186,'Прогноз переменной ставки'!$B$5:$E$304,4,1)</f>
        <v>9.9000000000000005E-2</v>
      </c>
      <c r="J186" s="164">
        <f t="shared" si="30"/>
        <v>0</v>
      </c>
      <c r="K186" s="164">
        <f t="shared" si="31"/>
        <v>0</v>
      </c>
      <c r="L186" s="164">
        <f t="shared" si="34"/>
        <v>0</v>
      </c>
      <c r="M186" s="164">
        <f t="shared" si="34"/>
        <v>0</v>
      </c>
      <c r="N186" s="164">
        <f t="shared" si="32"/>
        <v>0</v>
      </c>
      <c r="O186" s="164">
        <f t="shared" si="24"/>
        <v>0</v>
      </c>
      <c r="P186" s="164">
        <f t="shared" si="25"/>
        <v>0</v>
      </c>
      <c r="Q186" s="164">
        <f t="shared" si="26"/>
        <v>0</v>
      </c>
      <c r="R186" s="164">
        <f t="shared" si="35"/>
        <v>0</v>
      </c>
      <c r="S186" s="164">
        <f t="shared" si="27"/>
        <v>0</v>
      </c>
      <c r="T186" s="164">
        <f t="shared" si="28"/>
        <v>0</v>
      </c>
    </row>
    <row r="187" spans="2:20" x14ac:dyDescent="0.2">
      <c r="B187" s="171"/>
      <c r="D187" s="171"/>
      <c r="F187" s="158">
        <v>176</v>
      </c>
      <c r="G187" s="249">
        <f t="shared" si="29"/>
        <v>49003</v>
      </c>
      <c r="H187" s="158">
        <f t="shared" si="33"/>
        <v>28</v>
      </c>
      <c r="I187" s="254">
        <f>VLOOKUP(G187,'Прогноз переменной ставки'!$B$5:$E$304,4,1)</f>
        <v>9.9000000000000005E-2</v>
      </c>
      <c r="J187" s="164">
        <f t="shared" si="30"/>
        <v>0</v>
      </c>
      <c r="K187" s="164">
        <f t="shared" si="31"/>
        <v>0</v>
      </c>
      <c r="L187" s="164">
        <f t="shared" si="34"/>
        <v>0</v>
      </c>
      <c r="M187" s="164">
        <f t="shared" si="34"/>
        <v>0</v>
      </c>
      <c r="N187" s="164">
        <f t="shared" si="32"/>
        <v>0</v>
      </c>
      <c r="O187" s="164">
        <f t="shared" si="24"/>
        <v>0</v>
      </c>
      <c r="P187" s="164">
        <f t="shared" si="25"/>
        <v>0</v>
      </c>
      <c r="Q187" s="164">
        <f t="shared" si="26"/>
        <v>0</v>
      </c>
      <c r="R187" s="164">
        <f t="shared" si="35"/>
        <v>0</v>
      </c>
      <c r="S187" s="164">
        <f t="shared" si="27"/>
        <v>0</v>
      </c>
      <c r="T187" s="164">
        <f t="shared" si="28"/>
        <v>0</v>
      </c>
    </row>
    <row r="188" spans="2:20" x14ac:dyDescent="0.2">
      <c r="B188" s="171"/>
      <c r="D188" s="171"/>
      <c r="F188" s="158">
        <v>177</v>
      </c>
      <c r="G188" s="249">
        <f t="shared" si="29"/>
        <v>49034</v>
      </c>
      <c r="H188" s="158">
        <f t="shared" si="33"/>
        <v>31</v>
      </c>
      <c r="I188" s="254">
        <f>VLOOKUP(G188,'Прогноз переменной ставки'!$B$5:$E$304,4,1)</f>
        <v>9.9000000000000005E-2</v>
      </c>
      <c r="J188" s="164">
        <f t="shared" si="30"/>
        <v>0</v>
      </c>
      <c r="K188" s="164">
        <f t="shared" si="31"/>
        <v>0</v>
      </c>
      <c r="L188" s="164">
        <f t="shared" si="34"/>
        <v>0</v>
      </c>
      <c r="M188" s="164">
        <f t="shared" si="34"/>
        <v>0</v>
      </c>
      <c r="N188" s="164">
        <f t="shared" si="32"/>
        <v>0</v>
      </c>
      <c r="O188" s="164">
        <f t="shared" si="24"/>
        <v>0</v>
      </c>
      <c r="P188" s="164">
        <f t="shared" si="25"/>
        <v>0</v>
      </c>
      <c r="Q188" s="164">
        <f t="shared" si="26"/>
        <v>0</v>
      </c>
      <c r="R188" s="164">
        <f t="shared" si="35"/>
        <v>0</v>
      </c>
      <c r="S188" s="164">
        <f t="shared" si="27"/>
        <v>0</v>
      </c>
      <c r="T188" s="164">
        <f t="shared" si="28"/>
        <v>0</v>
      </c>
    </row>
    <row r="189" spans="2:20" x14ac:dyDescent="0.2">
      <c r="B189" s="171"/>
      <c r="D189" s="171"/>
      <c r="F189" s="158">
        <v>178</v>
      </c>
      <c r="G189" s="249">
        <f t="shared" si="29"/>
        <v>49064</v>
      </c>
      <c r="H189" s="158">
        <f t="shared" si="33"/>
        <v>30</v>
      </c>
      <c r="I189" s="254">
        <f>VLOOKUP(G189,'Прогноз переменной ставки'!$B$5:$E$304,4,1)</f>
        <v>9.9000000000000005E-2</v>
      </c>
      <c r="J189" s="164">
        <f t="shared" si="30"/>
        <v>0</v>
      </c>
      <c r="K189" s="164">
        <f t="shared" si="31"/>
        <v>0</v>
      </c>
      <c r="L189" s="164">
        <f t="shared" si="34"/>
        <v>0</v>
      </c>
      <c r="M189" s="164">
        <f t="shared" si="34"/>
        <v>0</v>
      </c>
      <c r="N189" s="164">
        <f t="shared" si="32"/>
        <v>0</v>
      </c>
      <c r="O189" s="164">
        <f t="shared" si="24"/>
        <v>0</v>
      </c>
      <c r="P189" s="164">
        <f t="shared" si="25"/>
        <v>0</v>
      </c>
      <c r="Q189" s="164">
        <f t="shared" si="26"/>
        <v>0</v>
      </c>
      <c r="R189" s="164">
        <f t="shared" si="35"/>
        <v>0</v>
      </c>
      <c r="S189" s="164">
        <f t="shared" si="27"/>
        <v>0</v>
      </c>
      <c r="T189" s="164">
        <f t="shared" si="28"/>
        <v>0</v>
      </c>
    </row>
    <row r="190" spans="2:20" x14ac:dyDescent="0.2">
      <c r="B190" s="171"/>
      <c r="D190" s="171"/>
      <c r="F190" s="158">
        <v>179</v>
      </c>
      <c r="G190" s="249">
        <f t="shared" si="29"/>
        <v>49095</v>
      </c>
      <c r="H190" s="158">
        <f t="shared" si="33"/>
        <v>31</v>
      </c>
      <c r="I190" s="254">
        <f>VLOOKUP(G190,'Прогноз переменной ставки'!$B$5:$E$304,4,1)</f>
        <v>9.9000000000000005E-2</v>
      </c>
      <c r="J190" s="164">
        <f t="shared" si="30"/>
        <v>0</v>
      </c>
      <c r="K190" s="164">
        <f t="shared" si="31"/>
        <v>0</v>
      </c>
      <c r="L190" s="164">
        <f t="shared" si="34"/>
        <v>0</v>
      </c>
      <c r="M190" s="164">
        <f t="shared" si="34"/>
        <v>0</v>
      </c>
      <c r="N190" s="164">
        <f t="shared" si="32"/>
        <v>0</v>
      </c>
      <c r="O190" s="164">
        <f t="shared" si="24"/>
        <v>0</v>
      </c>
      <c r="P190" s="164">
        <f t="shared" si="25"/>
        <v>0</v>
      </c>
      <c r="Q190" s="164">
        <f t="shared" si="26"/>
        <v>0</v>
      </c>
      <c r="R190" s="164">
        <f t="shared" si="35"/>
        <v>0</v>
      </c>
      <c r="S190" s="164">
        <f t="shared" si="27"/>
        <v>0</v>
      </c>
      <c r="T190" s="164">
        <f t="shared" si="28"/>
        <v>0</v>
      </c>
    </row>
    <row r="191" spans="2:20" x14ac:dyDescent="0.2">
      <c r="B191" s="171"/>
      <c r="D191" s="171"/>
      <c r="F191" s="158">
        <v>180</v>
      </c>
      <c r="G191" s="249">
        <f t="shared" si="29"/>
        <v>49125</v>
      </c>
      <c r="H191" s="158">
        <f t="shared" si="33"/>
        <v>30</v>
      </c>
      <c r="I191" s="254">
        <f>VLOOKUP(G191,'Прогноз переменной ставки'!$B$5:$E$304,4,1)</f>
        <v>9.9000000000000005E-2</v>
      </c>
      <c r="J191" s="164">
        <f t="shared" si="30"/>
        <v>0</v>
      </c>
      <c r="K191" s="164">
        <f t="shared" si="31"/>
        <v>0</v>
      </c>
      <c r="L191" s="164">
        <f t="shared" si="34"/>
        <v>0</v>
      </c>
      <c r="M191" s="164">
        <f t="shared" si="34"/>
        <v>0</v>
      </c>
      <c r="N191" s="164">
        <f t="shared" si="32"/>
        <v>0</v>
      </c>
      <c r="O191" s="164">
        <f t="shared" si="24"/>
        <v>0</v>
      </c>
      <c r="P191" s="164">
        <f t="shared" si="25"/>
        <v>0</v>
      </c>
      <c r="Q191" s="164">
        <f t="shared" si="26"/>
        <v>0</v>
      </c>
      <c r="R191" s="164">
        <f t="shared" si="35"/>
        <v>0</v>
      </c>
      <c r="S191" s="164">
        <f t="shared" si="27"/>
        <v>0</v>
      </c>
      <c r="T191" s="164">
        <f t="shared" si="28"/>
        <v>0</v>
      </c>
    </row>
    <row r="192" spans="2:20" x14ac:dyDescent="0.2">
      <c r="B192" s="171"/>
      <c r="D192" s="171"/>
      <c r="F192" s="158">
        <v>181</v>
      </c>
      <c r="G192" s="249">
        <f t="shared" si="29"/>
        <v>49156</v>
      </c>
      <c r="H192" s="158">
        <f t="shared" si="33"/>
        <v>31</v>
      </c>
      <c r="I192" s="254">
        <f>VLOOKUP(G192,'Прогноз переменной ставки'!$B$5:$E$304,4,1)</f>
        <v>9.9000000000000005E-2</v>
      </c>
      <c r="J192" s="164">
        <f t="shared" si="30"/>
        <v>0</v>
      </c>
      <c r="K192" s="164">
        <f t="shared" si="31"/>
        <v>0</v>
      </c>
      <c r="L192" s="164">
        <f t="shared" si="34"/>
        <v>0</v>
      </c>
      <c r="M192" s="164">
        <f t="shared" si="34"/>
        <v>0</v>
      </c>
      <c r="N192" s="164">
        <f t="shared" si="32"/>
        <v>0</v>
      </c>
      <c r="O192" s="164">
        <f t="shared" si="24"/>
        <v>0</v>
      </c>
      <c r="P192" s="164">
        <f t="shared" si="25"/>
        <v>0</v>
      </c>
      <c r="Q192" s="164">
        <f t="shared" si="26"/>
        <v>0</v>
      </c>
      <c r="R192" s="164">
        <f t="shared" si="35"/>
        <v>0</v>
      </c>
      <c r="S192" s="164">
        <f t="shared" si="27"/>
        <v>0</v>
      </c>
      <c r="T192" s="164">
        <f t="shared" si="28"/>
        <v>0</v>
      </c>
    </row>
    <row r="193" spans="2:20" x14ac:dyDescent="0.2">
      <c r="B193" s="171"/>
      <c r="D193" s="171"/>
      <c r="F193" s="158">
        <v>182</v>
      </c>
      <c r="G193" s="249">
        <f t="shared" si="29"/>
        <v>49187</v>
      </c>
      <c r="H193" s="158">
        <f t="shared" si="33"/>
        <v>31</v>
      </c>
      <c r="I193" s="254">
        <f>VLOOKUP(G193,'Прогноз переменной ставки'!$B$5:$E$304,4,1)</f>
        <v>9.9000000000000005E-2</v>
      </c>
      <c r="J193" s="164">
        <f t="shared" si="30"/>
        <v>0</v>
      </c>
      <c r="K193" s="164">
        <f t="shared" si="31"/>
        <v>0</v>
      </c>
      <c r="L193" s="164">
        <f t="shared" si="34"/>
        <v>0</v>
      </c>
      <c r="M193" s="164">
        <f t="shared" si="34"/>
        <v>0</v>
      </c>
      <c r="N193" s="164">
        <f t="shared" si="32"/>
        <v>0</v>
      </c>
      <c r="O193" s="164">
        <f t="shared" si="24"/>
        <v>0</v>
      </c>
      <c r="P193" s="164">
        <f t="shared" si="25"/>
        <v>0</v>
      </c>
      <c r="Q193" s="164">
        <f t="shared" si="26"/>
        <v>0</v>
      </c>
      <c r="R193" s="164">
        <f t="shared" si="35"/>
        <v>0</v>
      </c>
      <c r="S193" s="164">
        <f t="shared" si="27"/>
        <v>0</v>
      </c>
      <c r="T193" s="164">
        <f t="shared" si="28"/>
        <v>0</v>
      </c>
    </row>
    <row r="194" spans="2:20" x14ac:dyDescent="0.2">
      <c r="B194" s="171"/>
      <c r="D194" s="171"/>
      <c r="F194" s="158">
        <v>183</v>
      </c>
      <c r="G194" s="249">
        <f t="shared" si="29"/>
        <v>49217</v>
      </c>
      <c r="H194" s="158">
        <f t="shared" si="33"/>
        <v>30</v>
      </c>
      <c r="I194" s="254">
        <f>VLOOKUP(G194,'Прогноз переменной ставки'!$B$5:$E$304,4,1)</f>
        <v>9.9000000000000005E-2</v>
      </c>
      <c r="J194" s="164">
        <f t="shared" si="30"/>
        <v>0</v>
      </c>
      <c r="K194" s="164">
        <f t="shared" si="31"/>
        <v>0</v>
      </c>
      <c r="L194" s="164">
        <f t="shared" si="34"/>
        <v>0</v>
      </c>
      <c r="M194" s="164">
        <f t="shared" si="34"/>
        <v>0</v>
      </c>
      <c r="N194" s="164">
        <f t="shared" si="32"/>
        <v>0</v>
      </c>
      <c r="O194" s="164">
        <f t="shared" si="24"/>
        <v>0</v>
      </c>
      <c r="P194" s="164">
        <f t="shared" si="25"/>
        <v>0</v>
      </c>
      <c r="Q194" s="164">
        <f t="shared" si="26"/>
        <v>0</v>
      </c>
      <c r="R194" s="164">
        <f t="shared" si="35"/>
        <v>0</v>
      </c>
      <c r="S194" s="164">
        <f t="shared" si="27"/>
        <v>0</v>
      </c>
      <c r="T194" s="164">
        <f t="shared" si="28"/>
        <v>0</v>
      </c>
    </row>
    <row r="195" spans="2:20" x14ac:dyDescent="0.2">
      <c r="B195" s="171"/>
      <c r="D195" s="171"/>
      <c r="F195" s="158">
        <v>184</v>
      </c>
      <c r="G195" s="249">
        <f t="shared" si="29"/>
        <v>49248</v>
      </c>
      <c r="H195" s="158">
        <f t="shared" si="33"/>
        <v>31</v>
      </c>
      <c r="I195" s="254">
        <f>VLOOKUP(G195,'Прогноз переменной ставки'!$B$5:$E$304,4,1)</f>
        <v>9.9000000000000005E-2</v>
      </c>
      <c r="J195" s="164">
        <f t="shared" si="30"/>
        <v>0</v>
      </c>
      <c r="K195" s="164">
        <f t="shared" si="31"/>
        <v>0</v>
      </c>
      <c r="L195" s="164">
        <f t="shared" si="34"/>
        <v>0</v>
      </c>
      <c r="M195" s="164">
        <f t="shared" si="34"/>
        <v>0</v>
      </c>
      <c r="N195" s="164">
        <f t="shared" si="32"/>
        <v>0</v>
      </c>
      <c r="O195" s="164">
        <f t="shared" si="24"/>
        <v>0</v>
      </c>
      <c r="P195" s="164">
        <f t="shared" si="25"/>
        <v>0</v>
      </c>
      <c r="Q195" s="164">
        <f t="shared" si="26"/>
        <v>0</v>
      </c>
      <c r="R195" s="164">
        <f t="shared" si="35"/>
        <v>0</v>
      </c>
      <c r="S195" s="164">
        <f t="shared" si="27"/>
        <v>0</v>
      </c>
      <c r="T195" s="164">
        <f t="shared" si="28"/>
        <v>0</v>
      </c>
    </row>
    <row r="196" spans="2:20" x14ac:dyDescent="0.2">
      <c r="B196" s="171"/>
      <c r="D196" s="171"/>
      <c r="F196" s="158">
        <v>185</v>
      </c>
      <c r="G196" s="249">
        <f t="shared" si="29"/>
        <v>49278</v>
      </c>
      <c r="H196" s="158">
        <f t="shared" si="33"/>
        <v>30</v>
      </c>
      <c r="I196" s="254">
        <f>VLOOKUP(G196,'Прогноз переменной ставки'!$B$5:$E$304,4,1)</f>
        <v>9.9000000000000005E-2</v>
      </c>
      <c r="J196" s="164">
        <f t="shared" si="30"/>
        <v>0</v>
      </c>
      <c r="K196" s="164">
        <f t="shared" si="31"/>
        <v>0</v>
      </c>
      <c r="L196" s="164">
        <f t="shared" si="34"/>
        <v>0</v>
      </c>
      <c r="M196" s="164">
        <f t="shared" si="34"/>
        <v>0</v>
      </c>
      <c r="N196" s="164">
        <f t="shared" si="32"/>
        <v>0</v>
      </c>
      <c r="O196" s="164">
        <f t="shared" si="24"/>
        <v>0</v>
      </c>
      <c r="P196" s="164">
        <f t="shared" si="25"/>
        <v>0</v>
      </c>
      <c r="Q196" s="164">
        <f t="shared" si="26"/>
        <v>0</v>
      </c>
      <c r="R196" s="164">
        <f t="shared" si="35"/>
        <v>0</v>
      </c>
      <c r="S196" s="164">
        <f t="shared" si="27"/>
        <v>0</v>
      </c>
      <c r="T196" s="164">
        <f t="shared" si="28"/>
        <v>0</v>
      </c>
    </row>
    <row r="197" spans="2:20" x14ac:dyDescent="0.2">
      <c r="B197" s="171"/>
      <c r="D197" s="171"/>
      <c r="F197" s="158">
        <v>186</v>
      </c>
      <c r="G197" s="249">
        <f t="shared" si="29"/>
        <v>49309</v>
      </c>
      <c r="H197" s="158">
        <f t="shared" si="33"/>
        <v>31</v>
      </c>
      <c r="I197" s="254">
        <f>VLOOKUP(G197,'Прогноз переменной ставки'!$B$5:$E$304,4,1)</f>
        <v>9.9000000000000005E-2</v>
      </c>
      <c r="J197" s="164">
        <f t="shared" si="30"/>
        <v>0</v>
      </c>
      <c r="K197" s="164">
        <f t="shared" si="31"/>
        <v>0</v>
      </c>
      <c r="L197" s="164">
        <f t="shared" si="34"/>
        <v>0</v>
      </c>
      <c r="M197" s="164">
        <f t="shared" si="34"/>
        <v>0</v>
      </c>
      <c r="N197" s="164">
        <f t="shared" si="32"/>
        <v>0</v>
      </c>
      <c r="O197" s="164">
        <f t="shared" si="24"/>
        <v>0</v>
      </c>
      <c r="P197" s="164">
        <f t="shared" si="25"/>
        <v>0</v>
      </c>
      <c r="Q197" s="164">
        <f t="shared" si="26"/>
        <v>0</v>
      </c>
      <c r="R197" s="164">
        <f t="shared" si="35"/>
        <v>0</v>
      </c>
      <c r="S197" s="164">
        <f t="shared" si="27"/>
        <v>0</v>
      </c>
      <c r="T197" s="164">
        <f t="shared" si="28"/>
        <v>0</v>
      </c>
    </row>
    <row r="198" spans="2:20" x14ac:dyDescent="0.2">
      <c r="B198" s="171"/>
      <c r="D198" s="171"/>
      <c r="F198" s="158">
        <v>187</v>
      </c>
      <c r="G198" s="249">
        <f t="shared" si="29"/>
        <v>49340</v>
      </c>
      <c r="H198" s="158">
        <f t="shared" si="33"/>
        <v>31</v>
      </c>
      <c r="I198" s="254">
        <f>VLOOKUP(G198,'Прогноз переменной ставки'!$B$5:$E$304,4,1)</f>
        <v>9.9000000000000005E-2</v>
      </c>
      <c r="J198" s="164">
        <f t="shared" si="30"/>
        <v>0</v>
      </c>
      <c r="K198" s="164">
        <f t="shared" si="31"/>
        <v>0</v>
      </c>
      <c r="L198" s="164">
        <f t="shared" si="34"/>
        <v>0</v>
      </c>
      <c r="M198" s="164">
        <f t="shared" si="34"/>
        <v>0</v>
      </c>
      <c r="N198" s="164">
        <f t="shared" si="32"/>
        <v>0</v>
      </c>
      <c r="O198" s="164">
        <f t="shared" si="24"/>
        <v>0</v>
      </c>
      <c r="P198" s="164">
        <f t="shared" si="25"/>
        <v>0</v>
      </c>
      <c r="Q198" s="164">
        <f t="shared" si="26"/>
        <v>0</v>
      </c>
      <c r="R198" s="164">
        <f t="shared" si="35"/>
        <v>0</v>
      </c>
      <c r="S198" s="164">
        <f t="shared" si="27"/>
        <v>0</v>
      </c>
      <c r="T198" s="164">
        <f t="shared" si="28"/>
        <v>0</v>
      </c>
    </row>
    <row r="199" spans="2:20" x14ac:dyDescent="0.2">
      <c r="B199" s="171"/>
      <c r="D199" s="171"/>
      <c r="F199" s="158">
        <v>188</v>
      </c>
      <c r="G199" s="249">
        <f t="shared" si="29"/>
        <v>49368</v>
      </c>
      <c r="H199" s="158">
        <f t="shared" si="33"/>
        <v>28</v>
      </c>
      <c r="I199" s="254">
        <f>VLOOKUP(G199,'Прогноз переменной ставки'!$B$5:$E$304,4,1)</f>
        <v>9.9000000000000005E-2</v>
      </c>
      <c r="J199" s="164">
        <f t="shared" si="30"/>
        <v>0</v>
      </c>
      <c r="K199" s="164">
        <f t="shared" si="31"/>
        <v>0</v>
      </c>
      <c r="L199" s="164">
        <f t="shared" si="34"/>
        <v>0</v>
      </c>
      <c r="M199" s="164">
        <f t="shared" si="34"/>
        <v>0</v>
      </c>
      <c r="N199" s="164">
        <f t="shared" si="32"/>
        <v>0</v>
      </c>
      <c r="O199" s="164">
        <f t="shared" si="24"/>
        <v>0</v>
      </c>
      <c r="P199" s="164">
        <f t="shared" si="25"/>
        <v>0</v>
      </c>
      <c r="Q199" s="164">
        <f t="shared" si="26"/>
        <v>0</v>
      </c>
      <c r="R199" s="164">
        <f t="shared" si="35"/>
        <v>0</v>
      </c>
      <c r="S199" s="164">
        <f t="shared" si="27"/>
        <v>0</v>
      </c>
      <c r="T199" s="164">
        <f t="shared" si="28"/>
        <v>0</v>
      </c>
    </row>
    <row r="200" spans="2:20" x14ac:dyDescent="0.2">
      <c r="B200" s="171"/>
      <c r="D200" s="171"/>
      <c r="F200" s="158">
        <v>189</v>
      </c>
      <c r="G200" s="249">
        <f t="shared" si="29"/>
        <v>49399</v>
      </c>
      <c r="H200" s="158">
        <f t="shared" si="33"/>
        <v>31</v>
      </c>
      <c r="I200" s="254">
        <f>VLOOKUP(G200,'Прогноз переменной ставки'!$B$5:$E$304,4,1)</f>
        <v>9.9000000000000005E-2</v>
      </c>
      <c r="J200" s="164">
        <f t="shared" si="30"/>
        <v>0</v>
      </c>
      <c r="K200" s="164">
        <f t="shared" si="31"/>
        <v>0</v>
      </c>
      <c r="L200" s="164">
        <f t="shared" si="34"/>
        <v>0</v>
      </c>
      <c r="M200" s="164">
        <f t="shared" si="34"/>
        <v>0</v>
      </c>
      <c r="N200" s="164">
        <f t="shared" si="32"/>
        <v>0</v>
      </c>
      <c r="O200" s="164">
        <f t="shared" si="24"/>
        <v>0</v>
      </c>
      <c r="P200" s="164">
        <f t="shared" si="25"/>
        <v>0</v>
      </c>
      <c r="Q200" s="164">
        <f t="shared" si="26"/>
        <v>0</v>
      </c>
      <c r="R200" s="164">
        <f t="shared" si="35"/>
        <v>0</v>
      </c>
      <c r="S200" s="164">
        <f t="shared" si="27"/>
        <v>0</v>
      </c>
      <c r="T200" s="164">
        <f t="shared" si="28"/>
        <v>0</v>
      </c>
    </row>
    <row r="201" spans="2:20" x14ac:dyDescent="0.2">
      <c r="B201" s="171"/>
      <c r="D201" s="171"/>
      <c r="F201" s="158">
        <v>190</v>
      </c>
      <c r="G201" s="249">
        <f t="shared" si="29"/>
        <v>49429</v>
      </c>
      <c r="H201" s="158">
        <f t="shared" si="33"/>
        <v>30</v>
      </c>
      <c r="I201" s="254">
        <f>VLOOKUP(G201,'Прогноз переменной ставки'!$B$5:$E$304,4,1)</f>
        <v>9.9000000000000005E-2</v>
      </c>
      <c r="J201" s="164">
        <f t="shared" si="30"/>
        <v>0</v>
      </c>
      <c r="K201" s="164">
        <f t="shared" si="31"/>
        <v>0</v>
      </c>
      <c r="L201" s="164">
        <f t="shared" si="34"/>
        <v>0</v>
      </c>
      <c r="M201" s="164">
        <f t="shared" si="34"/>
        <v>0</v>
      </c>
      <c r="N201" s="164">
        <f t="shared" si="32"/>
        <v>0</v>
      </c>
      <c r="O201" s="164">
        <f t="shared" si="24"/>
        <v>0</v>
      </c>
      <c r="P201" s="164">
        <f t="shared" si="25"/>
        <v>0</v>
      </c>
      <c r="Q201" s="164">
        <f t="shared" si="26"/>
        <v>0</v>
      </c>
      <c r="R201" s="164">
        <f t="shared" si="35"/>
        <v>0</v>
      </c>
      <c r="S201" s="164">
        <f t="shared" si="27"/>
        <v>0</v>
      </c>
      <c r="T201" s="164">
        <f t="shared" si="28"/>
        <v>0</v>
      </c>
    </row>
    <row r="202" spans="2:20" x14ac:dyDescent="0.2">
      <c r="B202" s="171"/>
      <c r="D202" s="171"/>
      <c r="F202" s="158">
        <v>191</v>
      </c>
      <c r="G202" s="249">
        <f t="shared" si="29"/>
        <v>49460</v>
      </c>
      <c r="H202" s="158">
        <f t="shared" si="33"/>
        <v>31</v>
      </c>
      <c r="I202" s="254">
        <f>VLOOKUP(G202,'Прогноз переменной ставки'!$B$5:$E$304,4,1)</f>
        <v>9.9000000000000005E-2</v>
      </c>
      <c r="J202" s="164">
        <f t="shared" si="30"/>
        <v>0</v>
      </c>
      <c r="K202" s="164">
        <f t="shared" si="31"/>
        <v>0</v>
      </c>
      <c r="L202" s="164">
        <f t="shared" si="34"/>
        <v>0</v>
      </c>
      <c r="M202" s="164">
        <f t="shared" si="34"/>
        <v>0</v>
      </c>
      <c r="N202" s="164">
        <f t="shared" si="32"/>
        <v>0</v>
      </c>
      <c r="O202" s="164">
        <f t="shared" si="24"/>
        <v>0</v>
      </c>
      <c r="P202" s="164">
        <f t="shared" si="25"/>
        <v>0</v>
      </c>
      <c r="Q202" s="164">
        <f t="shared" si="26"/>
        <v>0</v>
      </c>
      <c r="R202" s="164">
        <f t="shared" si="35"/>
        <v>0</v>
      </c>
      <c r="S202" s="164">
        <f t="shared" si="27"/>
        <v>0</v>
      </c>
      <c r="T202" s="164">
        <f t="shared" si="28"/>
        <v>0</v>
      </c>
    </row>
    <row r="203" spans="2:20" x14ac:dyDescent="0.2">
      <c r="B203" s="171"/>
      <c r="D203" s="171"/>
      <c r="F203" s="158">
        <v>192</v>
      </c>
      <c r="G203" s="249">
        <f t="shared" si="29"/>
        <v>49490</v>
      </c>
      <c r="H203" s="158">
        <f t="shared" si="33"/>
        <v>30</v>
      </c>
      <c r="I203" s="254">
        <f>VLOOKUP(G203,'Прогноз переменной ставки'!$B$5:$E$304,4,1)</f>
        <v>9.9000000000000005E-2</v>
      </c>
      <c r="J203" s="164">
        <f t="shared" si="30"/>
        <v>0</v>
      </c>
      <c r="K203" s="164">
        <f t="shared" si="31"/>
        <v>0</v>
      </c>
      <c r="L203" s="164">
        <f t="shared" si="34"/>
        <v>0</v>
      </c>
      <c r="M203" s="164">
        <f t="shared" si="34"/>
        <v>0</v>
      </c>
      <c r="N203" s="164">
        <f t="shared" si="32"/>
        <v>0</v>
      </c>
      <c r="O203" s="164">
        <f t="shared" si="24"/>
        <v>0</v>
      </c>
      <c r="P203" s="164">
        <f t="shared" si="25"/>
        <v>0</v>
      </c>
      <c r="Q203" s="164">
        <f t="shared" si="26"/>
        <v>0</v>
      </c>
      <c r="R203" s="164">
        <f t="shared" si="35"/>
        <v>0</v>
      </c>
      <c r="S203" s="164">
        <f t="shared" si="27"/>
        <v>0</v>
      </c>
      <c r="T203" s="164">
        <f t="shared" si="28"/>
        <v>0</v>
      </c>
    </row>
    <row r="204" spans="2:20" x14ac:dyDescent="0.2">
      <c r="B204" s="171"/>
      <c r="D204" s="171"/>
      <c r="F204" s="158">
        <v>193</v>
      </c>
      <c r="G204" s="249">
        <f t="shared" si="29"/>
        <v>49521</v>
      </c>
      <c r="H204" s="158">
        <f t="shared" si="33"/>
        <v>31</v>
      </c>
      <c r="I204" s="254">
        <f>VLOOKUP(G204,'Прогноз переменной ставки'!$B$5:$E$304,4,1)</f>
        <v>9.9000000000000005E-2</v>
      </c>
      <c r="J204" s="164">
        <f t="shared" si="30"/>
        <v>0</v>
      </c>
      <c r="K204" s="164">
        <f t="shared" si="31"/>
        <v>0</v>
      </c>
      <c r="L204" s="164">
        <f t="shared" si="34"/>
        <v>0</v>
      </c>
      <c r="M204" s="164">
        <f t="shared" si="34"/>
        <v>0</v>
      </c>
      <c r="N204" s="164">
        <f t="shared" si="32"/>
        <v>0</v>
      </c>
      <c r="O204" s="164">
        <f t="shared" ref="O204:O267" si="36">MIN(J204-Q204-P204,L204)</f>
        <v>0</v>
      </c>
      <c r="P204" s="164">
        <f t="shared" ref="P204:P267" si="37">MIN(J204-Q204,N204)</f>
        <v>0</v>
      </c>
      <c r="Q204" s="164">
        <f t="shared" ref="Q204:Q267" si="38">MIN(J204,M204)</f>
        <v>0</v>
      </c>
      <c r="R204" s="164">
        <f t="shared" si="35"/>
        <v>0</v>
      </c>
      <c r="S204" s="164">
        <f t="shared" ref="S204:S267" si="39">L204-O204</f>
        <v>0</v>
      </c>
      <c r="T204" s="164">
        <f t="shared" ref="T204:T267" si="40">M204+R204-Q204</f>
        <v>0</v>
      </c>
    </row>
    <row r="205" spans="2:20" x14ac:dyDescent="0.2">
      <c r="B205" s="171"/>
      <c r="D205" s="171"/>
      <c r="F205" s="158">
        <v>194</v>
      </c>
      <c r="G205" s="249">
        <f t="shared" ref="G205:G268" si="41">EOMONTH($D$9,F205-1)</f>
        <v>49552</v>
      </c>
      <c r="H205" s="158">
        <f t="shared" si="33"/>
        <v>31</v>
      </c>
      <c r="I205" s="254">
        <f>VLOOKUP(G205,'Прогноз переменной ставки'!$B$5:$E$304,4,1)</f>
        <v>9.9000000000000005E-2</v>
      </c>
      <c r="J205" s="164">
        <f t="shared" ref="J205:J268" si="42">IF(F205=$D$4,K205+N205,MIN($D$5,K205+N205))</f>
        <v>0</v>
      </c>
      <c r="K205" s="164">
        <f t="shared" ref="K205:K268" si="43">L205+M205</f>
        <v>0</v>
      </c>
      <c r="L205" s="164">
        <f t="shared" si="34"/>
        <v>0</v>
      </c>
      <c r="M205" s="164">
        <f t="shared" si="34"/>
        <v>0</v>
      </c>
      <c r="N205" s="164">
        <f t="shared" ref="N205:N268" si="44">L205*I205/365.25*H205</f>
        <v>0</v>
      </c>
      <c r="O205" s="164">
        <f t="shared" si="36"/>
        <v>0</v>
      </c>
      <c r="P205" s="164">
        <f t="shared" si="37"/>
        <v>0</v>
      </c>
      <c r="Q205" s="164">
        <f t="shared" si="38"/>
        <v>0</v>
      </c>
      <c r="R205" s="164">
        <f t="shared" si="35"/>
        <v>0</v>
      </c>
      <c r="S205" s="164">
        <f t="shared" si="39"/>
        <v>0</v>
      </c>
      <c r="T205" s="164">
        <f t="shared" si="40"/>
        <v>0</v>
      </c>
    </row>
    <row r="206" spans="2:20" x14ac:dyDescent="0.2">
      <c r="B206" s="171"/>
      <c r="D206" s="171"/>
      <c r="F206" s="158">
        <v>195</v>
      </c>
      <c r="G206" s="249">
        <f t="shared" si="41"/>
        <v>49582</v>
      </c>
      <c r="H206" s="158">
        <f t="shared" ref="H206:H269" si="45">G206-G205</f>
        <v>30</v>
      </c>
      <c r="I206" s="254">
        <f>VLOOKUP(G206,'Прогноз переменной ставки'!$B$5:$E$304,4,1)</f>
        <v>9.9000000000000005E-2</v>
      </c>
      <c r="J206" s="164">
        <f t="shared" si="42"/>
        <v>0</v>
      </c>
      <c r="K206" s="164">
        <f t="shared" si="43"/>
        <v>0</v>
      </c>
      <c r="L206" s="164">
        <f t="shared" ref="L206:M221" si="46">S205</f>
        <v>0</v>
      </c>
      <c r="M206" s="164">
        <f t="shared" si="46"/>
        <v>0</v>
      </c>
      <c r="N206" s="164">
        <f t="shared" si="44"/>
        <v>0</v>
      </c>
      <c r="O206" s="164">
        <f t="shared" si="36"/>
        <v>0</v>
      </c>
      <c r="P206" s="164">
        <f t="shared" si="37"/>
        <v>0</v>
      </c>
      <c r="Q206" s="164">
        <f t="shared" si="38"/>
        <v>0</v>
      </c>
      <c r="R206" s="164">
        <f t="shared" ref="R206:R269" si="47">MAX(N206-P206,0)</f>
        <v>0</v>
      </c>
      <c r="S206" s="164">
        <f t="shared" si="39"/>
        <v>0</v>
      </c>
      <c r="T206" s="164">
        <f t="shared" si="40"/>
        <v>0</v>
      </c>
    </row>
    <row r="207" spans="2:20" x14ac:dyDescent="0.2">
      <c r="B207" s="171"/>
      <c r="D207" s="171"/>
      <c r="F207" s="158">
        <v>196</v>
      </c>
      <c r="G207" s="249">
        <f t="shared" si="41"/>
        <v>49613</v>
      </c>
      <c r="H207" s="158">
        <f t="shared" si="45"/>
        <v>31</v>
      </c>
      <c r="I207" s="254">
        <f>VLOOKUP(G207,'Прогноз переменной ставки'!$B$5:$E$304,4,1)</f>
        <v>9.9000000000000005E-2</v>
      </c>
      <c r="J207" s="164">
        <f t="shared" si="42"/>
        <v>0</v>
      </c>
      <c r="K207" s="164">
        <f t="shared" si="43"/>
        <v>0</v>
      </c>
      <c r="L207" s="164">
        <f t="shared" si="46"/>
        <v>0</v>
      </c>
      <c r="M207" s="164">
        <f t="shared" si="46"/>
        <v>0</v>
      </c>
      <c r="N207" s="164">
        <f t="shared" si="44"/>
        <v>0</v>
      </c>
      <c r="O207" s="164">
        <f t="shared" si="36"/>
        <v>0</v>
      </c>
      <c r="P207" s="164">
        <f t="shared" si="37"/>
        <v>0</v>
      </c>
      <c r="Q207" s="164">
        <f t="shared" si="38"/>
        <v>0</v>
      </c>
      <c r="R207" s="164">
        <f t="shared" si="47"/>
        <v>0</v>
      </c>
      <c r="S207" s="164">
        <f t="shared" si="39"/>
        <v>0</v>
      </c>
      <c r="T207" s="164">
        <f t="shared" si="40"/>
        <v>0</v>
      </c>
    </row>
    <row r="208" spans="2:20" x14ac:dyDescent="0.2">
      <c r="B208" s="171"/>
      <c r="D208" s="171"/>
      <c r="E208" s="171"/>
      <c r="F208" s="158">
        <v>197</v>
      </c>
      <c r="G208" s="249">
        <f t="shared" si="41"/>
        <v>49643</v>
      </c>
      <c r="H208" s="158">
        <f t="shared" si="45"/>
        <v>30</v>
      </c>
      <c r="I208" s="254">
        <f>VLOOKUP(G208,'Прогноз переменной ставки'!$B$5:$E$304,4,1)</f>
        <v>9.9000000000000005E-2</v>
      </c>
      <c r="J208" s="164">
        <f t="shared" si="42"/>
        <v>0</v>
      </c>
      <c r="K208" s="164">
        <f t="shared" si="43"/>
        <v>0</v>
      </c>
      <c r="L208" s="164">
        <f t="shared" si="46"/>
        <v>0</v>
      </c>
      <c r="M208" s="164">
        <f t="shared" si="46"/>
        <v>0</v>
      </c>
      <c r="N208" s="164">
        <f t="shared" si="44"/>
        <v>0</v>
      </c>
      <c r="O208" s="164">
        <f t="shared" si="36"/>
        <v>0</v>
      </c>
      <c r="P208" s="164">
        <f t="shared" si="37"/>
        <v>0</v>
      </c>
      <c r="Q208" s="164">
        <f t="shared" si="38"/>
        <v>0</v>
      </c>
      <c r="R208" s="164">
        <f t="shared" si="47"/>
        <v>0</v>
      </c>
      <c r="S208" s="164">
        <f t="shared" si="39"/>
        <v>0</v>
      </c>
      <c r="T208" s="164">
        <f t="shared" si="40"/>
        <v>0</v>
      </c>
    </row>
    <row r="209" spans="2:20" x14ac:dyDescent="0.2">
      <c r="B209" s="171"/>
      <c r="D209" s="171"/>
      <c r="E209" s="171"/>
      <c r="F209" s="158">
        <v>198</v>
      </c>
      <c r="G209" s="249">
        <f t="shared" si="41"/>
        <v>49674</v>
      </c>
      <c r="H209" s="158">
        <f t="shared" si="45"/>
        <v>31</v>
      </c>
      <c r="I209" s="254">
        <f>VLOOKUP(G209,'Прогноз переменной ставки'!$B$5:$E$304,4,1)</f>
        <v>9.9000000000000005E-2</v>
      </c>
      <c r="J209" s="164">
        <f t="shared" si="42"/>
        <v>0</v>
      </c>
      <c r="K209" s="164">
        <f t="shared" si="43"/>
        <v>0</v>
      </c>
      <c r="L209" s="164">
        <f t="shared" si="46"/>
        <v>0</v>
      </c>
      <c r="M209" s="164">
        <f t="shared" si="46"/>
        <v>0</v>
      </c>
      <c r="N209" s="164">
        <f t="shared" si="44"/>
        <v>0</v>
      </c>
      <c r="O209" s="164">
        <f t="shared" si="36"/>
        <v>0</v>
      </c>
      <c r="P209" s="164">
        <f t="shared" si="37"/>
        <v>0</v>
      </c>
      <c r="Q209" s="164">
        <f t="shared" si="38"/>
        <v>0</v>
      </c>
      <c r="R209" s="164">
        <f t="shared" si="47"/>
        <v>0</v>
      </c>
      <c r="S209" s="164">
        <f t="shared" si="39"/>
        <v>0</v>
      </c>
      <c r="T209" s="164">
        <f t="shared" si="40"/>
        <v>0</v>
      </c>
    </row>
    <row r="210" spans="2:20" x14ac:dyDescent="0.2">
      <c r="B210" s="171"/>
      <c r="D210" s="171"/>
      <c r="E210" s="171"/>
      <c r="F210" s="158">
        <v>199</v>
      </c>
      <c r="G210" s="249">
        <f t="shared" si="41"/>
        <v>49705</v>
      </c>
      <c r="H210" s="158">
        <f t="shared" si="45"/>
        <v>31</v>
      </c>
      <c r="I210" s="254">
        <f>VLOOKUP(G210,'Прогноз переменной ставки'!$B$5:$E$304,4,1)</f>
        <v>9.9000000000000005E-2</v>
      </c>
      <c r="J210" s="164">
        <f t="shared" si="42"/>
        <v>0</v>
      </c>
      <c r="K210" s="164">
        <f t="shared" si="43"/>
        <v>0</v>
      </c>
      <c r="L210" s="164">
        <f t="shared" si="46"/>
        <v>0</v>
      </c>
      <c r="M210" s="164">
        <f t="shared" si="46"/>
        <v>0</v>
      </c>
      <c r="N210" s="164">
        <f t="shared" si="44"/>
        <v>0</v>
      </c>
      <c r="O210" s="164">
        <f t="shared" si="36"/>
        <v>0</v>
      </c>
      <c r="P210" s="164">
        <f t="shared" si="37"/>
        <v>0</v>
      </c>
      <c r="Q210" s="164">
        <f t="shared" si="38"/>
        <v>0</v>
      </c>
      <c r="R210" s="164">
        <f t="shared" si="47"/>
        <v>0</v>
      </c>
      <c r="S210" s="164">
        <f t="shared" si="39"/>
        <v>0</v>
      </c>
      <c r="T210" s="164">
        <f t="shared" si="40"/>
        <v>0</v>
      </c>
    </row>
    <row r="211" spans="2:20" x14ac:dyDescent="0.2">
      <c r="B211" s="171"/>
      <c r="D211" s="171"/>
      <c r="E211" s="171"/>
      <c r="F211" s="158">
        <v>200</v>
      </c>
      <c r="G211" s="249">
        <f t="shared" si="41"/>
        <v>49734</v>
      </c>
      <c r="H211" s="158">
        <f t="shared" si="45"/>
        <v>29</v>
      </c>
      <c r="I211" s="254">
        <f>VLOOKUP(G211,'Прогноз переменной ставки'!$B$5:$E$304,4,1)</f>
        <v>9.9000000000000005E-2</v>
      </c>
      <c r="J211" s="164">
        <f t="shared" si="42"/>
        <v>0</v>
      </c>
      <c r="K211" s="164">
        <f t="shared" si="43"/>
        <v>0</v>
      </c>
      <c r="L211" s="164">
        <f t="shared" si="46"/>
        <v>0</v>
      </c>
      <c r="M211" s="164">
        <f t="shared" si="46"/>
        <v>0</v>
      </c>
      <c r="N211" s="164">
        <f t="shared" si="44"/>
        <v>0</v>
      </c>
      <c r="O211" s="164">
        <f t="shared" si="36"/>
        <v>0</v>
      </c>
      <c r="P211" s="164">
        <f t="shared" si="37"/>
        <v>0</v>
      </c>
      <c r="Q211" s="164">
        <f t="shared" si="38"/>
        <v>0</v>
      </c>
      <c r="R211" s="164">
        <f t="shared" si="47"/>
        <v>0</v>
      </c>
      <c r="S211" s="164">
        <f t="shared" si="39"/>
        <v>0</v>
      </c>
      <c r="T211" s="164">
        <f t="shared" si="40"/>
        <v>0</v>
      </c>
    </row>
    <row r="212" spans="2:20" x14ac:dyDescent="0.2">
      <c r="B212" s="171"/>
      <c r="D212" s="171"/>
      <c r="E212" s="171"/>
      <c r="F212" s="158">
        <v>201</v>
      </c>
      <c r="G212" s="249">
        <f t="shared" si="41"/>
        <v>49765</v>
      </c>
      <c r="H212" s="158">
        <f t="shared" si="45"/>
        <v>31</v>
      </c>
      <c r="I212" s="254">
        <f>VLOOKUP(G212,'Прогноз переменной ставки'!$B$5:$E$304,4,1)</f>
        <v>9.9000000000000005E-2</v>
      </c>
      <c r="J212" s="164">
        <f t="shared" si="42"/>
        <v>0</v>
      </c>
      <c r="K212" s="164">
        <f t="shared" si="43"/>
        <v>0</v>
      </c>
      <c r="L212" s="164">
        <f t="shared" si="46"/>
        <v>0</v>
      </c>
      <c r="M212" s="164">
        <f t="shared" si="46"/>
        <v>0</v>
      </c>
      <c r="N212" s="164">
        <f t="shared" si="44"/>
        <v>0</v>
      </c>
      <c r="O212" s="164">
        <f t="shared" si="36"/>
        <v>0</v>
      </c>
      <c r="P212" s="164">
        <f t="shared" si="37"/>
        <v>0</v>
      </c>
      <c r="Q212" s="164">
        <f t="shared" si="38"/>
        <v>0</v>
      </c>
      <c r="R212" s="164">
        <f t="shared" si="47"/>
        <v>0</v>
      </c>
      <c r="S212" s="164">
        <f t="shared" si="39"/>
        <v>0</v>
      </c>
      <c r="T212" s="164">
        <f t="shared" si="40"/>
        <v>0</v>
      </c>
    </row>
    <row r="213" spans="2:20" x14ac:dyDescent="0.2">
      <c r="B213" s="171"/>
      <c r="D213" s="171"/>
      <c r="E213" s="171"/>
      <c r="F213" s="158">
        <v>202</v>
      </c>
      <c r="G213" s="249">
        <f t="shared" si="41"/>
        <v>49795</v>
      </c>
      <c r="H213" s="158">
        <f t="shared" si="45"/>
        <v>30</v>
      </c>
      <c r="I213" s="254">
        <f>VLOOKUP(G213,'Прогноз переменной ставки'!$B$5:$E$304,4,1)</f>
        <v>9.9000000000000005E-2</v>
      </c>
      <c r="J213" s="164">
        <f t="shared" si="42"/>
        <v>0</v>
      </c>
      <c r="K213" s="164">
        <f t="shared" si="43"/>
        <v>0</v>
      </c>
      <c r="L213" s="164">
        <f t="shared" si="46"/>
        <v>0</v>
      </c>
      <c r="M213" s="164">
        <f t="shared" si="46"/>
        <v>0</v>
      </c>
      <c r="N213" s="164">
        <f t="shared" si="44"/>
        <v>0</v>
      </c>
      <c r="O213" s="164">
        <f t="shared" si="36"/>
        <v>0</v>
      </c>
      <c r="P213" s="164">
        <f t="shared" si="37"/>
        <v>0</v>
      </c>
      <c r="Q213" s="164">
        <f t="shared" si="38"/>
        <v>0</v>
      </c>
      <c r="R213" s="164">
        <f t="shared" si="47"/>
        <v>0</v>
      </c>
      <c r="S213" s="164">
        <f t="shared" si="39"/>
        <v>0</v>
      </c>
      <c r="T213" s="164">
        <f t="shared" si="40"/>
        <v>0</v>
      </c>
    </row>
    <row r="214" spans="2:20" x14ac:dyDescent="0.2">
      <c r="B214" s="171"/>
      <c r="D214" s="171"/>
      <c r="E214" s="171"/>
      <c r="F214" s="158">
        <v>203</v>
      </c>
      <c r="G214" s="249">
        <f t="shared" si="41"/>
        <v>49826</v>
      </c>
      <c r="H214" s="158">
        <f t="shared" si="45"/>
        <v>31</v>
      </c>
      <c r="I214" s="254">
        <f>VLOOKUP(G214,'Прогноз переменной ставки'!$B$5:$E$304,4,1)</f>
        <v>9.9000000000000005E-2</v>
      </c>
      <c r="J214" s="164">
        <f t="shared" si="42"/>
        <v>0</v>
      </c>
      <c r="K214" s="164">
        <f t="shared" si="43"/>
        <v>0</v>
      </c>
      <c r="L214" s="164">
        <f t="shared" si="46"/>
        <v>0</v>
      </c>
      <c r="M214" s="164">
        <f t="shared" si="46"/>
        <v>0</v>
      </c>
      <c r="N214" s="164">
        <f t="shared" si="44"/>
        <v>0</v>
      </c>
      <c r="O214" s="164">
        <f t="shared" si="36"/>
        <v>0</v>
      </c>
      <c r="P214" s="164">
        <f t="shared" si="37"/>
        <v>0</v>
      </c>
      <c r="Q214" s="164">
        <f t="shared" si="38"/>
        <v>0</v>
      </c>
      <c r="R214" s="164">
        <f t="shared" si="47"/>
        <v>0</v>
      </c>
      <c r="S214" s="164">
        <f t="shared" si="39"/>
        <v>0</v>
      </c>
      <c r="T214" s="164">
        <f t="shared" si="40"/>
        <v>0</v>
      </c>
    </row>
    <row r="215" spans="2:20" x14ac:dyDescent="0.2">
      <c r="B215" s="171"/>
      <c r="D215" s="171"/>
      <c r="E215" s="171"/>
      <c r="F215" s="158">
        <v>204</v>
      </c>
      <c r="G215" s="249">
        <f t="shared" si="41"/>
        <v>49856</v>
      </c>
      <c r="H215" s="158">
        <f t="shared" si="45"/>
        <v>30</v>
      </c>
      <c r="I215" s="254">
        <f>VLOOKUP(G215,'Прогноз переменной ставки'!$B$5:$E$304,4,1)</f>
        <v>9.9000000000000005E-2</v>
      </c>
      <c r="J215" s="164">
        <f t="shared" si="42"/>
        <v>0</v>
      </c>
      <c r="K215" s="164">
        <f t="shared" si="43"/>
        <v>0</v>
      </c>
      <c r="L215" s="164">
        <f t="shared" si="46"/>
        <v>0</v>
      </c>
      <c r="M215" s="164">
        <f t="shared" si="46"/>
        <v>0</v>
      </c>
      <c r="N215" s="164">
        <f t="shared" si="44"/>
        <v>0</v>
      </c>
      <c r="O215" s="164">
        <f t="shared" si="36"/>
        <v>0</v>
      </c>
      <c r="P215" s="164">
        <f t="shared" si="37"/>
        <v>0</v>
      </c>
      <c r="Q215" s="164">
        <f t="shared" si="38"/>
        <v>0</v>
      </c>
      <c r="R215" s="164">
        <f t="shared" si="47"/>
        <v>0</v>
      </c>
      <c r="S215" s="164">
        <f t="shared" si="39"/>
        <v>0</v>
      </c>
      <c r="T215" s="164">
        <f t="shared" si="40"/>
        <v>0</v>
      </c>
    </row>
    <row r="216" spans="2:20" x14ac:dyDescent="0.2">
      <c r="B216" s="171"/>
      <c r="D216" s="171"/>
      <c r="E216" s="171"/>
      <c r="F216" s="158">
        <v>205</v>
      </c>
      <c r="G216" s="249">
        <f t="shared" si="41"/>
        <v>49887</v>
      </c>
      <c r="H216" s="158">
        <f t="shared" si="45"/>
        <v>31</v>
      </c>
      <c r="I216" s="254">
        <f>VLOOKUP(G216,'Прогноз переменной ставки'!$B$5:$E$304,4,1)</f>
        <v>9.9000000000000005E-2</v>
      </c>
      <c r="J216" s="164">
        <f t="shared" si="42"/>
        <v>0</v>
      </c>
      <c r="K216" s="164">
        <f t="shared" si="43"/>
        <v>0</v>
      </c>
      <c r="L216" s="164">
        <f t="shared" si="46"/>
        <v>0</v>
      </c>
      <c r="M216" s="164">
        <f t="shared" si="46"/>
        <v>0</v>
      </c>
      <c r="N216" s="164">
        <f t="shared" si="44"/>
        <v>0</v>
      </c>
      <c r="O216" s="164">
        <f t="shared" si="36"/>
        <v>0</v>
      </c>
      <c r="P216" s="164">
        <f t="shared" si="37"/>
        <v>0</v>
      </c>
      <c r="Q216" s="164">
        <f t="shared" si="38"/>
        <v>0</v>
      </c>
      <c r="R216" s="164">
        <f t="shared" si="47"/>
        <v>0</v>
      </c>
      <c r="S216" s="164">
        <f t="shared" si="39"/>
        <v>0</v>
      </c>
      <c r="T216" s="164">
        <f t="shared" si="40"/>
        <v>0</v>
      </c>
    </row>
    <row r="217" spans="2:20" x14ac:dyDescent="0.2">
      <c r="B217" s="171"/>
      <c r="D217" s="171"/>
      <c r="E217" s="171"/>
      <c r="F217" s="158">
        <v>206</v>
      </c>
      <c r="G217" s="249">
        <f t="shared" si="41"/>
        <v>49918</v>
      </c>
      <c r="H217" s="158">
        <f t="shared" si="45"/>
        <v>31</v>
      </c>
      <c r="I217" s="254">
        <f>VLOOKUP(G217,'Прогноз переменной ставки'!$B$5:$E$304,4,1)</f>
        <v>9.9000000000000005E-2</v>
      </c>
      <c r="J217" s="164">
        <f t="shared" si="42"/>
        <v>0</v>
      </c>
      <c r="K217" s="164">
        <f t="shared" si="43"/>
        <v>0</v>
      </c>
      <c r="L217" s="164">
        <f t="shared" si="46"/>
        <v>0</v>
      </c>
      <c r="M217" s="164">
        <f t="shared" si="46"/>
        <v>0</v>
      </c>
      <c r="N217" s="164">
        <f t="shared" si="44"/>
        <v>0</v>
      </c>
      <c r="O217" s="164">
        <f t="shared" si="36"/>
        <v>0</v>
      </c>
      <c r="P217" s="164">
        <f t="shared" si="37"/>
        <v>0</v>
      </c>
      <c r="Q217" s="164">
        <f t="shared" si="38"/>
        <v>0</v>
      </c>
      <c r="R217" s="164">
        <f t="shared" si="47"/>
        <v>0</v>
      </c>
      <c r="S217" s="164">
        <f t="shared" si="39"/>
        <v>0</v>
      </c>
      <c r="T217" s="164">
        <f t="shared" si="40"/>
        <v>0</v>
      </c>
    </row>
    <row r="218" spans="2:20" x14ac:dyDescent="0.2">
      <c r="B218" s="171"/>
      <c r="D218" s="171"/>
      <c r="E218" s="171"/>
      <c r="F218" s="158">
        <v>207</v>
      </c>
      <c r="G218" s="249">
        <f t="shared" si="41"/>
        <v>49948</v>
      </c>
      <c r="H218" s="158">
        <f t="shared" si="45"/>
        <v>30</v>
      </c>
      <c r="I218" s="254">
        <f>VLOOKUP(G218,'Прогноз переменной ставки'!$B$5:$E$304,4,1)</f>
        <v>9.9000000000000005E-2</v>
      </c>
      <c r="J218" s="164">
        <f t="shared" si="42"/>
        <v>0</v>
      </c>
      <c r="K218" s="164">
        <f t="shared" si="43"/>
        <v>0</v>
      </c>
      <c r="L218" s="164">
        <f t="shared" si="46"/>
        <v>0</v>
      </c>
      <c r="M218" s="164">
        <f t="shared" si="46"/>
        <v>0</v>
      </c>
      <c r="N218" s="164">
        <f t="shared" si="44"/>
        <v>0</v>
      </c>
      <c r="O218" s="164">
        <f t="shared" si="36"/>
        <v>0</v>
      </c>
      <c r="P218" s="164">
        <f t="shared" si="37"/>
        <v>0</v>
      </c>
      <c r="Q218" s="164">
        <f t="shared" si="38"/>
        <v>0</v>
      </c>
      <c r="R218" s="164">
        <f t="shared" si="47"/>
        <v>0</v>
      </c>
      <c r="S218" s="164">
        <f t="shared" si="39"/>
        <v>0</v>
      </c>
      <c r="T218" s="164">
        <f t="shared" si="40"/>
        <v>0</v>
      </c>
    </row>
    <row r="219" spans="2:20" x14ac:dyDescent="0.2">
      <c r="B219" s="171"/>
      <c r="D219" s="171"/>
      <c r="E219" s="171"/>
      <c r="F219" s="158">
        <v>208</v>
      </c>
      <c r="G219" s="249">
        <f t="shared" si="41"/>
        <v>49979</v>
      </c>
      <c r="H219" s="158">
        <f t="shared" si="45"/>
        <v>31</v>
      </c>
      <c r="I219" s="254">
        <f>VLOOKUP(G219,'Прогноз переменной ставки'!$B$5:$E$304,4,1)</f>
        <v>9.9000000000000005E-2</v>
      </c>
      <c r="J219" s="164">
        <f t="shared" si="42"/>
        <v>0</v>
      </c>
      <c r="K219" s="164">
        <f t="shared" si="43"/>
        <v>0</v>
      </c>
      <c r="L219" s="164">
        <f t="shared" si="46"/>
        <v>0</v>
      </c>
      <c r="M219" s="164">
        <f t="shared" si="46"/>
        <v>0</v>
      </c>
      <c r="N219" s="164">
        <f t="shared" si="44"/>
        <v>0</v>
      </c>
      <c r="O219" s="164">
        <f t="shared" si="36"/>
        <v>0</v>
      </c>
      <c r="P219" s="164">
        <f t="shared" si="37"/>
        <v>0</v>
      </c>
      <c r="Q219" s="164">
        <f t="shared" si="38"/>
        <v>0</v>
      </c>
      <c r="R219" s="164">
        <f t="shared" si="47"/>
        <v>0</v>
      </c>
      <c r="S219" s="164">
        <f t="shared" si="39"/>
        <v>0</v>
      </c>
      <c r="T219" s="164">
        <f t="shared" si="40"/>
        <v>0</v>
      </c>
    </row>
    <row r="220" spans="2:20" x14ac:dyDescent="0.2">
      <c r="B220" s="171"/>
      <c r="D220" s="171"/>
      <c r="E220" s="171"/>
      <c r="F220" s="158">
        <v>209</v>
      </c>
      <c r="G220" s="249">
        <f t="shared" si="41"/>
        <v>50009</v>
      </c>
      <c r="H220" s="158">
        <f t="shared" si="45"/>
        <v>30</v>
      </c>
      <c r="I220" s="254">
        <f>VLOOKUP(G220,'Прогноз переменной ставки'!$B$5:$E$304,4,1)</f>
        <v>9.9000000000000005E-2</v>
      </c>
      <c r="J220" s="164">
        <f t="shared" si="42"/>
        <v>0</v>
      </c>
      <c r="K220" s="164">
        <f t="shared" si="43"/>
        <v>0</v>
      </c>
      <c r="L220" s="164">
        <f t="shared" si="46"/>
        <v>0</v>
      </c>
      <c r="M220" s="164">
        <f t="shared" si="46"/>
        <v>0</v>
      </c>
      <c r="N220" s="164">
        <f t="shared" si="44"/>
        <v>0</v>
      </c>
      <c r="O220" s="164">
        <f t="shared" si="36"/>
        <v>0</v>
      </c>
      <c r="P220" s="164">
        <f t="shared" si="37"/>
        <v>0</v>
      </c>
      <c r="Q220" s="164">
        <f t="shared" si="38"/>
        <v>0</v>
      </c>
      <c r="R220" s="164">
        <f t="shared" si="47"/>
        <v>0</v>
      </c>
      <c r="S220" s="164">
        <f t="shared" si="39"/>
        <v>0</v>
      </c>
      <c r="T220" s="164">
        <f t="shared" si="40"/>
        <v>0</v>
      </c>
    </row>
    <row r="221" spans="2:20" x14ac:dyDescent="0.2">
      <c r="B221" s="171"/>
      <c r="D221" s="171"/>
      <c r="F221" s="158">
        <v>210</v>
      </c>
      <c r="G221" s="249">
        <f t="shared" si="41"/>
        <v>50040</v>
      </c>
      <c r="H221" s="158">
        <f t="shared" si="45"/>
        <v>31</v>
      </c>
      <c r="I221" s="254">
        <f>VLOOKUP(G221,'Прогноз переменной ставки'!$B$5:$E$304,4,1)</f>
        <v>9.9000000000000005E-2</v>
      </c>
      <c r="J221" s="164">
        <f t="shared" si="42"/>
        <v>0</v>
      </c>
      <c r="K221" s="164">
        <f t="shared" si="43"/>
        <v>0</v>
      </c>
      <c r="L221" s="164">
        <f t="shared" si="46"/>
        <v>0</v>
      </c>
      <c r="M221" s="164">
        <f t="shared" si="46"/>
        <v>0</v>
      </c>
      <c r="N221" s="164">
        <f t="shared" si="44"/>
        <v>0</v>
      </c>
      <c r="O221" s="164">
        <f t="shared" si="36"/>
        <v>0</v>
      </c>
      <c r="P221" s="164">
        <f t="shared" si="37"/>
        <v>0</v>
      </c>
      <c r="Q221" s="164">
        <f t="shared" si="38"/>
        <v>0</v>
      </c>
      <c r="R221" s="164">
        <f t="shared" si="47"/>
        <v>0</v>
      </c>
      <c r="S221" s="164">
        <f t="shared" si="39"/>
        <v>0</v>
      </c>
      <c r="T221" s="164">
        <f t="shared" si="40"/>
        <v>0</v>
      </c>
    </row>
    <row r="222" spans="2:20" x14ac:dyDescent="0.2">
      <c r="B222" s="171"/>
      <c r="D222" s="171"/>
      <c r="F222" s="158">
        <v>211</v>
      </c>
      <c r="G222" s="249">
        <f t="shared" si="41"/>
        <v>50071</v>
      </c>
      <c r="H222" s="158">
        <f t="shared" si="45"/>
        <v>31</v>
      </c>
      <c r="I222" s="254">
        <f>VLOOKUP(G222,'Прогноз переменной ставки'!$B$5:$E$304,4,1)</f>
        <v>9.9000000000000005E-2</v>
      </c>
      <c r="J222" s="164">
        <f t="shared" si="42"/>
        <v>0</v>
      </c>
      <c r="K222" s="164">
        <f t="shared" si="43"/>
        <v>0</v>
      </c>
      <c r="L222" s="164">
        <f t="shared" ref="L222:M277" si="48">S221</f>
        <v>0</v>
      </c>
      <c r="M222" s="164">
        <f t="shared" si="48"/>
        <v>0</v>
      </c>
      <c r="N222" s="164">
        <f t="shared" si="44"/>
        <v>0</v>
      </c>
      <c r="O222" s="164">
        <f t="shared" si="36"/>
        <v>0</v>
      </c>
      <c r="P222" s="164">
        <f t="shared" si="37"/>
        <v>0</v>
      </c>
      <c r="Q222" s="164">
        <f t="shared" si="38"/>
        <v>0</v>
      </c>
      <c r="R222" s="164">
        <f t="shared" si="47"/>
        <v>0</v>
      </c>
      <c r="S222" s="164">
        <f t="shared" si="39"/>
        <v>0</v>
      </c>
      <c r="T222" s="164">
        <f t="shared" si="40"/>
        <v>0</v>
      </c>
    </row>
    <row r="223" spans="2:20" x14ac:dyDescent="0.2">
      <c r="B223" s="171"/>
      <c r="D223" s="171"/>
      <c r="F223" s="158">
        <v>212</v>
      </c>
      <c r="G223" s="249">
        <f t="shared" si="41"/>
        <v>50099</v>
      </c>
      <c r="H223" s="158">
        <f t="shared" si="45"/>
        <v>28</v>
      </c>
      <c r="I223" s="254">
        <f>VLOOKUP(G223,'Прогноз переменной ставки'!$B$5:$E$304,4,1)</f>
        <v>9.9000000000000005E-2</v>
      </c>
      <c r="J223" s="164">
        <f t="shared" si="42"/>
        <v>0</v>
      </c>
      <c r="K223" s="164">
        <f t="shared" si="43"/>
        <v>0</v>
      </c>
      <c r="L223" s="164">
        <f t="shared" si="48"/>
        <v>0</v>
      </c>
      <c r="M223" s="164">
        <f t="shared" si="48"/>
        <v>0</v>
      </c>
      <c r="N223" s="164">
        <f t="shared" si="44"/>
        <v>0</v>
      </c>
      <c r="O223" s="164">
        <f t="shared" si="36"/>
        <v>0</v>
      </c>
      <c r="P223" s="164">
        <f t="shared" si="37"/>
        <v>0</v>
      </c>
      <c r="Q223" s="164">
        <f t="shared" si="38"/>
        <v>0</v>
      </c>
      <c r="R223" s="164">
        <f t="shared" si="47"/>
        <v>0</v>
      </c>
      <c r="S223" s="164">
        <f t="shared" si="39"/>
        <v>0</v>
      </c>
      <c r="T223" s="164">
        <f t="shared" si="40"/>
        <v>0</v>
      </c>
    </row>
    <row r="224" spans="2:20" x14ac:dyDescent="0.2">
      <c r="B224" s="171"/>
      <c r="D224" s="171"/>
      <c r="F224" s="158">
        <v>213</v>
      </c>
      <c r="G224" s="249">
        <f t="shared" si="41"/>
        <v>50130</v>
      </c>
      <c r="H224" s="158">
        <f t="shared" si="45"/>
        <v>31</v>
      </c>
      <c r="I224" s="254">
        <f>VLOOKUP(G224,'Прогноз переменной ставки'!$B$5:$E$304,4,1)</f>
        <v>9.9000000000000005E-2</v>
      </c>
      <c r="J224" s="164">
        <f t="shared" si="42"/>
        <v>0</v>
      </c>
      <c r="K224" s="164">
        <f t="shared" si="43"/>
        <v>0</v>
      </c>
      <c r="L224" s="164">
        <f t="shared" si="48"/>
        <v>0</v>
      </c>
      <c r="M224" s="164">
        <f t="shared" si="48"/>
        <v>0</v>
      </c>
      <c r="N224" s="164">
        <f t="shared" si="44"/>
        <v>0</v>
      </c>
      <c r="O224" s="164">
        <f t="shared" si="36"/>
        <v>0</v>
      </c>
      <c r="P224" s="164">
        <f t="shared" si="37"/>
        <v>0</v>
      </c>
      <c r="Q224" s="164">
        <f t="shared" si="38"/>
        <v>0</v>
      </c>
      <c r="R224" s="164">
        <f t="shared" si="47"/>
        <v>0</v>
      </c>
      <c r="S224" s="164">
        <f t="shared" si="39"/>
        <v>0</v>
      </c>
      <c r="T224" s="164">
        <f t="shared" si="40"/>
        <v>0</v>
      </c>
    </row>
    <row r="225" spans="2:20" x14ac:dyDescent="0.2">
      <c r="B225" s="171"/>
      <c r="D225" s="171"/>
      <c r="F225" s="158">
        <v>214</v>
      </c>
      <c r="G225" s="249">
        <f t="shared" si="41"/>
        <v>50160</v>
      </c>
      <c r="H225" s="158">
        <f t="shared" si="45"/>
        <v>30</v>
      </c>
      <c r="I225" s="254">
        <f>VLOOKUP(G225,'Прогноз переменной ставки'!$B$5:$E$304,4,1)</f>
        <v>9.9000000000000005E-2</v>
      </c>
      <c r="J225" s="164">
        <f t="shared" si="42"/>
        <v>0</v>
      </c>
      <c r="K225" s="164">
        <f t="shared" si="43"/>
        <v>0</v>
      </c>
      <c r="L225" s="164">
        <f t="shared" si="48"/>
        <v>0</v>
      </c>
      <c r="M225" s="164">
        <f t="shared" si="48"/>
        <v>0</v>
      </c>
      <c r="N225" s="164">
        <f t="shared" si="44"/>
        <v>0</v>
      </c>
      <c r="O225" s="164">
        <f t="shared" si="36"/>
        <v>0</v>
      </c>
      <c r="P225" s="164">
        <f t="shared" si="37"/>
        <v>0</v>
      </c>
      <c r="Q225" s="164">
        <f t="shared" si="38"/>
        <v>0</v>
      </c>
      <c r="R225" s="164">
        <f t="shared" si="47"/>
        <v>0</v>
      </c>
      <c r="S225" s="164">
        <f t="shared" si="39"/>
        <v>0</v>
      </c>
      <c r="T225" s="164">
        <f t="shared" si="40"/>
        <v>0</v>
      </c>
    </row>
    <row r="226" spans="2:20" x14ac:dyDescent="0.2">
      <c r="B226" s="171"/>
      <c r="D226" s="171"/>
      <c r="F226" s="158">
        <v>215</v>
      </c>
      <c r="G226" s="249">
        <f t="shared" si="41"/>
        <v>50191</v>
      </c>
      <c r="H226" s="158">
        <f t="shared" si="45"/>
        <v>31</v>
      </c>
      <c r="I226" s="254">
        <f>VLOOKUP(G226,'Прогноз переменной ставки'!$B$5:$E$304,4,1)</f>
        <v>9.9000000000000005E-2</v>
      </c>
      <c r="J226" s="164">
        <f t="shared" si="42"/>
        <v>0</v>
      </c>
      <c r="K226" s="164">
        <f t="shared" si="43"/>
        <v>0</v>
      </c>
      <c r="L226" s="164">
        <f t="shared" si="48"/>
        <v>0</v>
      </c>
      <c r="M226" s="164">
        <f t="shared" si="48"/>
        <v>0</v>
      </c>
      <c r="N226" s="164">
        <f t="shared" si="44"/>
        <v>0</v>
      </c>
      <c r="O226" s="164">
        <f t="shared" si="36"/>
        <v>0</v>
      </c>
      <c r="P226" s="164">
        <f t="shared" si="37"/>
        <v>0</v>
      </c>
      <c r="Q226" s="164">
        <f t="shared" si="38"/>
        <v>0</v>
      </c>
      <c r="R226" s="164">
        <f t="shared" si="47"/>
        <v>0</v>
      </c>
      <c r="S226" s="164">
        <f t="shared" si="39"/>
        <v>0</v>
      </c>
      <c r="T226" s="164">
        <f t="shared" si="40"/>
        <v>0</v>
      </c>
    </row>
    <row r="227" spans="2:20" x14ac:dyDescent="0.2">
      <c r="B227" s="171"/>
      <c r="D227" s="171"/>
      <c r="F227" s="158">
        <v>216</v>
      </c>
      <c r="G227" s="249">
        <f t="shared" si="41"/>
        <v>50221</v>
      </c>
      <c r="H227" s="158">
        <f t="shared" si="45"/>
        <v>30</v>
      </c>
      <c r="I227" s="254">
        <f>VLOOKUP(G227,'Прогноз переменной ставки'!$B$5:$E$304,4,1)</f>
        <v>9.9000000000000005E-2</v>
      </c>
      <c r="J227" s="164">
        <f t="shared" si="42"/>
        <v>0</v>
      </c>
      <c r="K227" s="164">
        <f t="shared" si="43"/>
        <v>0</v>
      </c>
      <c r="L227" s="164">
        <f t="shared" si="48"/>
        <v>0</v>
      </c>
      <c r="M227" s="164">
        <f t="shared" si="48"/>
        <v>0</v>
      </c>
      <c r="N227" s="164">
        <f t="shared" si="44"/>
        <v>0</v>
      </c>
      <c r="O227" s="164">
        <f t="shared" si="36"/>
        <v>0</v>
      </c>
      <c r="P227" s="164">
        <f t="shared" si="37"/>
        <v>0</v>
      </c>
      <c r="Q227" s="164">
        <f t="shared" si="38"/>
        <v>0</v>
      </c>
      <c r="R227" s="164">
        <f t="shared" si="47"/>
        <v>0</v>
      </c>
      <c r="S227" s="164">
        <f t="shared" si="39"/>
        <v>0</v>
      </c>
      <c r="T227" s="164">
        <f t="shared" si="40"/>
        <v>0</v>
      </c>
    </row>
    <row r="228" spans="2:20" x14ac:dyDescent="0.2">
      <c r="B228" s="171"/>
      <c r="D228" s="171"/>
      <c r="F228" s="158">
        <v>217</v>
      </c>
      <c r="G228" s="249">
        <f t="shared" si="41"/>
        <v>50252</v>
      </c>
      <c r="H228" s="158">
        <f t="shared" si="45"/>
        <v>31</v>
      </c>
      <c r="I228" s="254">
        <f>VLOOKUP(G228,'Прогноз переменной ставки'!$B$5:$E$304,4,1)</f>
        <v>9.9000000000000005E-2</v>
      </c>
      <c r="J228" s="164">
        <f t="shared" si="42"/>
        <v>0</v>
      </c>
      <c r="K228" s="164">
        <f t="shared" si="43"/>
        <v>0</v>
      </c>
      <c r="L228" s="164">
        <f t="shared" si="48"/>
        <v>0</v>
      </c>
      <c r="M228" s="164">
        <f t="shared" si="48"/>
        <v>0</v>
      </c>
      <c r="N228" s="164">
        <f t="shared" si="44"/>
        <v>0</v>
      </c>
      <c r="O228" s="164">
        <f t="shared" si="36"/>
        <v>0</v>
      </c>
      <c r="P228" s="164">
        <f t="shared" si="37"/>
        <v>0</v>
      </c>
      <c r="Q228" s="164">
        <f t="shared" si="38"/>
        <v>0</v>
      </c>
      <c r="R228" s="164">
        <f t="shared" si="47"/>
        <v>0</v>
      </c>
      <c r="S228" s="164">
        <f t="shared" si="39"/>
        <v>0</v>
      </c>
      <c r="T228" s="164">
        <f t="shared" si="40"/>
        <v>0</v>
      </c>
    </row>
    <row r="229" spans="2:20" x14ac:dyDescent="0.2">
      <c r="B229" s="171"/>
      <c r="D229" s="171"/>
      <c r="F229" s="158">
        <v>218</v>
      </c>
      <c r="G229" s="249">
        <f t="shared" si="41"/>
        <v>50283</v>
      </c>
      <c r="H229" s="158">
        <f t="shared" si="45"/>
        <v>31</v>
      </c>
      <c r="I229" s="254">
        <f>VLOOKUP(G229,'Прогноз переменной ставки'!$B$5:$E$304,4,1)</f>
        <v>9.9000000000000005E-2</v>
      </c>
      <c r="J229" s="164">
        <f t="shared" si="42"/>
        <v>0</v>
      </c>
      <c r="K229" s="164">
        <f t="shared" si="43"/>
        <v>0</v>
      </c>
      <c r="L229" s="164">
        <f t="shared" si="48"/>
        <v>0</v>
      </c>
      <c r="M229" s="164">
        <f t="shared" si="48"/>
        <v>0</v>
      </c>
      <c r="N229" s="164">
        <f t="shared" si="44"/>
        <v>0</v>
      </c>
      <c r="O229" s="164">
        <f t="shared" si="36"/>
        <v>0</v>
      </c>
      <c r="P229" s="164">
        <f t="shared" si="37"/>
        <v>0</v>
      </c>
      <c r="Q229" s="164">
        <f t="shared" si="38"/>
        <v>0</v>
      </c>
      <c r="R229" s="164">
        <f t="shared" si="47"/>
        <v>0</v>
      </c>
      <c r="S229" s="164">
        <f t="shared" si="39"/>
        <v>0</v>
      </c>
      <c r="T229" s="164">
        <f t="shared" si="40"/>
        <v>0</v>
      </c>
    </row>
    <row r="230" spans="2:20" x14ac:dyDescent="0.2">
      <c r="B230" s="171"/>
      <c r="D230" s="171"/>
      <c r="F230" s="158">
        <v>219</v>
      </c>
      <c r="G230" s="249">
        <f t="shared" si="41"/>
        <v>50313</v>
      </c>
      <c r="H230" s="158">
        <f t="shared" si="45"/>
        <v>30</v>
      </c>
      <c r="I230" s="254">
        <f>VLOOKUP(G230,'Прогноз переменной ставки'!$B$5:$E$304,4,1)</f>
        <v>9.9000000000000005E-2</v>
      </c>
      <c r="J230" s="164">
        <f t="shared" si="42"/>
        <v>0</v>
      </c>
      <c r="K230" s="164">
        <f t="shared" si="43"/>
        <v>0</v>
      </c>
      <c r="L230" s="164">
        <f t="shared" si="48"/>
        <v>0</v>
      </c>
      <c r="M230" s="164">
        <f t="shared" si="48"/>
        <v>0</v>
      </c>
      <c r="N230" s="164">
        <f t="shared" si="44"/>
        <v>0</v>
      </c>
      <c r="O230" s="164">
        <f t="shared" si="36"/>
        <v>0</v>
      </c>
      <c r="P230" s="164">
        <f t="shared" si="37"/>
        <v>0</v>
      </c>
      <c r="Q230" s="164">
        <f t="shared" si="38"/>
        <v>0</v>
      </c>
      <c r="R230" s="164">
        <f t="shared" si="47"/>
        <v>0</v>
      </c>
      <c r="S230" s="164">
        <f t="shared" si="39"/>
        <v>0</v>
      </c>
      <c r="T230" s="164">
        <f t="shared" si="40"/>
        <v>0</v>
      </c>
    </row>
    <row r="231" spans="2:20" x14ac:dyDescent="0.2">
      <c r="B231" s="171"/>
      <c r="D231" s="171"/>
      <c r="F231" s="158">
        <v>220</v>
      </c>
      <c r="G231" s="249">
        <f t="shared" si="41"/>
        <v>50344</v>
      </c>
      <c r="H231" s="158">
        <f t="shared" si="45"/>
        <v>31</v>
      </c>
      <c r="I231" s="254">
        <f>VLOOKUP(G231,'Прогноз переменной ставки'!$B$5:$E$304,4,1)</f>
        <v>9.9000000000000005E-2</v>
      </c>
      <c r="J231" s="164">
        <f t="shared" si="42"/>
        <v>0</v>
      </c>
      <c r="K231" s="164">
        <f t="shared" si="43"/>
        <v>0</v>
      </c>
      <c r="L231" s="164">
        <f t="shared" si="48"/>
        <v>0</v>
      </c>
      <c r="M231" s="164">
        <f t="shared" si="48"/>
        <v>0</v>
      </c>
      <c r="N231" s="164">
        <f t="shared" si="44"/>
        <v>0</v>
      </c>
      <c r="O231" s="164">
        <f t="shared" si="36"/>
        <v>0</v>
      </c>
      <c r="P231" s="164">
        <f t="shared" si="37"/>
        <v>0</v>
      </c>
      <c r="Q231" s="164">
        <f t="shared" si="38"/>
        <v>0</v>
      </c>
      <c r="R231" s="164">
        <f t="shared" si="47"/>
        <v>0</v>
      </c>
      <c r="S231" s="164">
        <f t="shared" si="39"/>
        <v>0</v>
      </c>
      <c r="T231" s="164">
        <f t="shared" si="40"/>
        <v>0</v>
      </c>
    </row>
    <row r="232" spans="2:20" x14ac:dyDescent="0.2">
      <c r="B232" s="171"/>
      <c r="D232" s="171"/>
      <c r="F232" s="158">
        <v>221</v>
      </c>
      <c r="G232" s="249">
        <f t="shared" si="41"/>
        <v>50374</v>
      </c>
      <c r="H232" s="158">
        <f t="shared" si="45"/>
        <v>30</v>
      </c>
      <c r="I232" s="254">
        <f>VLOOKUP(G232,'Прогноз переменной ставки'!$B$5:$E$304,4,1)</f>
        <v>9.9000000000000005E-2</v>
      </c>
      <c r="J232" s="164">
        <f t="shared" si="42"/>
        <v>0</v>
      </c>
      <c r="K232" s="164">
        <f t="shared" si="43"/>
        <v>0</v>
      </c>
      <c r="L232" s="164">
        <f t="shared" si="48"/>
        <v>0</v>
      </c>
      <c r="M232" s="164">
        <f t="shared" si="48"/>
        <v>0</v>
      </c>
      <c r="N232" s="164">
        <f t="shared" si="44"/>
        <v>0</v>
      </c>
      <c r="O232" s="164">
        <f t="shared" si="36"/>
        <v>0</v>
      </c>
      <c r="P232" s="164">
        <f t="shared" si="37"/>
        <v>0</v>
      </c>
      <c r="Q232" s="164">
        <f t="shared" si="38"/>
        <v>0</v>
      </c>
      <c r="R232" s="164">
        <f t="shared" si="47"/>
        <v>0</v>
      </c>
      <c r="S232" s="164">
        <f t="shared" si="39"/>
        <v>0</v>
      </c>
      <c r="T232" s="164">
        <f t="shared" si="40"/>
        <v>0</v>
      </c>
    </row>
    <row r="233" spans="2:20" x14ac:dyDescent="0.2">
      <c r="B233" s="171"/>
      <c r="D233" s="171"/>
      <c r="F233" s="158">
        <v>222</v>
      </c>
      <c r="G233" s="249">
        <f t="shared" si="41"/>
        <v>50405</v>
      </c>
      <c r="H233" s="158">
        <f t="shared" si="45"/>
        <v>31</v>
      </c>
      <c r="I233" s="254">
        <f>VLOOKUP(G233,'Прогноз переменной ставки'!$B$5:$E$304,4,1)</f>
        <v>9.9000000000000005E-2</v>
      </c>
      <c r="J233" s="164">
        <f t="shared" si="42"/>
        <v>0</v>
      </c>
      <c r="K233" s="164">
        <f t="shared" si="43"/>
        <v>0</v>
      </c>
      <c r="L233" s="164">
        <f t="shared" si="48"/>
        <v>0</v>
      </c>
      <c r="M233" s="164">
        <f t="shared" si="48"/>
        <v>0</v>
      </c>
      <c r="N233" s="164">
        <f t="shared" si="44"/>
        <v>0</v>
      </c>
      <c r="O233" s="164">
        <f t="shared" si="36"/>
        <v>0</v>
      </c>
      <c r="P233" s="164">
        <f t="shared" si="37"/>
        <v>0</v>
      </c>
      <c r="Q233" s="164">
        <f t="shared" si="38"/>
        <v>0</v>
      </c>
      <c r="R233" s="164">
        <f t="shared" si="47"/>
        <v>0</v>
      </c>
      <c r="S233" s="164">
        <f t="shared" si="39"/>
        <v>0</v>
      </c>
      <c r="T233" s="164">
        <f t="shared" si="40"/>
        <v>0</v>
      </c>
    </row>
    <row r="234" spans="2:20" x14ac:dyDescent="0.2">
      <c r="B234" s="171"/>
      <c r="D234" s="171"/>
      <c r="F234" s="158">
        <v>223</v>
      </c>
      <c r="G234" s="249">
        <f t="shared" si="41"/>
        <v>50436</v>
      </c>
      <c r="H234" s="158">
        <f t="shared" si="45"/>
        <v>31</v>
      </c>
      <c r="I234" s="254">
        <f>VLOOKUP(G234,'Прогноз переменной ставки'!$B$5:$E$304,4,1)</f>
        <v>9.9000000000000005E-2</v>
      </c>
      <c r="J234" s="164">
        <f t="shared" si="42"/>
        <v>0</v>
      </c>
      <c r="K234" s="164">
        <f t="shared" si="43"/>
        <v>0</v>
      </c>
      <c r="L234" s="164">
        <f t="shared" si="48"/>
        <v>0</v>
      </c>
      <c r="M234" s="164">
        <f t="shared" si="48"/>
        <v>0</v>
      </c>
      <c r="N234" s="164">
        <f t="shared" si="44"/>
        <v>0</v>
      </c>
      <c r="O234" s="164">
        <f t="shared" si="36"/>
        <v>0</v>
      </c>
      <c r="P234" s="164">
        <f t="shared" si="37"/>
        <v>0</v>
      </c>
      <c r="Q234" s="164">
        <f t="shared" si="38"/>
        <v>0</v>
      </c>
      <c r="R234" s="164">
        <f t="shared" si="47"/>
        <v>0</v>
      </c>
      <c r="S234" s="164">
        <f t="shared" si="39"/>
        <v>0</v>
      </c>
      <c r="T234" s="164">
        <f t="shared" si="40"/>
        <v>0</v>
      </c>
    </row>
    <row r="235" spans="2:20" x14ac:dyDescent="0.2">
      <c r="B235" s="171"/>
      <c r="D235" s="171"/>
      <c r="F235" s="158">
        <v>224</v>
      </c>
      <c r="G235" s="249">
        <f t="shared" si="41"/>
        <v>50464</v>
      </c>
      <c r="H235" s="158">
        <f t="shared" si="45"/>
        <v>28</v>
      </c>
      <c r="I235" s="254">
        <f>VLOOKUP(G235,'Прогноз переменной ставки'!$B$5:$E$304,4,1)</f>
        <v>9.9000000000000005E-2</v>
      </c>
      <c r="J235" s="164">
        <f t="shared" si="42"/>
        <v>0</v>
      </c>
      <c r="K235" s="164">
        <f t="shared" si="43"/>
        <v>0</v>
      </c>
      <c r="L235" s="164">
        <f t="shared" si="48"/>
        <v>0</v>
      </c>
      <c r="M235" s="164">
        <f t="shared" si="48"/>
        <v>0</v>
      </c>
      <c r="N235" s="164">
        <f t="shared" si="44"/>
        <v>0</v>
      </c>
      <c r="O235" s="164">
        <f t="shared" si="36"/>
        <v>0</v>
      </c>
      <c r="P235" s="164">
        <f t="shared" si="37"/>
        <v>0</v>
      </c>
      <c r="Q235" s="164">
        <f t="shared" si="38"/>
        <v>0</v>
      </c>
      <c r="R235" s="164">
        <f t="shared" si="47"/>
        <v>0</v>
      </c>
      <c r="S235" s="164">
        <f t="shared" si="39"/>
        <v>0</v>
      </c>
      <c r="T235" s="164">
        <f t="shared" si="40"/>
        <v>0</v>
      </c>
    </row>
    <row r="236" spans="2:20" x14ac:dyDescent="0.2">
      <c r="B236" s="171"/>
      <c r="D236" s="171"/>
      <c r="F236" s="158">
        <v>225</v>
      </c>
      <c r="G236" s="249">
        <f t="shared" si="41"/>
        <v>50495</v>
      </c>
      <c r="H236" s="158">
        <f t="shared" si="45"/>
        <v>31</v>
      </c>
      <c r="I236" s="254">
        <f>VLOOKUP(G236,'Прогноз переменной ставки'!$B$5:$E$304,4,1)</f>
        <v>9.9000000000000005E-2</v>
      </c>
      <c r="J236" s="164">
        <f t="shared" si="42"/>
        <v>0</v>
      </c>
      <c r="K236" s="164">
        <f t="shared" si="43"/>
        <v>0</v>
      </c>
      <c r="L236" s="164">
        <f t="shared" si="48"/>
        <v>0</v>
      </c>
      <c r="M236" s="164">
        <f t="shared" si="48"/>
        <v>0</v>
      </c>
      <c r="N236" s="164">
        <f t="shared" si="44"/>
        <v>0</v>
      </c>
      <c r="O236" s="164">
        <f t="shared" si="36"/>
        <v>0</v>
      </c>
      <c r="P236" s="164">
        <f t="shared" si="37"/>
        <v>0</v>
      </c>
      <c r="Q236" s="164">
        <f t="shared" si="38"/>
        <v>0</v>
      </c>
      <c r="R236" s="164">
        <f t="shared" si="47"/>
        <v>0</v>
      </c>
      <c r="S236" s="164">
        <f t="shared" si="39"/>
        <v>0</v>
      </c>
      <c r="T236" s="164">
        <f t="shared" si="40"/>
        <v>0</v>
      </c>
    </row>
    <row r="237" spans="2:20" x14ac:dyDescent="0.2">
      <c r="B237" s="171"/>
      <c r="D237" s="171"/>
      <c r="F237" s="158">
        <v>226</v>
      </c>
      <c r="G237" s="249">
        <f t="shared" si="41"/>
        <v>50525</v>
      </c>
      <c r="H237" s="158">
        <f t="shared" si="45"/>
        <v>30</v>
      </c>
      <c r="I237" s="254">
        <f>VLOOKUP(G237,'Прогноз переменной ставки'!$B$5:$E$304,4,1)</f>
        <v>9.9000000000000005E-2</v>
      </c>
      <c r="J237" s="164">
        <f t="shared" si="42"/>
        <v>0</v>
      </c>
      <c r="K237" s="164">
        <f t="shared" si="43"/>
        <v>0</v>
      </c>
      <c r="L237" s="164">
        <f t="shared" si="48"/>
        <v>0</v>
      </c>
      <c r="M237" s="164">
        <f t="shared" si="48"/>
        <v>0</v>
      </c>
      <c r="N237" s="164">
        <f t="shared" si="44"/>
        <v>0</v>
      </c>
      <c r="O237" s="164">
        <f t="shared" si="36"/>
        <v>0</v>
      </c>
      <c r="P237" s="164">
        <f t="shared" si="37"/>
        <v>0</v>
      </c>
      <c r="Q237" s="164">
        <f t="shared" si="38"/>
        <v>0</v>
      </c>
      <c r="R237" s="164">
        <f t="shared" si="47"/>
        <v>0</v>
      </c>
      <c r="S237" s="164">
        <f t="shared" si="39"/>
        <v>0</v>
      </c>
      <c r="T237" s="164">
        <f t="shared" si="40"/>
        <v>0</v>
      </c>
    </row>
    <row r="238" spans="2:20" x14ac:dyDescent="0.2">
      <c r="B238" s="171"/>
      <c r="D238" s="171"/>
      <c r="F238" s="158">
        <v>227</v>
      </c>
      <c r="G238" s="249">
        <f t="shared" si="41"/>
        <v>50556</v>
      </c>
      <c r="H238" s="158">
        <f t="shared" si="45"/>
        <v>31</v>
      </c>
      <c r="I238" s="254">
        <f>VLOOKUP(G238,'Прогноз переменной ставки'!$B$5:$E$304,4,1)</f>
        <v>9.9000000000000005E-2</v>
      </c>
      <c r="J238" s="164">
        <f t="shared" si="42"/>
        <v>0</v>
      </c>
      <c r="K238" s="164">
        <f t="shared" si="43"/>
        <v>0</v>
      </c>
      <c r="L238" s="164">
        <f t="shared" si="48"/>
        <v>0</v>
      </c>
      <c r="M238" s="164">
        <f t="shared" si="48"/>
        <v>0</v>
      </c>
      <c r="N238" s="164">
        <f t="shared" si="44"/>
        <v>0</v>
      </c>
      <c r="O238" s="164">
        <f t="shared" si="36"/>
        <v>0</v>
      </c>
      <c r="P238" s="164">
        <f t="shared" si="37"/>
        <v>0</v>
      </c>
      <c r="Q238" s="164">
        <f t="shared" si="38"/>
        <v>0</v>
      </c>
      <c r="R238" s="164">
        <f t="shared" si="47"/>
        <v>0</v>
      </c>
      <c r="S238" s="164">
        <f t="shared" si="39"/>
        <v>0</v>
      </c>
      <c r="T238" s="164">
        <f t="shared" si="40"/>
        <v>0</v>
      </c>
    </row>
    <row r="239" spans="2:20" x14ac:dyDescent="0.2">
      <c r="B239" s="171"/>
      <c r="D239" s="171"/>
      <c r="F239" s="158">
        <v>228</v>
      </c>
      <c r="G239" s="249">
        <f t="shared" si="41"/>
        <v>50586</v>
      </c>
      <c r="H239" s="158">
        <f t="shared" si="45"/>
        <v>30</v>
      </c>
      <c r="I239" s="254">
        <f>VLOOKUP(G239,'Прогноз переменной ставки'!$B$5:$E$304,4,1)</f>
        <v>9.9000000000000005E-2</v>
      </c>
      <c r="J239" s="164">
        <f t="shared" si="42"/>
        <v>0</v>
      </c>
      <c r="K239" s="164">
        <f t="shared" si="43"/>
        <v>0</v>
      </c>
      <c r="L239" s="164">
        <f t="shared" si="48"/>
        <v>0</v>
      </c>
      <c r="M239" s="164">
        <f t="shared" si="48"/>
        <v>0</v>
      </c>
      <c r="N239" s="164">
        <f t="shared" si="44"/>
        <v>0</v>
      </c>
      <c r="O239" s="164">
        <f t="shared" si="36"/>
        <v>0</v>
      </c>
      <c r="P239" s="164">
        <f t="shared" si="37"/>
        <v>0</v>
      </c>
      <c r="Q239" s="164">
        <f t="shared" si="38"/>
        <v>0</v>
      </c>
      <c r="R239" s="164">
        <f t="shared" si="47"/>
        <v>0</v>
      </c>
      <c r="S239" s="164">
        <f t="shared" si="39"/>
        <v>0</v>
      </c>
      <c r="T239" s="164">
        <f t="shared" si="40"/>
        <v>0</v>
      </c>
    </row>
    <row r="240" spans="2:20" x14ac:dyDescent="0.2">
      <c r="B240" s="171"/>
      <c r="D240" s="171"/>
      <c r="F240" s="158">
        <v>229</v>
      </c>
      <c r="G240" s="249">
        <f t="shared" si="41"/>
        <v>50617</v>
      </c>
      <c r="H240" s="158">
        <f t="shared" si="45"/>
        <v>31</v>
      </c>
      <c r="I240" s="254">
        <f>VLOOKUP(G240,'Прогноз переменной ставки'!$B$5:$E$304,4,1)</f>
        <v>9.9000000000000005E-2</v>
      </c>
      <c r="J240" s="164">
        <f t="shared" si="42"/>
        <v>0</v>
      </c>
      <c r="K240" s="164">
        <f t="shared" si="43"/>
        <v>0</v>
      </c>
      <c r="L240" s="164">
        <f t="shared" si="48"/>
        <v>0</v>
      </c>
      <c r="M240" s="164">
        <f t="shared" si="48"/>
        <v>0</v>
      </c>
      <c r="N240" s="164">
        <f t="shared" si="44"/>
        <v>0</v>
      </c>
      <c r="O240" s="164">
        <f t="shared" si="36"/>
        <v>0</v>
      </c>
      <c r="P240" s="164">
        <f t="shared" si="37"/>
        <v>0</v>
      </c>
      <c r="Q240" s="164">
        <f t="shared" si="38"/>
        <v>0</v>
      </c>
      <c r="R240" s="164">
        <f t="shared" si="47"/>
        <v>0</v>
      </c>
      <c r="S240" s="164">
        <f t="shared" si="39"/>
        <v>0</v>
      </c>
      <c r="T240" s="164">
        <f t="shared" si="40"/>
        <v>0</v>
      </c>
    </row>
    <row r="241" spans="2:20" x14ac:dyDescent="0.2">
      <c r="B241" s="171"/>
      <c r="D241" s="171"/>
      <c r="F241" s="158">
        <v>230</v>
      </c>
      <c r="G241" s="249">
        <f t="shared" si="41"/>
        <v>50648</v>
      </c>
      <c r="H241" s="158">
        <f t="shared" si="45"/>
        <v>31</v>
      </c>
      <c r="I241" s="254">
        <f>VLOOKUP(G241,'Прогноз переменной ставки'!$B$5:$E$304,4,1)</f>
        <v>9.9000000000000005E-2</v>
      </c>
      <c r="J241" s="164">
        <f t="shared" si="42"/>
        <v>0</v>
      </c>
      <c r="K241" s="164">
        <f t="shared" si="43"/>
        <v>0</v>
      </c>
      <c r="L241" s="164">
        <f t="shared" si="48"/>
        <v>0</v>
      </c>
      <c r="M241" s="164">
        <f t="shared" si="48"/>
        <v>0</v>
      </c>
      <c r="N241" s="164">
        <f t="shared" si="44"/>
        <v>0</v>
      </c>
      <c r="O241" s="164">
        <f t="shared" si="36"/>
        <v>0</v>
      </c>
      <c r="P241" s="164">
        <f t="shared" si="37"/>
        <v>0</v>
      </c>
      <c r="Q241" s="164">
        <f t="shared" si="38"/>
        <v>0</v>
      </c>
      <c r="R241" s="164">
        <f t="shared" si="47"/>
        <v>0</v>
      </c>
      <c r="S241" s="164">
        <f t="shared" si="39"/>
        <v>0</v>
      </c>
      <c r="T241" s="164">
        <f t="shared" si="40"/>
        <v>0</v>
      </c>
    </row>
    <row r="242" spans="2:20" x14ac:dyDescent="0.2">
      <c r="B242" s="171"/>
      <c r="D242" s="171"/>
      <c r="F242" s="158">
        <v>231</v>
      </c>
      <c r="G242" s="249">
        <f t="shared" si="41"/>
        <v>50678</v>
      </c>
      <c r="H242" s="158">
        <f t="shared" si="45"/>
        <v>30</v>
      </c>
      <c r="I242" s="254">
        <f>VLOOKUP(G242,'Прогноз переменной ставки'!$B$5:$E$304,4,1)</f>
        <v>9.9000000000000005E-2</v>
      </c>
      <c r="J242" s="164">
        <f t="shared" si="42"/>
        <v>0</v>
      </c>
      <c r="K242" s="164">
        <f t="shared" si="43"/>
        <v>0</v>
      </c>
      <c r="L242" s="164">
        <f t="shared" si="48"/>
        <v>0</v>
      </c>
      <c r="M242" s="164">
        <f t="shared" si="48"/>
        <v>0</v>
      </c>
      <c r="N242" s="164">
        <f t="shared" si="44"/>
        <v>0</v>
      </c>
      <c r="O242" s="164">
        <f t="shared" si="36"/>
        <v>0</v>
      </c>
      <c r="P242" s="164">
        <f t="shared" si="37"/>
        <v>0</v>
      </c>
      <c r="Q242" s="164">
        <f t="shared" si="38"/>
        <v>0</v>
      </c>
      <c r="R242" s="164">
        <f t="shared" si="47"/>
        <v>0</v>
      </c>
      <c r="S242" s="164">
        <f t="shared" si="39"/>
        <v>0</v>
      </c>
      <c r="T242" s="164">
        <f t="shared" si="40"/>
        <v>0</v>
      </c>
    </row>
    <row r="243" spans="2:20" x14ac:dyDescent="0.2">
      <c r="B243" s="171"/>
      <c r="D243" s="171"/>
      <c r="F243" s="158">
        <v>232</v>
      </c>
      <c r="G243" s="249">
        <f t="shared" si="41"/>
        <v>50709</v>
      </c>
      <c r="H243" s="158">
        <f t="shared" si="45"/>
        <v>31</v>
      </c>
      <c r="I243" s="254">
        <f>VLOOKUP(G243,'Прогноз переменной ставки'!$B$5:$E$304,4,1)</f>
        <v>9.9000000000000005E-2</v>
      </c>
      <c r="J243" s="164">
        <f t="shared" si="42"/>
        <v>0</v>
      </c>
      <c r="K243" s="164">
        <f t="shared" si="43"/>
        <v>0</v>
      </c>
      <c r="L243" s="164">
        <f t="shared" si="48"/>
        <v>0</v>
      </c>
      <c r="M243" s="164">
        <f t="shared" si="48"/>
        <v>0</v>
      </c>
      <c r="N243" s="164">
        <f t="shared" si="44"/>
        <v>0</v>
      </c>
      <c r="O243" s="164">
        <f t="shared" si="36"/>
        <v>0</v>
      </c>
      <c r="P243" s="164">
        <f t="shared" si="37"/>
        <v>0</v>
      </c>
      <c r="Q243" s="164">
        <f t="shared" si="38"/>
        <v>0</v>
      </c>
      <c r="R243" s="164">
        <f t="shared" si="47"/>
        <v>0</v>
      </c>
      <c r="S243" s="164">
        <f t="shared" si="39"/>
        <v>0</v>
      </c>
      <c r="T243" s="164">
        <f t="shared" si="40"/>
        <v>0</v>
      </c>
    </row>
    <row r="244" spans="2:20" x14ac:dyDescent="0.2">
      <c r="B244" s="171"/>
      <c r="D244" s="171"/>
      <c r="F244" s="158">
        <v>233</v>
      </c>
      <c r="G244" s="249">
        <f t="shared" si="41"/>
        <v>50739</v>
      </c>
      <c r="H244" s="158">
        <f t="shared" si="45"/>
        <v>30</v>
      </c>
      <c r="I244" s="254">
        <f>VLOOKUP(G244,'Прогноз переменной ставки'!$B$5:$E$304,4,1)</f>
        <v>9.9000000000000005E-2</v>
      </c>
      <c r="J244" s="164">
        <f t="shared" si="42"/>
        <v>0</v>
      </c>
      <c r="K244" s="164">
        <f t="shared" si="43"/>
        <v>0</v>
      </c>
      <c r="L244" s="164">
        <f t="shared" si="48"/>
        <v>0</v>
      </c>
      <c r="M244" s="164">
        <f t="shared" si="48"/>
        <v>0</v>
      </c>
      <c r="N244" s="164">
        <f t="shared" si="44"/>
        <v>0</v>
      </c>
      <c r="O244" s="164">
        <f t="shared" si="36"/>
        <v>0</v>
      </c>
      <c r="P244" s="164">
        <f t="shared" si="37"/>
        <v>0</v>
      </c>
      <c r="Q244" s="164">
        <f t="shared" si="38"/>
        <v>0</v>
      </c>
      <c r="R244" s="164">
        <f t="shared" si="47"/>
        <v>0</v>
      </c>
      <c r="S244" s="164">
        <f t="shared" si="39"/>
        <v>0</v>
      </c>
      <c r="T244" s="164">
        <f t="shared" si="40"/>
        <v>0</v>
      </c>
    </row>
    <row r="245" spans="2:20" x14ac:dyDescent="0.2">
      <c r="B245" s="171"/>
      <c r="D245" s="171"/>
      <c r="F245" s="158">
        <v>234</v>
      </c>
      <c r="G245" s="249">
        <f t="shared" si="41"/>
        <v>50770</v>
      </c>
      <c r="H245" s="158">
        <f t="shared" si="45"/>
        <v>31</v>
      </c>
      <c r="I245" s="254">
        <f>VLOOKUP(G245,'Прогноз переменной ставки'!$B$5:$E$304,4,1)</f>
        <v>9.9000000000000005E-2</v>
      </c>
      <c r="J245" s="164">
        <f t="shared" si="42"/>
        <v>0</v>
      </c>
      <c r="K245" s="164">
        <f t="shared" si="43"/>
        <v>0</v>
      </c>
      <c r="L245" s="164">
        <f t="shared" si="48"/>
        <v>0</v>
      </c>
      <c r="M245" s="164">
        <f t="shared" si="48"/>
        <v>0</v>
      </c>
      <c r="N245" s="164">
        <f t="shared" si="44"/>
        <v>0</v>
      </c>
      <c r="O245" s="164">
        <f t="shared" si="36"/>
        <v>0</v>
      </c>
      <c r="P245" s="164">
        <f t="shared" si="37"/>
        <v>0</v>
      </c>
      <c r="Q245" s="164">
        <f t="shared" si="38"/>
        <v>0</v>
      </c>
      <c r="R245" s="164">
        <f t="shared" si="47"/>
        <v>0</v>
      </c>
      <c r="S245" s="164">
        <f t="shared" si="39"/>
        <v>0</v>
      </c>
      <c r="T245" s="164">
        <f t="shared" si="40"/>
        <v>0</v>
      </c>
    </row>
    <row r="246" spans="2:20" x14ac:dyDescent="0.2">
      <c r="B246" s="171"/>
      <c r="D246" s="171"/>
      <c r="F246" s="158">
        <v>235</v>
      </c>
      <c r="G246" s="249">
        <f t="shared" si="41"/>
        <v>50801</v>
      </c>
      <c r="H246" s="158">
        <f t="shared" si="45"/>
        <v>31</v>
      </c>
      <c r="I246" s="254">
        <f>VLOOKUP(G246,'Прогноз переменной ставки'!$B$5:$E$304,4,1)</f>
        <v>9.9000000000000005E-2</v>
      </c>
      <c r="J246" s="164">
        <f t="shared" si="42"/>
        <v>0</v>
      </c>
      <c r="K246" s="164">
        <f t="shared" si="43"/>
        <v>0</v>
      </c>
      <c r="L246" s="164">
        <f t="shared" si="48"/>
        <v>0</v>
      </c>
      <c r="M246" s="164">
        <f t="shared" si="48"/>
        <v>0</v>
      </c>
      <c r="N246" s="164">
        <f t="shared" si="44"/>
        <v>0</v>
      </c>
      <c r="O246" s="164">
        <f t="shared" si="36"/>
        <v>0</v>
      </c>
      <c r="P246" s="164">
        <f t="shared" si="37"/>
        <v>0</v>
      </c>
      <c r="Q246" s="164">
        <f t="shared" si="38"/>
        <v>0</v>
      </c>
      <c r="R246" s="164">
        <f t="shared" si="47"/>
        <v>0</v>
      </c>
      <c r="S246" s="164">
        <f t="shared" si="39"/>
        <v>0</v>
      </c>
      <c r="T246" s="164">
        <f t="shared" si="40"/>
        <v>0</v>
      </c>
    </row>
    <row r="247" spans="2:20" x14ac:dyDescent="0.2">
      <c r="B247" s="171"/>
      <c r="D247" s="171"/>
      <c r="F247" s="158">
        <v>236</v>
      </c>
      <c r="G247" s="249">
        <f t="shared" si="41"/>
        <v>50829</v>
      </c>
      <c r="H247" s="158">
        <f t="shared" si="45"/>
        <v>28</v>
      </c>
      <c r="I247" s="254">
        <f>VLOOKUP(G247,'Прогноз переменной ставки'!$B$5:$E$304,4,1)</f>
        <v>9.9000000000000005E-2</v>
      </c>
      <c r="J247" s="164">
        <f t="shared" si="42"/>
        <v>0</v>
      </c>
      <c r="K247" s="164">
        <f t="shared" si="43"/>
        <v>0</v>
      </c>
      <c r="L247" s="164">
        <f t="shared" si="48"/>
        <v>0</v>
      </c>
      <c r="M247" s="164">
        <f t="shared" si="48"/>
        <v>0</v>
      </c>
      <c r="N247" s="164">
        <f t="shared" si="44"/>
        <v>0</v>
      </c>
      <c r="O247" s="164">
        <f t="shared" si="36"/>
        <v>0</v>
      </c>
      <c r="P247" s="164">
        <f t="shared" si="37"/>
        <v>0</v>
      </c>
      <c r="Q247" s="164">
        <f t="shared" si="38"/>
        <v>0</v>
      </c>
      <c r="R247" s="164">
        <f t="shared" si="47"/>
        <v>0</v>
      </c>
      <c r="S247" s="164">
        <f t="shared" si="39"/>
        <v>0</v>
      </c>
      <c r="T247" s="164">
        <f t="shared" si="40"/>
        <v>0</v>
      </c>
    </row>
    <row r="248" spans="2:20" x14ac:dyDescent="0.2">
      <c r="B248" s="171"/>
      <c r="D248" s="171"/>
      <c r="F248" s="158">
        <v>237</v>
      </c>
      <c r="G248" s="249">
        <f t="shared" si="41"/>
        <v>50860</v>
      </c>
      <c r="H248" s="158">
        <f t="shared" si="45"/>
        <v>31</v>
      </c>
      <c r="I248" s="254">
        <f>VLOOKUP(G248,'Прогноз переменной ставки'!$B$5:$E$304,4,1)</f>
        <v>9.9000000000000005E-2</v>
      </c>
      <c r="J248" s="164">
        <f t="shared" si="42"/>
        <v>0</v>
      </c>
      <c r="K248" s="164">
        <f t="shared" si="43"/>
        <v>0</v>
      </c>
      <c r="L248" s="164">
        <f t="shared" si="48"/>
        <v>0</v>
      </c>
      <c r="M248" s="164">
        <f t="shared" si="48"/>
        <v>0</v>
      </c>
      <c r="N248" s="164">
        <f t="shared" si="44"/>
        <v>0</v>
      </c>
      <c r="O248" s="164">
        <f t="shared" si="36"/>
        <v>0</v>
      </c>
      <c r="P248" s="164">
        <f t="shared" si="37"/>
        <v>0</v>
      </c>
      <c r="Q248" s="164">
        <f t="shared" si="38"/>
        <v>0</v>
      </c>
      <c r="R248" s="164">
        <f t="shared" si="47"/>
        <v>0</v>
      </c>
      <c r="S248" s="164">
        <f t="shared" si="39"/>
        <v>0</v>
      </c>
      <c r="T248" s="164">
        <f t="shared" si="40"/>
        <v>0</v>
      </c>
    </row>
    <row r="249" spans="2:20" x14ac:dyDescent="0.2">
      <c r="B249" s="171"/>
      <c r="D249" s="171"/>
      <c r="F249" s="158">
        <v>238</v>
      </c>
      <c r="G249" s="249">
        <f t="shared" si="41"/>
        <v>50890</v>
      </c>
      <c r="H249" s="158">
        <f t="shared" si="45"/>
        <v>30</v>
      </c>
      <c r="I249" s="254">
        <f>VLOOKUP(G249,'Прогноз переменной ставки'!$B$5:$E$304,4,1)</f>
        <v>9.9000000000000005E-2</v>
      </c>
      <c r="J249" s="164">
        <f t="shared" si="42"/>
        <v>0</v>
      </c>
      <c r="K249" s="164">
        <f t="shared" si="43"/>
        <v>0</v>
      </c>
      <c r="L249" s="164">
        <f t="shared" si="48"/>
        <v>0</v>
      </c>
      <c r="M249" s="164">
        <f t="shared" si="48"/>
        <v>0</v>
      </c>
      <c r="N249" s="164">
        <f t="shared" si="44"/>
        <v>0</v>
      </c>
      <c r="O249" s="164">
        <f t="shared" si="36"/>
        <v>0</v>
      </c>
      <c r="P249" s="164">
        <f t="shared" si="37"/>
        <v>0</v>
      </c>
      <c r="Q249" s="164">
        <f t="shared" si="38"/>
        <v>0</v>
      </c>
      <c r="R249" s="164">
        <f t="shared" si="47"/>
        <v>0</v>
      </c>
      <c r="S249" s="164">
        <f t="shared" si="39"/>
        <v>0</v>
      </c>
      <c r="T249" s="164">
        <f t="shared" si="40"/>
        <v>0</v>
      </c>
    </row>
    <row r="250" spans="2:20" x14ac:dyDescent="0.2">
      <c r="B250" s="171"/>
      <c r="D250" s="171"/>
      <c r="F250" s="158">
        <v>239</v>
      </c>
      <c r="G250" s="249">
        <f t="shared" si="41"/>
        <v>50921</v>
      </c>
      <c r="H250" s="158">
        <f t="shared" si="45"/>
        <v>31</v>
      </c>
      <c r="I250" s="254">
        <f>VLOOKUP(G250,'Прогноз переменной ставки'!$B$5:$E$304,4,1)</f>
        <v>9.9000000000000005E-2</v>
      </c>
      <c r="J250" s="164">
        <f t="shared" si="42"/>
        <v>0</v>
      </c>
      <c r="K250" s="164">
        <f t="shared" si="43"/>
        <v>0</v>
      </c>
      <c r="L250" s="164">
        <f t="shared" si="48"/>
        <v>0</v>
      </c>
      <c r="M250" s="164">
        <f t="shared" si="48"/>
        <v>0</v>
      </c>
      <c r="N250" s="164">
        <f t="shared" si="44"/>
        <v>0</v>
      </c>
      <c r="O250" s="164">
        <f t="shared" si="36"/>
        <v>0</v>
      </c>
      <c r="P250" s="164">
        <f t="shared" si="37"/>
        <v>0</v>
      </c>
      <c r="Q250" s="164">
        <f t="shared" si="38"/>
        <v>0</v>
      </c>
      <c r="R250" s="164">
        <f t="shared" si="47"/>
        <v>0</v>
      </c>
      <c r="S250" s="164">
        <f t="shared" si="39"/>
        <v>0</v>
      </c>
      <c r="T250" s="164">
        <f t="shared" si="40"/>
        <v>0</v>
      </c>
    </row>
    <row r="251" spans="2:20" x14ac:dyDescent="0.2">
      <c r="B251" s="171"/>
      <c r="D251" s="171"/>
      <c r="F251" s="158">
        <v>240</v>
      </c>
      <c r="G251" s="249">
        <f t="shared" si="41"/>
        <v>50951</v>
      </c>
      <c r="H251" s="158">
        <f t="shared" si="45"/>
        <v>30</v>
      </c>
      <c r="I251" s="254">
        <f>VLOOKUP(G251,'Прогноз переменной ставки'!$B$5:$E$304,4,1)</f>
        <v>9.9000000000000005E-2</v>
      </c>
      <c r="J251" s="164">
        <f t="shared" si="42"/>
        <v>0</v>
      </c>
      <c r="K251" s="164">
        <f t="shared" si="43"/>
        <v>0</v>
      </c>
      <c r="L251" s="164">
        <f t="shared" si="48"/>
        <v>0</v>
      </c>
      <c r="M251" s="164">
        <f t="shared" si="48"/>
        <v>0</v>
      </c>
      <c r="N251" s="164">
        <f t="shared" si="44"/>
        <v>0</v>
      </c>
      <c r="O251" s="164">
        <f t="shared" si="36"/>
        <v>0</v>
      </c>
      <c r="P251" s="164">
        <f t="shared" si="37"/>
        <v>0</v>
      </c>
      <c r="Q251" s="164">
        <f t="shared" si="38"/>
        <v>0</v>
      </c>
      <c r="R251" s="164">
        <f t="shared" si="47"/>
        <v>0</v>
      </c>
      <c r="S251" s="164">
        <f t="shared" si="39"/>
        <v>0</v>
      </c>
      <c r="T251" s="164">
        <f t="shared" si="40"/>
        <v>0</v>
      </c>
    </row>
    <row r="252" spans="2:20" x14ac:dyDescent="0.2">
      <c r="B252" s="171"/>
      <c r="D252" s="171"/>
      <c r="F252" s="158">
        <v>241</v>
      </c>
      <c r="G252" s="249">
        <f t="shared" si="41"/>
        <v>50982</v>
      </c>
      <c r="H252" s="158">
        <f t="shared" si="45"/>
        <v>31</v>
      </c>
      <c r="I252" s="254">
        <f>VLOOKUP(G252,'Прогноз переменной ставки'!$B$5:$E$304,4,1)</f>
        <v>9.9000000000000005E-2</v>
      </c>
      <c r="J252" s="164">
        <f t="shared" si="42"/>
        <v>0</v>
      </c>
      <c r="K252" s="164">
        <f t="shared" si="43"/>
        <v>0</v>
      </c>
      <c r="L252" s="164">
        <f t="shared" si="48"/>
        <v>0</v>
      </c>
      <c r="M252" s="164">
        <f t="shared" si="48"/>
        <v>0</v>
      </c>
      <c r="N252" s="164">
        <f t="shared" si="44"/>
        <v>0</v>
      </c>
      <c r="O252" s="164">
        <f t="shared" si="36"/>
        <v>0</v>
      </c>
      <c r="P252" s="164">
        <f t="shared" si="37"/>
        <v>0</v>
      </c>
      <c r="Q252" s="164">
        <f t="shared" si="38"/>
        <v>0</v>
      </c>
      <c r="R252" s="164">
        <f t="shared" si="47"/>
        <v>0</v>
      </c>
      <c r="S252" s="164">
        <f t="shared" si="39"/>
        <v>0</v>
      </c>
      <c r="T252" s="164">
        <f t="shared" si="40"/>
        <v>0</v>
      </c>
    </row>
    <row r="253" spans="2:20" x14ac:dyDescent="0.2">
      <c r="B253" s="171"/>
      <c r="D253" s="171"/>
      <c r="F253" s="158">
        <v>242</v>
      </c>
      <c r="G253" s="249">
        <f t="shared" si="41"/>
        <v>51013</v>
      </c>
      <c r="H253" s="158">
        <f t="shared" si="45"/>
        <v>31</v>
      </c>
      <c r="I253" s="254">
        <f>VLOOKUP(G253,'Прогноз переменной ставки'!$B$5:$E$304,4,1)</f>
        <v>9.9000000000000005E-2</v>
      </c>
      <c r="J253" s="164">
        <f t="shared" si="42"/>
        <v>0</v>
      </c>
      <c r="K253" s="164">
        <f t="shared" si="43"/>
        <v>0</v>
      </c>
      <c r="L253" s="164">
        <f t="shared" si="48"/>
        <v>0</v>
      </c>
      <c r="M253" s="164">
        <f t="shared" si="48"/>
        <v>0</v>
      </c>
      <c r="N253" s="164">
        <f t="shared" si="44"/>
        <v>0</v>
      </c>
      <c r="O253" s="164">
        <f t="shared" si="36"/>
        <v>0</v>
      </c>
      <c r="P253" s="164">
        <f t="shared" si="37"/>
        <v>0</v>
      </c>
      <c r="Q253" s="164">
        <f t="shared" si="38"/>
        <v>0</v>
      </c>
      <c r="R253" s="164">
        <f t="shared" si="47"/>
        <v>0</v>
      </c>
      <c r="S253" s="164">
        <f t="shared" si="39"/>
        <v>0</v>
      </c>
      <c r="T253" s="164">
        <f t="shared" si="40"/>
        <v>0</v>
      </c>
    </row>
    <row r="254" spans="2:20" x14ac:dyDescent="0.2">
      <c r="B254" s="171"/>
      <c r="D254" s="171"/>
      <c r="F254" s="158">
        <v>243</v>
      </c>
      <c r="G254" s="249">
        <f t="shared" si="41"/>
        <v>51043</v>
      </c>
      <c r="H254" s="158">
        <f t="shared" si="45"/>
        <v>30</v>
      </c>
      <c r="I254" s="254">
        <f>VLOOKUP(G254,'Прогноз переменной ставки'!$B$5:$E$304,4,1)</f>
        <v>9.9000000000000005E-2</v>
      </c>
      <c r="J254" s="164">
        <f t="shared" si="42"/>
        <v>0</v>
      </c>
      <c r="K254" s="164">
        <f t="shared" si="43"/>
        <v>0</v>
      </c>
      <c r="L254" s="164">
        <f t="shared" si="48"/>
        <v>0</v>
      </c>
      <c r="M254" s="164">
        <f t="shared" si="48"/>
        <v>0</v>
      </c>
      <c r="N254" s="164">
        <f t="shared" si="44"/>
        <v>0</v>
      </c>
      <c r="O254" s="164">
        <f t="shared" si="36"/>
        <v>0</v>
      </c>
      <c r="P254" s="164">
        <f t="shared" si="37"/>
        <v>0</v>
      </c>
      <c r="Q254" s="164">
        <f t="shared" si="38"/>
        <v>0</v>
      </c>
      <c r="R254" s="164">
        <f t="shared" si="47"/>
        <v>0</v>
      </c>
      <c r="S254" s="164">
        <f t="shared" si="39"/>
        <v>0</v>
      </c>
      <c r="T254" s="164">
        <f t="shared" si="40"/>
        <v>0</v>
      </c>
    </row>
    <row r="255" spans="2:20" x14ac:dyDescent="0.2">
      <c r="B255" s="171"/>
      <c r="D255" s="171"/>
      <c r="F255" s="158">
        <v>244</v>
      </c>
      <c r="G255" s="249">
        <f t="shared" si="41"/>
        <v>51074</v>
      </c>
      <c r="H255" s="158">
        <f t="shared" si="45"/>
        <v>31</v>
      </c>
      <c r="I255" s="254">
        <f>VLOOKUP(G255,'Прогноз переменной ставки'!$B$5:$E$304,4,1)</f>
        <v>9.9000000000000005E-2</v>
      </c>
      <c r="J255" s="164">
        <f t="shared" si="42"/>
        <v>0</v>
      </c>
      <c r="K255" s="164">
        <f t="shared" si="43"/>
        <v>0</v>
      </c>
      <c r="L255" s="164">
        <f t="shared" si="48"/>
        <v>0</v>
      </c>
      <c r="M255" s="164">
        <f t="shared" si="48"/>
        <v>0</v>
      </c>
      <c r="N255" s="164">
        <f t="shared" si="44"/>
        <v>0</v>
      </c>
      <c r="O255" s="164">
        <f t="shared" si="36"/>
        <v>0</v>
      </c>
      <c r="P255" s="164">
        <f t="shared" si="37"/>
        <v>0</v>
      </c>
      <c r="Q255" s="164">
        <f t="shared" si="38"/>
        <v>0</v>
      </c>
      <c r="R255" s="164">
        <f t="shared" si="47"/>
        <v>0</v>
      </c>
      <c r="S255" s="164">
        <f t="shared" si="39"/>
        <v>0</v>
      </c>
      <c r="T255" s="164">
        <f t="shared" si="40"/>
        <v>0</v>
      </c>
    </row>
    <row r="256" spans="2:20" x14ac:dyDescent="0.2">
      <c r="B256" s="171"/>
      <c r="D256" s="171"/>
      <c r="F256" s="158">
        <v>245</v>
      </c>
      <c r="G256" s="249">
        <f t="shared" si="41"/>
        <v>51104</v>
      </c>
      <c r="H256" s="158">
        <f t="shared" si="45"/>
        <v>30</v>
      </c>
      <c r="I256" s="254">
        <f>VLOOKUP(G256,'Прогноз переменной ставки'!$B$5:$E$304,4,1)</f>
        <v>9.9000000000000005E-2</v>
      </c>
      <c r="J256" s="164">
        <f t="shared" si="42"/>
        <v>0</v>
      </c>
      <c r="K256" s="164">
        <f t="shared" si="43"/>
        <v>0</v>
      </c>
      <c r="L256" s="164">
        <f t="shared" si="48"/>
        <v>0</v>
      </c>
      <c r="M256" s="164">
        <f t="shared" si="48"/>
        <v>0</v>
      </c>
      <c r="N256" s="164">
        <f t="shared" si="44"/>
        <v>0</v>
      </c>
      <c r="O256" s="164">
        <f t="shared" si="36"/>
        <v>0</v>
      </c>
      <c r="P256" s="164">
        <f t="shared" si="37"/>
        <v>0</v>
      </c>
      <c r="Q256" s="164">
        <f t="shared" si="38"/>
        <v>0</v>
      </c>
      <c r="R256" s="164">
        <f t="shared" si="47"/>
        <v>0</v>
      </c>
      <c r="S256" s="164">
        <f t="shared" si="39"/>
        <v>0</v>
      </c>
      <c r="T256" s="164">
        <f t="shared" si="40"/>
        <v>0</v>
      </c>
    </row>
    <row r="257" spans="2:20" x14ac:dyDescent="0.2">
      <c r="B257" s="171"/>
      <c r="D257" s="171"/>
      <c r="F257" s="158">
        <v>246</v>
      </c>
      <c r="G257" s="249">
        <f t="shared" si="41"/>
        <v>51135</v>
      </c>
      <c r="H257" s="158">
        <f t="shared" si="45"/>
        <v>31</v>
      </c>
      <c r="I257" s="254">
        <f>VLOOKUP(G257,'Прогноз переменной ставки'!$B$5:$E$304,4,1)</f>
        <v>9.9000000000000005E-2</v>
      </c>
      <c r="J257" s="164">
        <f t="shared" si="42"/>
        <v>0</v>
      </c>
      <c r="K257" s="164">
        <f t="shared" si="43"/>
        <v>0</v>
      </c>
      <c r="L257" s="164">
        <f t="shared" si="48"/>
        <v>0</v>
      </c>
      <c r="M257" s="164">
        <f t="shared" si="48"/>
        <v>0</v>
      </c>
      <c r="N257" s="164">
        <f t="shared" si="44"/>
        <v>0</v>
      </c>
      <c r="O257" s="164">
        <f t="shared" si="36"/>
        <v>0</v>
      </c>
      <c r="P257" s="164">
        <f t="shared" si="37"/>
        <v>0</v>
      </c>
      <c r="Q257" s="164">
        <f t="shared" si="38"/>
        <v>0</v>
      </c>
      <c r="R257" s="164">
        <f t="shared" si="47"/>
        <v>0</v>
      </c>
      <c r="S257" s="164">
        <f t="shared" si="39"/>
        <v>0</v>
      </c>
      <c r="T257" s="164">
        <f t="shared" si="40"/>
        <v>0</v>
      </c>
    </row>
    <row r="258" spans="2:20" x14ac:dyDescent="0.2">
      <c r="B258" s="171"/>
      <c r="D258" s="171"/>
      <c r="F258" s="158">
        <v>247</v>
      </c>
      <c r="G258" s="249">
        <f t="shared" si="41"/>
        <v>51166</v>
      </c>
      <c r="H258" s="158">
        <f t="shared" si="45"/>
        <v>31</v>
      </c>
      <c r="I258" s="254">
        <f>VLOOKUP(G258,'Прогноз переменной ставки'!$B$5:$E$304,4,1)</f>
        <v>9.9000000000000005E-2</v>
      </c>
      <c r="J258" s="164">
        <f t="shared" si="42"/>
        <v>0</v>
      </c>
      <c r="K258" s="164">
        <f t="shared" si="43"/>
        <v>0</v>
      </c>
      <c r="L258" s="164">
        <f t="shared" si="48"/>
        <v>0</v>
      </c>
      <c r="M258" s="164">
        <f t="shared" si="48"/>
        <v>0</v>
      </c>
      <c r="N258" s="164">
        <f t="shared" si="44"/>
        <v>0</v>
      </c>
      <c r="O258" s="164">
        <f t="shared" si="36"/>
        <v>0</v>
      </c>
      <c r="P258" s="164">
        <f t="shared" si="37"/>
        <v>0</v>
      </c>
      <c r="Q258" s="164">
        <f t="shared" si="38"/>
        <v>0</v>
      </c>
      <c r="R258" s="164">
        <f t="shared" si="47"/>
        <v>0</v>
      </c>
      <c r="S258" s="164">
        <f t="shared" si="39"/>
        <v>0</v>
      </c>
      <c r="T258" s="164">
        <f t="shared" si="40"/>
        <v>0</v>
      </c>
    </row>
    <row r="259" spans="2:20" x14ac:dyDescent="0.2">
      <c r="B259" s="171"/>
      <c r="D259" s="171"/>
      <c r="F259" s="158">
        <v>248</v>
      </c>
      <c r="G259" s="249">
        <f t="shared" si="41"/>
        <v>51195</v>
      </c>
      <c r="H259" s="158">
        <f t="shared" si="45"/>
        <v>29</v>
      </c>
      <c r="I259" s="254">
        <f>VLOOKUP(G259,'Прогноз переменной ставки'!$B$5:$E$304,4,1)</f>
        <v>9.9000000000000005E-2</v>
      </c>
      <c r="J259" s="164">
        <f t="shared" si="42"/>
        <v>0</v>
      </c>
      <c r="K259" s="164">
        <f t="shared" si="43"/>
        <v>0</v>
      </c>
      <c r="L259" s="164">
        <f t="shared" si="48"/>
        <v>0</v>
      </c>
      <c r="M259" s="164">
        <f t="shared" si="48"/>
        <v>0</v>
      </c>
      <c r="N259" s="164">
        <f t="shared" si="44"/>
        <v>0</v>
      </c>
      <c r="O259" s="164">
        <f t="shared" si="36"/>
        <v>0</v>
      </c>
      <c r="P259" s="164">
        <f t="shared" si="37"/>
        <v>0</v>
      </c>
      <c r="Q259" s="164">
        <f t="shared" si="38"/>
        <v>0</v>
      </c>
      <c r="R259" s="164">
        <f t="shared" si="47"/>
        <v>0</v>
      </c>
      <c r="S259" s="164">
        <f t="shared" si="39"/>
        <v>0</v>
      </c>
      <c r="T259" s="164">
        <f t="shared" si="40"/>
        <v>0</v>
      </c>
    </row>
    <row r="260" spans="2:20" x14ac:dyDescent="0.2">
      <c r="B260" s="171"/>
      <c r="D260" s="171"/>
      <c r="F260" s="158">
        <v>249</v>
      </c>
      <c r="G260" s="249">
        <f t="shared" si="41"/>
        <v>51226</v>
      </c>
      <c r="H260" s="158">
        <f t="shared" si="45"/>
        <v>31</v>
      </c>
      <c r="I260" s="254">
        <f>VLOOKUP(G260,'Прогноз переменной ставки'!$B$5:$E$304,4,1)</f>
        <v>9.9000000000000005E-2</v>
      </c>
      <c r="J260" s="164">
        <f t="shared" si="42"/>
        <v>0</v>
      </c>
      <c r="K260" s="164">
        <f t="shared" si="43"/>
        <v>0</v>
      </c>
      <c r="L260" s="164">
        <f t="shared" si="48"/>
        <v>0</v>
      </c>
      <c r="M260" s="164">
        <f t="shared" si="48"/>
        <v>0</v>
      </c>
      <c r="N260" s="164">
        <f t="shared" si="44"/>
        <v>0</v>
      </c>
      <c r="O260" s="164">
        <f t="shared" si="36"/>
        <v>0</v>
      </c>
      <c r="P260" s="164">
        <f t="shared" si="37"/>
        <v>0</v>
      </c>
      <c r="Q260" s="164">
        <f t="shared" si="38"/>
        <v>0</v>
      </c>
      <c r="R260" s="164">
        <f t="shared" si="47"/>
        <v>0</v>
      </c>
      <c r="S260" s="164">
        <f t="shared" si="39"/>
        <v>0</v>
      </c>
      <c r="T260" s="164">
        <f t="shared" si="40"/>
        <v>0</v>
      </c>
    </row>
    <row r="261" spans="2:20" x14ac:dyDescent="0.2">
      <c r="B261" s="171"/>
      <c r="D261" s="171"/>
      <c r="F261" s="158">
        <v>250</v>
      </c>
      <c r="G261" s="249">
        <f t="shared" si="41"/>
        <v>51256</v>
      </c>
      <c r="H261" s="158">
        <f t="shared" si="45"/>
        <v>30</v>
      </c>
      <c r="I261" s="254">
        <f>VLOOKUP(G261,'Прогноз переменной ставки'!$B$5:$E$304,4,1)</f>
        <v>9.9000000000000005E-2</v>
      </c>
      <c r="J261" s="164">
        <f t="shared" si="42"/>
        <v>0</v>
      </c>
      <c r="K261" s="164">
        <f t="shared" si="43"/>
        <v>0</v>
      </c>
      <c r="L261" s="164">
        <f t="shared" si="48"/>
        <v>0</v>
      </c>
      <c r="M261" s="164">
        <f t="shared" si="48"/>
        <v>0</v>
      </c>
      <c r="N261" s="164">
        <f t="shared" si="44"/>
        <v>0</v>
      </c>
      <c r="O261" s="164">
        <f t="shared" si="36"/>
        <v>0</v>
      </c>
      <c r="P261" s="164">
        <f t="shared" si="37"/>
        <v>0</v>
      </c>
      <c r="Q261" s="164">
        <f t="shared" si="38"/>
        <v>0</v>
      </c>
      <c r="R261" s="164">
        <f t="shared" si="47"/>
        <v>0</v>
      </c>
      <c r="S261" s="164">
        <f t="shared" si="39"/>
        <v>0</v>
      </c>
      <c r="T261" s="164">
        <f t="shared" si="40"/>
        <v>0</v>
      </c>
    </row>
    <row r="262" spans="2:20" x14ac:dyDescent="0.2">
      <c r="B262" s="171"/>
      <c r="D262" s="171"/>
      <c r="F262" s="158">
        <v>251</v>
      </c>
      <c r="G262" s="249">
        <f t="shared" si="41"/>
        <v>51287</v>
      </c>
      <c r="H262" s="158">
        <f t="shared" si="45"/>
        <v>31</v>
      </c>
      <c r="I262" s="254">
        <f>VLOOKUP(G262,'Прогноз переменной ставки'!$B$5:$E$304,4,1)</f>
        <v>9.9000000000000005E-2</v>
      </c>
      <c r="J262" s="164">
        <f t="shared" si="42"/>
        <v>0</v>
      </c>
      <c r="K262" s="164">
        <f t="shared" si="43"/>
        <v>0</v>
      </c>
      <c r="L262" s="164">
        <f t="shared" si="48"/>
        <v>0</v>
      </c>
      <c r="M262" s="164">
        <f t="shared" si="48"/>
        <v>0</v>
      </c>
      <c r="N262" s="164">
        <f t="shared" si="44"/>
        <v>0</v>
      </c>
      <c r="O262" s="164">
        <f t="shared" si="36"/>
        <v>0</v>
      </c>
      <c r="P262" s="164">
        <f t="shared" si="37"/>
        <v>0</v>
      </c>
      <c r="Q262" s="164">
        <f t="shared" si="38"/>
        <v>0</v>
      </c>
      <c r="R262" s="164">
        <f t="shared" si="47"/>
        <v>0</v>
      </c>
      <c r="S262" s="164">
        <f t="shared" si="39"/>
        <v>0</v>
      </c>
      <c r="T262" s="164">
        <f t="shared" si="40"/>
        <v>0</v>
      </c>
    </row>
    <row r="263" spans="2:20" x14ac:dyDescent="0.2">
      <c r="B263" s="171"/>
      <c r="D263" s="171"/>
      <c r="F263" s="158">
        <v>252</v>
      </c>
      <c r="G263" s="249">
        <f t="shared" si="41"/>
        <v>51317</v>
      </c>
      <c r="H263" s="158">
        <f t="shared" si="45"/>
        <v>30</v>
      </c>
      <c r="I263" s="254">
        <f>VLOOKUP(G263,'Прогноз переменной ставки'!$B$5:$E$304,4,1)</f>
        <v>9.9000000000000005E-2</v>
      </c>
      <c r="J263" s="164">
        <f t="shared" si="42"/>
        <v>0</v>
      </c>
      <c r="K263" s="164">
        <f t="shared" si="43"/>
        <v>0</v>
      </c>
      <c r="L263" s="164">
        <f t="shared" si="48"/>
        <v>0</v>
      </c>
      <c r="M263" s="164">
        <f t="shared" si="48"/>
        <v>0</v>
      </c>
      <c r="N263" s="164">
        <f t="shared" si="44"/>
        <v>0</v>
      </c>
      <c r="O263" s="164">
        <f t="shared" si="36"/>
        <v>0</v>
      </c>
      <c r="P263" s="164">
        <f t="shared" si="37"/>
        <v>0</v>
      </c>
      <c r="Q263" s="164">
        <f t="shared" si="38"/>
        <v>0</v>
      </c>
      <c r="R263" s="164">
        <f t="shared" si="47"/>
        <v>0</v>
      </c>
      <c r="S263" s="164">
        <f t="shared" si="39"/>
        <v>0</v>
      </c>
      <c r="T263" s="164">
        <f t="shared" si="40"/>
        <v>0</v>
      </c>
    </row>
    <row r="264" spans="2:20" x14ac:dyDescent="0.2">
      <c r="F264" s="158">
        <v>253</v>
      </c>
      <c r="G264" s="249">
        <f t="shared" si="41"/>
        <v>51348</v>
      </c>
      <c r="H264" s="158">
        <f t="shared" si="45"/>
        <v>31</v>
      </c>
      <c r="I264" s="254">
        <f>VLOOKUP(G264,'Прогноз переменной ставки'!$B$5:$E$304,4,1)</f>
        <v>9.9000000000000005E-2</v>
      </c>
      <c r="J264" s="164">
        <f t="shared" si="42"/>
        <v>0</v>
      </c>
      <c r="K264" s="164">
        <f t="shared" si="43"/>
        <v>0</v>
      </c>
      <c r="L264" s="164">
        <f t="shared" si="48"/>
        <v>0</v>
      </c>
      <c r="M264" s="164">
        <f t="shared" si="48"/>
        <v>0</v>
      </c>
      <c r="N264" s="164">
        <f t="shared" si="44"/>
        <v>0</v>
      </c>
      <c r="O264" s="164">
        <f t="shared" si="36"/>
        <v>0</v>
      </c>
      <c r="P264" s="164">
        <f t="shared" si="37"/>
        <v>0</v>
      </c>
      <c r="Q264" s="164">
        <f t="shared" si="38"/>
        <v>0</v>
      </c>
      <c r="R264" s="164">
        <f t="shared" si="47"/>
        <v>0</v>
      </c>
      <c r="S264" s="164">
        <f t="shared" si="39"/>
        <v>0</v>
      </c>
      <c r="T264" s="164">
        <f t="shared" si="40"/>
        <v>0</v>
      </c>
    </row>
    <row r="265" spans="2:20" x14ac:dyDescent="0.2">
      <c r="F265" s="158">
        <v>254</v>
      </c>
      <c r="G265" s="249">
        <f t="shared" si="41"/>
        <v>51379</v>
      </c>
      <c r="H265" s="158">
        <f t="shared" si="45"/>
        <v>31</v>
      </c>
      <c r="I265" s="254">
        <f>VLOOKUP(G265,'Прогноз переменной ставки'!$B$5:$E$304,4,1)</f>
        <v>9.9000000000000005E-2</v>
      </c>
      <c r="J265" s="164">
        <f t="shared" si="42"/>
        <v>0</v>
      </c>
      <c r="K265" s="164">
        <f t="shared" si="43"/>
        <v>0</v>
      </c>
      <c r="L265" s="164">
        <f t="shared" si="48"/>
        <v>0</v>
      </c>
      <c r="M265" s="164">
        <f t="shared" si="48"/>
        <v>0</v>
      </c>
      <c r="N265" s="164">
        <f t="shared" si="44"/>
        <v>0</v>
      </c>
      <c r="O265" s="164">
        <f t="shared" si="36"/>
        <v>0</v>
      </c>
      <c r="P265" s="164">
        <f t="shared" si="37"/>
        <v>0</v>
      </c>
      <c r="Q265" s="164">
        <f t="shared" si="38"/>
        <v>0</v>
      </c>
      <c r="R265" s="164">
        <f t="shared" si="47"/>
        <v>0</v>
      </c>
      <c r="S265" s="164">
        <f t="shared" si="39"/>
        <v>0</v>
      </c>
      <c r="T265" s="164">
        <f t="shared" si="40"/>
        <v>0</v>
      </c>
    </row>
    <row r="266" spans="2:20" x14ac:dyDescent="0.2">
      <c r="F266" s="158">
        <v>255</v>
      </c>
      <c r="G266" s="249">
        <f t="shared" si="41"/>
        <v>51409</v>
      </c>
      <c r="H266" s="158">
        <f t="shared" si="45"/>
        <v>30</v>
      </c>
      <c r="I266" s="254">
        <f>VLOOKUP(G266,'Прогноз переменной ставки'!$B$5:$E$304,4,1)</f>
        <v>9.9000000000000005E-2</v>
      </c>
      <c r="J266" s="164">
        <f t="shared" si="42"/>
        <v>0</v>
      </c>
      <c r="K266" s="164">
        <f t="shared" si="43"/>
        <v>0</v>
      </c>
      <c r="L266" s="164">
        <f t="shared" si="48"/>
        <v>0</v>
      </c>
      <c r="M266" s="164">
        <f t="shared" si="48"/>
        <v>0</v>
      </c>
      <c r="N266" s="164">
        <f t="shared" si="44"/>
        <v>0</v>
      </c>
      <c r="O266" s="164">
        <f t="shared" si="36"/>
        <v>0</v>
      </c>
      <c r="P266" s="164">
        <f t="shared" si="37"/>
        <v>0</v>
      </c>
      <c r="Q266" s="164">
        <f t="shared" si="38"/>
        <v>0</v>
      </c>
      <c r="R266" s="164">
        <f t="shared" si="47"/>
        <v>0</v>
      </c>
      <c r="S266" s="164">
        <f t="shared" si="39"/>
        <v>0</v>
      </c>
      <c r="T266" s="164">
        <f t="shared" si="40"/>
        <v>0</v>
      </c>
    </row>
    <row r="267" spans="2:20" x14ac:dyDescent="0.2">
      <c r="F267" s="158">
        <v>256</v>
      </c>
      <c r="G267" s="249">
        <f t="shared" si="41"/>
        <v>51440</v>
      </c>
      <c r="H267" s="158">
        <f t="shared" si="45"/>
        <v>31</v>
      </c>
      <c r="I267" s="254">
        <f>VLOOKUP(G267,'Прогноз переменной ставки'!$B$5:$E$304,4,1)</f>
        <v>9.9000000000000005E-2</v>
      </c>
      <c r="J267" s="164">
        <f t="shared" si="42"/>
        <v>0</v>
      </c>
      <c r="K267" s="164">
        <f t="shared" si="43"/>
        <v>0</v>
      </c>
      <c r="L267" s="164">
        <f t="shared" si="48"/>
        <v>0</v>
      </c>
      <c r="M267" s="164">
        <f t="shared" si="48"/>
        <v>0</v>
      </c>
      <c r="N267" s="164">
        <f t="shared" si="44"/>
        <v>0</v>
      </c>
      <c r="O267" s="164">
        <f t="shared" si="36"/>
        <v>0</v>
      </c>
      <c r="P267" s="164">
        <f t="shared" si="37"/>
        <v>0</v>
      </c>
      <c r="Q267" s="164">
        <f t="shared" si="38"/>
        <v>0</v>
      </c>
      <c r="R267" s="164">
        <f t="shared" si="47"/>
        <v>0</v>
      </c>
      <c r="S267" s="164">
        <f t="shared" si="39"/>
        <v>0</v>
      </c>
      <c r="T267" s="164">
        <f t="shared" si="40"/>
        <v>0</v>
      </c>
    </row>
    <row r="268" spans="2:20" x14ac:dyDescent="0.2">
      <c r="F268" s="158">
        <v>257</v>
      </c>
      <c r="G268" s="249">
        <f t="shared" si="41"/>
        <v>51470</v>
      </c>
      <c r="H268" s="158">
        <f t="shared" si="45"/>
        <v>30</v>
      </c>
      <c r="I268" s="254">
        <f>VLOOKUP(G268,'Прогноз переменной ставки'!$B$5:$E$304,4,1)</f>
        <v>9.9000000000000005E-2</v>
      </c>
      <c r="J268" s="164">
        <f t="shared" si="42"/>
        <v>0</v>
      </c>
      <c r="K268" s="164">
        <f t="shared" si="43"/>
        <v>0</v>
      </c>
      <c r="L268" s="164">
        <f t="shared" si="48"/>
        <v>0</v>
      </c>
      <c r="M268" s="164">
        <f t="shared" si="48"/>
        <v>0</v>
      </c>
      <c r="N268" s="164">
        <f t="shared" si="44"/>
        <v>0</v>
      </c>
      <c r="O268" s="164">
        <f t="shared" ref="O268:O311" si="49">MIN(J268-Q268-P268,L268)</f>
        <v>0</v>
      </c>
      <c r="P268" s="164">
        <f t="shared" ref="P268:P311" si="50">MIN(J268-Q268,N268)</f>
        <v>0</v>
      </c>
      <c r="Q268" s="164">
        <f t="shared" ref="Q268:Q311" si="51">MIN(J268,M268)</f>
        <v>0</v>
      </c>
      <c r="R268" s="164">
        <f t="shared" si="47"/>
        <v>0</v>
      </c>
      <c r="S268" s="164">
        <f t="shared" ref="S268:S311" si="52">L268-O268</f>
        <v>0</v>
      </c>
      <c r="T268" s="164">
        <f t="shared" ref="T268:T311" si="53">M268+R268-Q268</f>
        <v>0</v>
      </c>
    </row>
    <row r="269" spans="2:20" x14ac:dyDescent="0.2">
      <c r="F269" s="158">
        <v>258</v>
      </c>
      <c r="G269" s="249">
        <f t="shared" ref="G269:G311" si="54">EOMONTH($D$9,F269-1)</f>
        <v>51501</v>
      </c>
      <c r="H269" s="158">
        <f t="shared" si="45"/>
        <v>31</v>
      </c>
      <c r="I269" s="254">
        <f>VLOOKUP(G269,'Прогноз переменной ставки'!$B$5:$E$304,4,1)</f>
        <v>9.9000000000000005E-2</v>
      </c>
      <c r="J269" s="164">
        <f t="shared" ref="J269:J311" si="55">IF(F269=$D$4,K269+N269,MIN($D$5,K269+N269))</f>
        <v>0</v>
      </c>
      <c r="K269" s="164">
        <f t="shared" ref="K269:K311" si="56">L269+M269</f>
        <v>0</v>
      </c>
      <c r="L269" s="164">
        <f t="shared" si="48"/>
        <v>0</v>
      </c>
      <c r="M269" s="164">
        <f t="shared" si="48"/>
        <v>0</v>
      </c>
      <c r="N269" s="164">
        <f t="shared" ref="N269:N311" si="57">L269*I269/365.25*H269</f>
        <v>0</v>
      </c>
      <c r="O269" s="164">
        <f t="shared" si="49"/>
        <v>0</v>
      </c>
      <c r="P269" s="164">
        <f t="shared" si="50"/>
        <v>0</v>
      </c>
      <c r="Q269" s="164">
        <f t="shared" si="51"/>
        <v>0</v>
      </c>
      <c r="R269" s="164">
        <f t="shared" si="47"/>
        <v>0</v>
      </c>
      <c r="S269" s="164">
        <f t="shared" si="52"/>
        <v>0</v>
      </c>
      <c r="T269" s="164">
        <f t="shared" si="53"/>
        <v>0</v>
      </c>
    </row>
    <row r="270" spans="2:20" x14ac:dyDescent="0.2">
      <c r="F270" s="158">
        <v>259</v>
      </c>
      <c r="G270" s="249">
        <f t="shared" si="54"/>
        <v>51532</v>
      </c>
      <c r="H270" s="158">
        <f t="shared" ref="H270:H311" si="58">G270-G269</f>
        <v>31</v>
      </c>
      <c r="I270" s="254">
        <f>VLOOKUP(G270,'Прогноз переменной ставки'!$B$5:$E$304,4,1)</f>
        <v>9.9000000000000005E-2</v>
      </c>
      <c r="J270" s="164">
        <f t="shared" si="55"/>
        <v>0</v>
      </c>
      <c r="K270" s="164">
        <f t="shared" si="56"/>
        <v>0</v>
      </c>
      <c r="L270" s="164">
        <f t="shared" si="48"/>
        <v>0</v>
      </c>
      <c r="M270" s="164">
        <f t="shared" si="48"/>
        <v>0</v>
      </c>
      <c r="N270" s="164">
        <f t="shared" si="57"/>
        <v>0</v>
      </c>
      <c r="O270" s="164">
        <f t="shared" si="49"/>
        <v>0</v>
      </c>
      <c r="P270" s="164">
        <f t="shared" si="50"/>
        <v>0</v>
      </c>
      <c r="Q270" s="164">
        <f t="shared" si="51"/>
        <v>0</v>
      </c>
      <c r="R270" s="164">
        <f t="shared" ref="R270:R311" si="59">MAX(N270-P270,0)</f>
        <v>0</v>
      </c>
      <c r="S270" s="164">
        <f t="shared" si="52"/>
        <v>0</v>
      </c>
      <c r="T270" s="164">
        <f t="shared" si="53"/>
        <v>0</v>
      </c>
    </row>
    <row r="271" spans="2:20" x14ac:dyDescent="0.2">
      <c r="F271" s="158">
        <v>260</v>
      </c>
      <c r="G271" s="249">
        <f t="shared" si="54"/>
        <v>51560</v>
      </c>
      <c r="H271" s="158">
        <f t="shared" si="58"/>
        <v>28</v>
      </c>
      <c r="I271" s="254">
        <f>VLOOKUP(G271,'Прогноз переменной ставки'!$B$5:$E$304,4,1)</f>
        <v>9.9000000000000005E-2</v>
      </c>
      <c r="J271" s="164">
        <f t="shared" si="55"/>
        <v>0</v>
      </c>
      <c r="K271" s="164">
        <f t="shared" si="56"/>
        <v>0</v>
      </c>
      <c r="L271" s="164">
        <f t="shared" si="48"/>
        <v>0</v>
      </c>
      <c r="M271" s="164">
        <f t="shared" si="48"/>
        <v>0</v>
      </c>
      <c r="N271" s="164">
        <f t="shared" si="57"/>
        <v>0</v>
      </c>
      <c r="O271" s="164">
        <f t="shared" si="49"/>
        <v>0</v>
      </c>
      <c r="P271" s="164">
        <f t="shared" si="50"/>
        <v>0</v>
      </c>
      <c r="Q271" s="164">
        <f t="shared" si="51"/>
        <v>0</v>
      </c>
      <c r="R271" s="164">
        <f t="shared" si="59"/>
        <v>0</v>
      </c>
      <c r="S271" s="164">
        <f t="shared" si="52"/>
        <v>0</v>
      </c>
      <c r="T271" s="164">
        <f t="shared" si="53"/>
        <v>0</v>
      </c>
    </row>
    <row r="272" spans="2:20" x14ac:dyDescent="0.2">
      <c r="F272" s="158">
        <v>261</v>
      </c>
      <c r="G272" s="249">
        <f t="shared" si="54"/>
        <v>51591</v>
      </c>
      <c r="H272" s="158">
        <f t="shared" si="58"/>
        <v>31</v>
      </c>
      <c r="I272" s="254">
        <f>VLOOKUP(G272,'Прогноз переменной ставки'!$B$5:$E$304,4,1)</f>
        <v>9.9000000000000005E-2</v>
      </c>
      <c r="J272" s="164">
        <f t="shared" si="55"/>
        <v>0</v>
      </c>
      <c r="K272" s="164">
        <f t="shared" si="56"/>
        <v>0</v>
      </c>
      <c r="L272" s="164">
        <f t="shared" si="48"/>
        <v>0</v>
      </c>
      <c r="M272" s="164">
        <f t="shared" si="48"/>
        <v>0</v>
      </c>
      <c r="N272" s="164">
        <f t="shared" si="57"/>
        <v>0</v>
      </c>
      <c r="O272" s="164">
        <f t="shared" si="49"/>
        <v>0</v>
      </c>
      <c r="P272" s="164">
        <f t="shared" si="50"/>
        <v>0</v>
      </c>
      <c r="Q272" s="164">
        <f t="shared" si="51"/>
        <v>0</v>
      </c>
      <c r="R272" s="164">
        <f t="shared" si="59"/>
        <v>0</v>
      </c>
      <c r="S272" s="164">
        <f t="shared" si="52"/>
        <v>0</v>
      </c>
      <c r="T272" s="164">
        <f t="shared" si="53"/>
        <v>0</v>
      </c>
    </row>
    <row r="273" spans="6:20" x14ac:dyDescent="0.2">
      <c r="F273" s="158">
        <v>262</v>
      </c>
      <c r="G273" s="249">
        <f t="shared" si="54"/>
        <v>51621</v>
      </c>
      <c r="H273" s="158">
        <f t="shared" si="58"/>
        <v>30</v>
      </c>
      <c r="I273" s="254">
        <f>VLOOKUP(G273,'Прогноз переменной ставки'!$B$5:$E$304,4,1)</f>
        <v>9.9000000000000005E-2</v>
      </c>
      <c r="J273" s="164">
        <f t="shared" si="55"/>
        <v>0</v>
      </c>
      <c r="K273" s="164">
        <f t="shared" si="56"/>
        <v>0</v>
      </c>
      <c r="L273" s="164">
        <f t="shared" si="48"/>
        <v>0</v>
      </c>
      <c r="M273" s="164">
        <f t="shared" si="48"/>
        <v>0</v>
      </c>
      <c r="N273" s="164">
        <f t="shared" si="57"/>
        <v>0</v>
      </c>
      <c r="O273" s="164">
        <f t="shared" si="49"/>
        <v>0</v>
      </c>
      <c r="P273" s="164">
        <f t="shared" si="50"/>
        <v>0</v>
      </c>
      <c r="Q273" s="164">
        <f t="shared" si="51"/>
        <v>0</v>
      </c>
      <c r="R273" s="164">
        <f t="shared" si="59"/>
        <v>0</v>
      </c>
      <c r="S273" s="164">
        <f t="shared" si="52"/>
        <v>0</v>
      </c>
      <c r="T273" s="164">
        <f t="shared" si="53"/>
        <v>0</v>
      </c>
    </row>
    <row r="274" spans="6:20" x14ac:dyDescent="0.2">
      <c r="F274" s="158">
        <v>263</v>
      </c>
      <c r="G274" s="249">
        <f t="shared" si="54"/>
        <v>51652</v>
      </c>
      <c r="H274" s="158">
        <f t="shared" si="58"/>
        <v>31</v>
      </c>
      <c r="I274" s="254">
        <f>VLOOKUP(G274,'Прогноз переменной ставки'!$B$5:$E$304,4,1)</f>
        <v>9.9000000000000005E-2</v>
      </c>
      <c r="J274" s="164">
        <f t="shared" si="55"/>
        <v>0</v>
      </c>
      <c r="K274" s="164">
        <f t="shared" si="56"/>
        <v>0</v>
      </c>
      <c r="L274" s="164">
        <f t="shared" si="48"/>
        <v>0</v>
      </c>
      <c r="M274" s="164">
        <f t="shared" si="48"/>
        <v>0</v>
      </c>
      <c r="N274" s="164">
        <f t="shared" si="57"/>
        <v>0</v>
      </c>
      <c r="O274" s="164">
        <f t="shared" si="49"/>
        <v>0</v>
      </c>
      <c r="P274" s="164">
        <f t="shared" si="50"/>
        <v>0</v>
      </c>
      <c r="Q274" s="164">
        <f t="shared" si="51"/>
        <v>0</v>
      </c>
      <c r="R274" s="164">
        <f t="shared" si="59"/>
        <v>0</v>
      </c>
      <c r="S274" s="164">
        <f t="shared" si="52"/>
        <v>0</v>
      </c>
      <c r="T274" s="164">
        <f t="shared" si="53"/>
        <v>0</v>
      </c>
    </row>
    <row r="275" spans="6:20" x14ac:dyDescent="0.2">
      <c r="F275" s="158">
        <v>264</v>
      </c>
      <c r="G275" s="249">
        <f t="shared" si="54"/>
        <v>51682</v>
      </c>
      <c r="H275" s="158">
        <f t="shared" si="58"/>
        <v>30</v>
      </c>
      <c r="I275" s="254">
        <f>VLOOKUP(G275,'Прогноз переменной ставки'!$B$5:$E$304,4,1)</f>
        <v>9.9000000000000005E-2</v>
      </c>
      <c r="J275" s="164">
        <f t="shared" si="55"/>
        <v>0</v>
      </c>
      <c r="K275" s="164">
        <f t="shared" si="56"/>
        <v>0</v>
      </c>
      <c r="L275" s="164">
        <f t="shared" si="48"/>
        <v>0</v>
      </c>
      <c r="M275" s="164">
        <f t="shared" si="48"/>
        <v>0</v>
      </c>
      <c r="N275" s="164">
        <f t="shared" si="57"/>
        <v>0</v>
      </c>
      <c r="O275" s="164">
        <f t="shared" si="49"/>
        <v>0</v>
      </c>
      <c r="P275" s="164">
        <f t="shared" si="50"/>
        <v>0</v>
      </c>
      <c r="Q275" s="164">
        <f t="shared" si="51"/>
        <v>0</v>
      </c>
      <c r="R275" s="164">
        <f t="shared" si="59"/>
        <v>0</v>
      </c>
      <c r="S275" s="164">
        <f t="shared" si="52"/>
        <v>0</v>
      </c>
      <c r="T275" s="164">
        <f t="shared" si="53"/>
        <v>0</v>
      </c>
    </row>
    <row r="276" spans="6:20" x14ac:dyDescent="0.2">
      <c r="F276" s="158">
        <v>265</v>
      </c>
      <c r="G276" s="249">
        <f t="shared" si="54"/>
        <v>51713</v>
      </c>
      <c r="H276" s="158">
        <f t="shared" si="58"/>
        <v>31</v>
      </c>
      <c r="I276" s="254">
        <f>VLOOKUP(G276,'Прогноз переменной ставки'!$B$5:$E$304,4,1)</f>
        <v>9.9000000000000005E-2</v>
      </c>
      <c r="J276" s="164">
        <f t="shared" si="55"/>
        <v>0</v>
      </c>
      <c r="K276" s="164">
        <f t="shared" si="56"/>
        <v>0</v>
      </c>
      <c r="L276" s="164">
        <f t="shared" si="48"/>
        <v>0</v>
      </c>
      <c r="M276" s="164">
        <f t="shared" si="48"/>
        <v>0</v>
      </c>
      <c r="N276" s="164">
        <f t="shared" si="57"/>
        <v>0</v>
      </c>
      <c r="O276" s="164">
        <f t="shared" si="49"/>
        <v>0</v>
      </c>
      <c r="P276" s="164">
        <f t="shared" si="50"/>
        <v>0</v>
      </c>
      <c r="Q276" s="164">
        <f t="shared" si="51"/>
        <v>0</v>
      </c>
      <c r="R276" s="164">
        <f t="shared" si="59"/>
        <v>0</v>
      </c>
      <c r="S276" s="164">
        <f t="shared" si="52"/>
        <v>0</v>
      </c>
      <c r="T276" s="164">
        <f t="shared" si="53"/>
        <v>0</v>
      </c>
    </row>
    <row r="277" spans="6:20" x14ac:dyDescent="0.2">
      <c r="F277" s="158">
        <v>266</v>
      </c>
      <c r="G277" s="249">
        <f t="shared" si="54"/>
        <v>51744</v>
      </c>
      <c r="H277" s="158">
        <f t="shared" si="58"/>
        <v>31</v>
      </c>
      <c r="I277" s="254">
        <f>VLOOKUP(G277,'Прогноз переменной ставки'!$B$5:$E$304,4,1)</f>
        <v>9.9000000000000005E-2</v>
      </c>
      <c r="J277" s="164">
        <f t="shared" si="55"/>
        <v>0</v>
      </c>
      <c r="K277" s="164">
        <f t="shared" si="56"/>
        <v>0</v>
      </c>
      <c r="L277" s="164">
        <f t="shared" si="48"/>
        <v>0</v>
      </c>
      <c r="M277" s="164">
        <f t="shared" si="48"/>
        <v>0</v>
      </c>
      <c r="N277" s="164">
        <f t="shared" si="57"/>
        <v>0</v>
      </c>
      <c r="O277" s="164">
        <f t="shared" si="49"/>
        <v>0</v>
      </c>
      <c r="P277" s="164">
        <f t="shared" si="50"/>
        <v>0</v>
      </c>
      <c r="Q277" s="164">
        <f t="shared" si="51"/>
        <v>0</v>
      </c>
      <c r="R277" s="164">
        <f t="shared" si="59"/>
        <v>0</v>
      </c>
      <c r="S277" s="164">
        <f t="shared" si="52"/>
        <v>0</v>
      </c>
      <c r="T277" s="164">
        <f t="shared" si="53"/>
        <v>0</v>
      </c>
    </row>
    <row r="278" spans="6:20" x14ac:dyDescent="0.2">
      <c r="F278" s="158">
        <v>267</v>
      </c>
      <c r="G278" s="249">
        <f t="shared" si="54"/>
        <v>51774</v>
      </c>
      <c r="H278" s="158">
        <f t="shared" si="58"/>
        <v>30</v>
      </c>
      <c r="I278" s="254">
        <f>VLOOKUP(G278,'Прогноз переменной ставки'!$B$5:$E$304,4,1)</f>
        <v>9.9000000000000005E-2</v>
      </c>
      <c r="J278" s="164">
        <f t="shared" si="55"/>
        <v>0</v>
      </c>
      <c r="K278" s="164">
        <f t="shared" si="56"/>
        <v>0</v>
      </c>
      <c r="L278" s="164">
        <f t="shared" ref="L278:M311" si="60">S277</f>
        <v>0</v>
      </c>
      <c r="M278" s="164">
        <f t="shared" si="60"/>
        <v>0</v>
      </c>
      <c r="N278" s="164">
        <f t="shared" si="57"/>
        <v>0</v>
      </c>
      <c r="O278" s="164">
        <f t="shared" si="49"/>
        <v>0</v>
      </c>
      <c r="P278" s="164">
        <f t="shared" si="50"/>
        <v>0</v>
      </c>
      <c r="Q278" s="164">
        <f t="shared" si="51"/>
        <v>0</v>
      </c>
      <c r="R278" s="164">
        <f t="shared" si="59"/>
        <v>0</v>
      </c>
      <c r="S278" s="164">
        <f t="shared" si="52"/>
        <v>0</v>
      </c>
      <c r="T278" s="164">
        <f t="shared" si="53"/>
        <v>0</v>
      </c>
    </row>
    <row r="279" spans="6:20" x14ac:dyDescent="0.2">
      <c r="F279" s="158">
        <v>268</v>
      </c>
      <c r="G279" s="249">
        <f t="shared" si="54"/>
        <v>51805</v>
      </c>
      <c r="H279" s="158">
        <f t="shared" si="58"/>
        <v>31</v>
      </c>
      <c r="I279" s="254">
        <f>VLOOKUP(G279,'Прогноз переменной ставки'!$B$5:$E$304,4,1)</f>
        <v>9.9000000000000005E-2</v>
      </c>
      <c r="J279" s="164">
        <f t="shared" si="55"/>
        <v>0</v>
      </c>
      <c r="K279" s="164">
        <f t="shared" si="56"/>
        <v>0</v>
      </c>
      <c r="L279" s="164">
        <f t="shared" si="60"/>
        <v>0</v>
      </c>
      <c r="M279" s="164">
        <f t="shared" si="60"/>
        <v>0</v>
      </c>
      <c r="N279" s="164">
        <f t="shared" si="57"/>
        <v>0</v>
      </c>
      <c r="O279" s="164">
        <f t="shared" si="49"/>
        <v>0</v>
      </c>
      <c r="P279" s="164">
        <f t="shared" si="50"/>
        <v>0</v>
      </c>
      <c r="Q279" s="164">
        <f t="shared" si="51"/>
        <v>0</v>
      </c>
      <c r="R279" s="164">
        <f t="shared" si="59"/>
        <v>0</v>
      </c>
      <c r="S279" s="164">
        <f t="shared" si="52"/>
        <v>0</v>
      </c>
      <c r="T279" s="164">
        <f t="shared" si="53"/>
        <v>0</v>
      </c>
    </row>
    <row r="280" spans="6:20" x14ac:dyDescent="0.2">
      <c r="F280" s="158">
        <v>269</v>
      </c>
      <c r="G280" s="249">
        <f t="shared" si="54"/>
        <v>51835</v>
      </c>
      <c r="H280" s="158">
        <f t="shared" si="58"/>
        <v>30</v>
      </c>
      <c r="I280" s="254">
        <f>VLOOKUP(G280,'Прогноз переменной ставки'!$B$5:$E$304,4,1)</f>
        <v>9.9000000000000005E-2</v>
      </c>
      <c r="J280" s="164">
        <f t="shared" si="55"/>
        <v>0</v>
      </c>
      <c r="K280" s="164">
        <f t="shared" si="56"/>
        <v>0</v>
      </c>
      <c r="L280" s="164">
        <f t="shared" si="60"/>
        <v>0</v>
      </c>
      <c r="M280" s="164">
        <f t="shared" si="60"/>
        <v>0</v>
      </c>
      <c r="N280" s="164">
        <f t="shared" si="57"/>
        <v>0</v>
      </c>
      <c r="O280" s="164">
        <f t="shared" si="49"/>
        <v>0</v>
      </c>
      <c r="P280" s="164">
        <f t="shared" si="50"/>
        <v>0</v>
      </c>
      <c r="Q280" s="164">
        <f t="shared" si="51"/>
        <v>0</v>
      </c>
      <c r="R280" s="164">
        <f t="shared" si="59"/>
        <v>0</v>
      </c>
      <c r="S280" s="164">
        <f t="shared" si="52"/>
        <v>0</v>
      </c>
      <c r="T280" s="164">
        <f t="shared" si="53"/>
        <v>0</v>
      </c>
    </row>
    <row r="281" spans="6:20" x14ac:dyDescent="0.2">
      <c r="F281" s="158">
        <v>270</v>
      </c>
      <c r="G281" s="249">
        <f t="shared" si="54"/>
        <v>51866</v>
      </c>
      <c r="H281" s="158">
        <f t="shared" si="58"/>
        <v>31</v>
      </c>
      <c r="I281" s="254">
        <f>VLOOKUP(G281,'Прогноз переменной ставки'!$B$5:$E$304,4,1)</f>
        <v>9.9000000000000005E-2</v>
      </c>
      <c r="J281" s="164">
        <f t="shared" si="55"/>
        <v>0</v>
      </c>
      <c r="K281" s="164">
        <f t="shared" si="56"/>
        <v>0</v>
      </c>
      <c r="L281" s="164">
        <f t="shared" si="60"/>
        <v>0</v>
      </c>
      <c r="M281" s="164">
        <f t="shared" si="60"/>
        <v>0</v>
      </c>
      <c r="N281" s="164">
        <f t="shared" si="57"/>
        <v>0</v>
      </c>
      <c r="O281" s="164">
        <f t="shared" si="49"/>
        <v>0</v>
      </c>
      <c r="P281" s="164">
        <f t="shared" si="50"/>
        <v>0</v>
      </c>
      <c r="Q281" s="164">
        <f t="shared" si="51"/>
        <v>0</v>
      </c>
      <c r="R281" s="164">
        <f t="shared" si="59"/>
        <v>0</v>
      </c>
      <c r="S281" s="164">
        <f t="shared" si="52"/>
        <v>0</v>
      </c>
      <c r="T281" s="164">
        <f t="shared" si="53"/>
        <v>0</v>
      </c>
    </row>
    <row r="282" spans="6:20" x14ac:dyDescent="0.2">
      <c r="F282" s="158">
        <v>271</v>
      </c>
      <c r="G282" s="249">
        <f t="shared" si="54"/>
        <v>51897</v>
      </c>
      <c r="H282" s="158">
        <f t="shared" si="58"/>
        <v>31</v>
      </c>
      <c r="I282" s="254">
        <f>VLOOKUP(G282,'Прогноз переменной ставки'!$B$5:$E$304,4,1)</f>
        <v>9.9000000000000005E-2</v>
      </c>
      <c r="J282" s="164">
        <f t="shared" si="55"/>
        <v>0</v>
      </c>
      <c r="K282" s="164">
        <f t="shared" si="56"/>
        <v>0</v>
      </c>
      <c r="L282" s="164">
        <f t="shared" si="60"/>
        <v>0</v>
      </c>
      <c r="M282" s="164">
        <f t="shared" si="60"/>
        <v>0</v>
      </c>
      <c r="N282" s="164">
        <f t="shared" si="57"/>
        <v>0</v>
      </c>
      <c r="O282" s="164">
        <f t="shared" si="49"/>
        <v>0</v>
      </c>
      <c r="P282" s="164">
        <f t="shared" si="50"/>
        <v>0</v>
      </c>
      <c r="Q282" s="164">
        <f t="shared" si="51"/>
        <v>0</v>
      </c>
      <c r="R282" s="164">
        <f t="shared" si="59"/>
        <v>0</v>
      </c>
      <c r="S282" s="164">
        <f t="shared" si="52"/>
        <v>0</v>
      </c>
      <c r="T282" s="164">
        <f t="shared" si="53"/>
        <v>0</v>
      </c>
    </row>
    <row r="283" spans="6:20" x14ac:dyDescent="0.2">
      <c r="F283" s="158">
        <v>272</v>
      </c>
      <c r="G283" s="249">
        <f t="shared" si="54"/>
        <v>51925</v>
      </c>
      <c r="H283" s="158">
        <f t="shared" si="58"/>
        <v>28</v>
      </c>
      <c r="I283" s="254">
        <f>VLOOKUP(G283,'Прогноз переменной ставки'!$B$5:$E$304,4,1)</f>
        <v>9.9000000000000005E-2</v>
      </c>
      <c r="J283" s="164">
        <f t="shared" si="55"/>
        <v>0</v>
      </c>
      <c r="K283" s="164">
        <f t="shared" si="56"/>
        <v>0</v>
      </c>
      <c r="L283" s="164">
        <f t="shared" si="60"/>
        <v>0</v>
      </c>
      <c r="M283" s="164">
        <f t="shared" si="60"/>
        <v>0</v>
      </c>
      <c r="N283" s="164">
        <f t="shared" si="57"/>
        <v>0</v>
      </c>
      <c r="O283" s="164">
        <f t="shared" si="49"/>
        <v>0</v>
      </c>
      <c r="P283" s="164">
        <f t="shared" si="50"/>
        <v>0</v>
      </c>
      <c r="Q283" s="164">
        <f t="shared" si="51"/>
        <v>0</v>
      </c>
      <c r="R283" s="164">
        <f t="shared" si="59"/>
        <v>0</v>
      </c>
      <c r="S283" s="164">
        <f t="shared" si="52"/>
        <v>0</v>
      </c>
      <c r="T283" s="164">
        <f t="shared" si="53"/>
        <v>0</v>
      </c>
    </row>
    <row r="284" spans="6:20" x14ac:dyDescent="0.2">
      <c r="F284" s="158">
        <v>273</v>
      </c>
      <c r="G284" s="249">
        <f t="shared" si="54"/>
        <v>51956</v>
      </c>
      <c r="H284" s="158">
        <f t="shared" si="58"/>
        <v>31</v>
      </c>
      <c r="I284" s="254">
        <f>VLOOKUP(G284,'Прогноз переменной ставки'!$B$5:$E$304,4,1)</f>
        <v>9.9000000000000005E-2</v>
      </c>
      <c r="J284" s="164">
        <f t="shared" si="55"/>
        <v>0</v>
      </c>
      <c r="K284" s="164">
        <f t="shared" si="56"/>
        <v>0</v>
      </c>
      <c r="L284" s="164">
        <f t="shared" si="60"/>
        <v>0</v>
      </c>
      <c r="M284" s="164">
        <f t="shared" si="60"/>
        <v>0</v>
      </c>
      <c r="N284" s="164">
        <f t="shared" si="57"/>
        <v>0</v>
      </c>
      <c r="O284" s="164">
        <f t="shared" si="49"/>
        <v>0</v>
      </c>
      <c r="P284" s="164">
        <f t="shared" si="50"/>
        <v>0</v>
      </c>
      <c r="Q284" s="164">
        <f t="shared" si="51"/>
        <v>0</v>
      </c>
      <c r="R284" s="164">
        <f t="shared" si="59"/>
        <v>0</v>
      </c>
      <c r="S284" s="164">
        <f t="shared" si="52"/>
        <v>0</v>
      </c>
      <c r="T284" s="164">
        <f t="shared" si="53"/>
        <v>0</v>
      </c>
    </row>
    <row r="285" spans="6:20" x14ac:dyDescent="0.2">
      <c r="F285" s="158">
        <v>274</v>
      </c>
      <c r="G285" s="249">
        <f t="shared" si="54"/>
        <v>51986</v>
      </c>
      <c r="H285" s="158">
        <f t="shared" si="58"/>
        <v>30</v>
      </c>
      <c r="I285" s="254">
        <f>VLOOKUP(G285,'Прогноз переменной ставки'!$B$5:$E$304,4,1)</f>
        <v>9.9000000000000005E-2</v>
      </c>
      <c r="J285" s="164">
        <f t="shared" si="55"/>
        <v>0</v>
      </c>
      <c r="K285" s="164">
        <f t="shared" si="56"/>
        <v>0</v>
      </c>
      <c r="L285" s="164">
        <f t="shared" si="60"/>
        <v>0</v>
      </c>
      <c r="M285" s="164">
        <f t="shared" si="60"/>
        <v>0</v>
      </c>
      <c r="N285" s="164">
        <f t="shared" si="57"/>
        <v>0</v>
      </c>
      <c r="O285" s="164">
        <f t="shared" si="49"/>
        <v>0</v>
      </c>
      <c r="P285" s="164">
        <f t="shared" si="50"/>
        <v>0</v>
      </c>
      <c r="Q285" s="164">
        <f t="shared" si="51"/>
        <v>0</v>
      </c>
      <c r="R285" s="164">
        <f t="shared" si="59"/>
        <v>0</v>
      </c>
      <c r="S285" s="164">
        <f t="shared" si="52"/>
        <v>0</v>
      </c>
      <c r="T285" s="164">
        <f t="shared" si="53"/>
        <v>0</v>
      </c>
    </row>
    <row r="286" spans="6:20" x14ac:dyDescent="0.2">
      <c r="F286" s="158">
        <v>275</v>
      </c>
      <c r="G286" s="249">
        <f t="shared" si="54"/>
        <v>52017</v>
      </c>
      <c r="H286" s="158">
        <f t="shared" si="58"/>
        <v>31</v>
      </c>
      <c r="I286" s="254">
        <f>VLOOKUP(G286,'Прогноз переменной ставки'!$B$5:$E$304,4,1)</f>
        <v>9.9000000000000005E-2</v>
      </c>
      <c r="J286" s="164">
        <f t="shared" si="55"/>
        <v>0</v>
      </c>
      <c r="K286" s="164">
        <f t="shared" si="56"/>
        <v>0</v>
      </c>
      <c r="L286" s="164">
        <f t="shared" si="60"/>
        <v>0</v>
      </c>
      <c r="M286" s="164">
        <f t="shared" si="60"/>
        <v>0</v>
      </c>
      <c r="N286" s="164">
        <f t="shared" si="57"/>
        <v>0</v>
      </c>
      <c r="O286" s="164">
        <f t="shared" si="49"/>
        <v>0</v>
      </c>
      <c r="P286" s="164">
        <f t="shared" si="50"/>
        <v>0</v>
      </c>
      <c r="Q286" s="164">
        <f t="shared" si="51"/>
        <v>0</v>
      </c>
      <c r="R286" s="164">
        <f t="shared" si="59"/>
        <v>0</v>
      </c>
      <c r="S286" s="164">
        <f t="shared" si="52"/>
        <v>0</v>
      </c>
      <c r="T286" s="164">
        <f t="shared" si="53"/>
        <v>0</v>
      </c>
    </row>
    <row r="287" spans="6:20" x14ac:dyDescent="0.2">
      <c r="F287" s="158">
        <v>276</v>
      </c>
      <c r="G287" s="249">
        <f t="shared" si="54"/>
        <v>52047</v>
      </c>
      <c r="H287" s="158">
        <f t="shared" si="58"/>
        <v>30</v>
      </c>
      <c r="I287" s="254">
        <f>VLOOKUP(G287,'Прогноз переменной ставки'!$B$5:$E$304,4,1)</f>
        <v>9.9000000000000005E-2</v>
      </c>
      <c r="J287" s="164">
        <f t="shared" si="55"/>
        <v>0</v>
      </c>
      <c r="K287" s="164">
        <f t="shared" si="56"/>
        <v>0</v>
      </c>
      <c r="L287" s="164">
        <f t="shared" si="60"/>
        <v>0</v>
      </c>
      <c r="M287" s="164">
        <f t="shared" si="60"/>
        <v>0</v>
      </c>
      <c r="N287" s="164">
        <f t="shared" si="57"/>
        <v>0</v>
      </c>
      <c r="O287" s="164">
        <f t="shared" si="49"/>
        <v>0</v>
      </c>
      <c r="P287" s="164">
        <f t="shared" si="50"/>
        <v>0</v>
      </c>
      <c r="Q287" s="164">
        <f t="shared" si="51"/>
        <v>0</v>
      </c>
      <c r="R287" s="164">
        <f t="shared" si="59"/>
        <v>0</v>
      </c>
      <c r="S287" s="164">
        <f t="shared" si="52"/>
        <v>0</v>
      </c>
      <c r="T287" s="164">
        <f t="shared" si="53"/>
        <v>0</v>
      </c>
    </row>
    <row r="288" spans="6:20" x14ac:dyDescent="0.2">
      <c r="F288" s="158">
        <v>277</v>
      </c>
      <c r="G288" s="249">
        <f t="shared" si="54"/>
        <v>52078</v>
      </c>
      <c r="H288" s="158">
        <f t="shared" si="58"/>
        <v>31</v>
      </c>
      <c r="I288" s="254">
        <f>VLOOKUP(G288,'Прогноз переменной ставки'!$B$5:$E$304,4,1)</f>
        <v>9.9000000000000005E-2</v>
      </c>
      <c r="J288" s="164">
        <f t="shared" si="55"/>
        <v>0</v>
      </c>
      <c r="K288" s="164">
        <f t="shared" si="56"/>
        <v>0</v>
      </c>
      <c r="L288" s="164">
        <f t="shared" si="60"/>
        <v>0</v>
      </c>
      <c r="M288" s="164">
        <f t="shared" si="60"/>
        <v>0</v>
      </c>
      <c r="N288" s="164">
        <f t="shared" si="57"/>
        <v>0</v>
      </c>
      <c r="O288" s="164">
        <f t="shared" si="49"/>
        <v>0</v>
      </c>
      <c r="P288" s="164">
        <f t="shared" si="50"/>
        <v>0</v>
      </c>
      <c r="Q288" s="164">
        <f t="shared" si="51"/>
        <v>0</v>
      </c>
      <c r="R288" s="164">
        <f t="shared" si="59"/>
        <v>0</v>
      </c>
      <c r="S288" s="164">
        <f t="shared" si="52"/>
        <v>0</v>
      </c>
      <c r="T288" s="164">
        <f t="shared" si="53"/>
        <v>0</v>
      </c>
    </row>
    <row r="289" spans="6:20" x14ac:dyDescent="0.2">
      <c r="F289" s="158">
        <v>278</v>
      </c>
      <c r="G289" s="249">
        <f t="shared" si="54"/>
        <v>52109</v>
      </c>
      <c r="H289" s="158">
        <f t="shared" si="58"/>
        <v>31</v>
      </c>
      <c r="I289" s="254">
        <f>VLOOKUP(G289,'Прогноз переменной ставки'!$B$5:$E$304,4,1)</f>
        <v>9.9000000000000005E-2</v>
      </c>
      <c r="J289" s="164">
        <f t="shared" si="55"/>
        <v>0</v>
      </c>
      <c r="K289" s="164">
        <f t="shared" si="56"/>
        <v>0</v>
      </c>
      <c r="L289" s="164">
        <f t="shared" si="60"/>
        <v>0</v>
      </c>
      <c r="M289" s="164">
        <f t="shared" si="60"/>
        <v>0</v>
      </c>
      <c r="N289" s="164">
        <f t="shared" si="57"/>
        <v>0</v>
      </c>
      <c r="O289" s="164">
        <f t="shared" si="49"/>
        <v>0</v>
      </c>
      <c r="P289" s="164">
        <f t="shared" si="50"/>
        <v>0</v>
      </c>
      <c r="Q289" s="164">
        <f t="shared" si="51"/>
        <v>0</v>
      </c>
      <c r="R289" s="164">
        <f t="shared" si="59"/>
        <v>0</v>
      </c>
      <c r="S289" s="164">
        <f t="shared" si="52"/>
        <v>0</v>
      </c>
      <c r="T289" s="164">
        <f t="shared" si="53"/>
        <v>0</v>
      </c>
    </row>
    <row r="290" spans="6:20" x14ac:dyDescent="0.2">
      <c r="F290" s="158">
        <v>279</v>
      </c>
      <c r="G290" s="249">
        <f t="shared" si="54"/>
        <v>52139</v>
      </c>
      <c r="H290" s="158">
        <f t="shared" si="58"/>
        <v>30</v>
      </c>
      <c r="I290" s="254">
        <f>VLOOKUP(G290,'Прогноз переменной ставки'!$B$5:$E$304,4,1)</f>
        <v>9.9000000000000005E-2</v>
      </c>
      <c r="J290" s="164">
        <f t="shared" si="55"/>
        <v>0</v>
      </c>
      <c r="K290" s="164">
        <f t="shared" si="56"/>
        <v>0</v>
      </c>
      <c r="L290" s="164">
        <f t="shared" si="60"/>
        <v>0</v>
      </c>
      <c r="M290" s="164">
        <f t="shared" si="60"/>
        <v>0</v>
      </c>
      <c r="N290" s="164">
        <f t="shared" si="57"/>
        <v>0</v>
      </c>
      <c r="O290" s="164">
        <f t="shared" si="49"/>
        <v>0</v>
      </c>
      <c r="P290" s="164">
        <f t="shared" si="50"/>
        <v>0</v>
      </c>
      <c r="Q290" s="164">
        <f t="shared" si="51"/>
        <v>0</v>
      </c>
      <c r="R290" s="164">
        <f t="shared" si="59"/>
        <v>0</v>
      </c>
      <c r="S290" s="164">
        <f t="shared" si="52"/>
        <v>0</v>
      </c>
      <c r="T290" s="164">
        <f t="shared" si="53"/>
        <v>0</v>
      </c>
    </row>
    <row r="291" spans="6:20" x14ac:dyDescent="0.2">
      <c r="F291" s="158">
        <v>280</v>
      </c>
      <c r="G291" s="249">
        <f t="shared" si="54"/>
        <v>52170</v>
      </c>
      <c r="H291" s="158">
        <f t="shared" si="58"/>
        <v>31</v>
      </c>
      <c r="I291" s="254">
        <f>VLOOKUP(G291,'Прогноз переменной ставки'!$B$5:$E$304,4,1)</f>
        <v>9.9000000000000005E-2</v>
      </c>
      <c r="J291" s="164">
        <f t="shared" si="55"/>
        <v>0</v>
      </c>
      <c r="K291" s="164">
        <f t="shared" si="56"/>
        <v>0</v>
      </c>
      <c r="L291" s="164">
        <f t="shared" si="60"/>
        <v>0</v>
      </c>
      <c r="M291" s="164">
        <f t="shared" si="60"/>
        <v>0</v>
      </c>
      <c r="N291" s="164">
        <f t="shared" si="57"/>
        <v>0</v>
      </c>
      <c r="O291" s="164">
        <f t="shared" si="49"/>
        <v>0</v>
      </c>
      <c r="P291" s="164">
        <f t="shared" si="50"/>
        <v>0</v>
      </c>
      <c r="Q291" s="164">
        <f t="shared" si="51"/>
        <v>0</v>
      </c>
      <c r="R291" s="164">
        <f t="shared" si="59"/>
        <v>0</v>
      </c>
      <c r="S291" s="164">
        <f t="shared" si="52"/>
        <v>0</v>
      </c>
      <c r="T291" s="164">
        <f t="shared" si="53"/>
        <v>0</v>
      </c>
    </row>
    <row r="292" spans="6:20" x14ac:dyDescent="0.2">
      <c r="F292" s="158">
        <v>281</v>
      </c>
      <c r="G292" s="249">
        <f t="shared" si="54"/>
        <v>52200</v>
      </c>
      <c r="H292" s="158">
        <f t="shared" si="58"/>
        <v>30</v>
      </c>
      <c r="I292" s="254">
        <f>VLOOKUP(G292,'Прогноз переменной ставки'!$B$5:$E$304,4,1)</f>
        <v>9.9000000000000005E-2</v>
      </c>
      <c r="J292" s="164">
        <f t="shared" si="55"/>
        <v>0</v>
      </c>
      <c r="K292" s="164">
        <f t="shared" si="56"/>
        <v>0</v>
      </c>
      <c r="L292" s="164">
        <f t="shared" si="60"/>
        <v>0</v>
      </c>
      <c r="M292" s="164">
        <f t="shared" si="60"/>
        <v>0</v>
      </c>
      <c r="N292" s="164">
        <f t="shared" si="57"/>
        <v>0</v>
      </c>
      <c r="O292" s="164">
        <f t="shared" si="49"/>
        <v>0</v>
      </c>
      <c r="P292" s="164">
        <f t="shared" si="50"/>
        <v>0</v>
      </c>
      <c r="Q292" s="164">
        <f t="shared" si="51"/>
        <v>0</v>
      </c>
      <c r="R292" s="164">
        <f t="shared" si="59"/>
        <v>0</v>
      </c>
      <c r="S292" s="164">
        <f t="shared" si="52"/>
        <v>0</v>
      </c>
      <c r="T292" s="164">
        <f t="shared" si="53"/>
        <v>0</v>
      </c>
    </row>
    <row r="293" spans="6:20" x14ac:dyDescent="0.2">
      <c r="F293" s="158">
        <v>282</v>
      </c>
      <c r="G293" s="249">
        <f t="shared" si="54"/>
        <v>52231</v>
      </c>
      <c r="H293" s="158">
        <f t="shared" si="58"/>
        <v>31</v>
      </c>
      <c r="I293" s="254">
        <f>VLOOKUP(G293,'Прогноз переменной ставки'!$B$5:$E$304,4,1)</f>
        <v>9.9000000000000005E-2</v>
      </c>
      <c r="J293" s="164">
        <f t="shared" si="55"/>
        <v>0</v>
      </c>
      <c r="K293" s="164">
        <f t="shared" si="56"/>
        <v>0</v>
      </c>
      <c r="L293" s="164">
        <f t="shared" si="60"/>
        <v>0</v>
      </c>
      <c r="M293" s="164">
        <f t="shared" si="60"/>
        <v>0</v>
      </c>
      <c r="N293" s="164">
        <f t="shared" si="57"/>
        <v>0</v>
      </c>
      <c r="O293" s="164">
        <f t="shared" si="49"/>
        <v>0</v>
      </c>
      <c r="P293" s="164">
        <f t="shared" si="50"/>
        <v>0</v>
      </c>
      <c r="Q293" s="164">
        <f t="shared" si="51"/>
        <v>0</v>
      </c>
      <c r="R293" s="164">
        <f t="shared" si="59"/>
        <v>0</v>
      </c>
      <c r="S293" s="164">
        <f t="shared" si="52"/>
        <v>0</v>
      </c>
      <c r="T293" s="164">
        <f t="shared" si="53"/>
        <v>0</v>
      </c>
    </row>
    <row r="294" spans="6:20" x14ac:dyDescent="0.2">
      <c r="F294" s="158">
        <v>283</v>
      </c>
      <c r="G294" s="249">
        <f t="shared" si="54"/>
        <v>52262</v>
      </c>
      <c r="H294" s="158">
        <f t="shared" si="58"/>
        <v>31</v>
      </c>
      <c r="I294" s="254">
        <f>VLOOKUP(G294,'Прогноз переменной ставки'!$B$5:$E$304,4,1)</f>
        <v>9.9000000000000005E-2</v>
      </c>
      <c r="J294" s="164">
        <f t="shared" si="55"/>
        <v>0</v>
      </c>
      <c r="K294" s="164">
        <f t="shared" si="56"/>
        <v>0</v>
      </c>
      <c r="L294" s="164">
        <f t="shared" si="60"/>
        <v>0</v>
      </c>
      <c r="M294" s="164">
        <f t="shared" si="60"/>
        <v>0</v>
      </c>
      <c r="N294" s="164">
        <f t="shared" si="57"/>
        <v>0</v>
      </c>
      <c r="O294" s="164">
        <f t="shared" si="49"/>
        <v>0</v>
      </c>
      <c r="P294" s="164">
        <f t="shared" si="50"/>
        <v>0</v>
      </c>
      <c r="Q294" s="164">
        <f t="shared" si="51"/>
        <v>0</v>
      </c>
      <c r="R294" s="164">
        <f t="shared" si="59"/>
        <v>0</v>
      </c>
      <c r="S294" s="164">
        <f t="shared" si="52"/>
        <v>0</v>
      </c>
      <c r="T294" s="164">
        <f t="shared" si="53"/>
        <v>0</v>
      </c>
    </row>
    <row r="295" spans="6:20" x14ac:dyDescent="0.2">
      <c r="F295" s="158">
        <v>284</v>
      </c>
      <c r="G295" s="249">
        <f t="shared" si="54"/>
        <v>52290</v>
      </c>
      <c r="H295" s="158">
        <f t="shared" si="58"/>
        <v>28</v>
      </c>
      <c r="I295" s="254">
        <f>VLOOKUP(G295,'Прогноз переменной ставки'!$B$5:$E$304,4,1)</f>
        <v>9.9000000000000005E-2</v>
      </c>
      <c r="J295" s="164">
        <f t="shared" si="55"/>
        <v>0</v>
      </c>
      <c r="K295" s="164">
        <f t="shared" si="56"/>
        <v>0</v>
      </c>
      <c r="L295" s="164">
        <f t="shared" si="60"/>
        <v>0</v>
      </c>
      <c r="M295" s="164">
        <f t="shared" si="60"/>
        <v>0</v>
      </c>
      <c r="N295" s="164">
        <f t="shared" si="57"/>
        <v>0</v>
      </c>
      <c r="O295" s="164">
        <f t="shared" si="49"/>
        <v>0</v>
      </c>
      <c r="P295" s="164">
        <f t="shared" si="50"/>
        <v>0</v>
      </c>
      <c r="Q295" s="164">
        <f t="shared" si="51"/>
        <v>0</v>
      </c>
      <c r="R295" s="164">
        <f t="shared" si="59"/>
        <v>0</v>
      </c>
      <c r="S295" s="164">
        <f t="shared" si="52"/>
        <v>0</v>
      </c>
      <c r="T295" s="164">
        <f t="shared" si="53"/>
        <v>0</v>
      </c>
    </row>
    <row r="296" spans="6:20" x14ac:dyDescent="0.2">
      <c r="F296" s="158">
        <v>285</v>
      </c>
      <c r="G296" s="249">
        <f t="shared" si="54"/>
        <v>52321</v>
      </c>
      <c r="H296" s="158">
        <f t="shared" si="58"/>
        <v>31</v>
      </c>
      <c r="I296" s="254">
        <f>VLOOKUP(G296,'Прогноз переменной ставки'!$B$5:$E$304,4,1)</f>
        <v>9.9000000000000005E-2</v>
      </c>
      <c r="J296" s="164">
        <f t="shared" si="55"/>
        <v>0</v>
      </c>
      <c r="K296" s="164">
        <f t="shared" si="56"/>
        <v>0</v>
      </c>
      <c r="L296" s="164">
        <f t="shared" si="60"/>
        <v>0</v>
      </c>
      <c r="M296" s="164">
        <f t="shared" si="60"/>
        <v>0</v>
      </c>
      <c r="N296" s="164">
        <f t="shared" si="57"/>
        <v>0</v>
      </c>
      <c r="O296" s="164">
        <f t="shared" si="49"/>
        <v>0</v>
      </c>
      <c r="P296" s="164">
        <f t="shared" si="50"/>
        <v>0</v>
      </c>
      <c r="Q296" s="164">
        <f t="shared" si="51"/>
        <v>0</v>
      </c>
      <c r="R296" s="164">
        <f t="shared" si="59"/>
        <v>0</v>
      </c>
      <c r="S296" s="164">
        <f t="shared" si="52"/>
        <v>0</v>
      </c>
      <c r="T296" s="164">
        <f t="shared" si="53"/>
        <v>0</v>
      </c>
    </row>
    <row r="297" spans="6:20" x14ac:dyDescent="0.2">
      <c r="F297" s="158">
        <v>286</v>
      </c>
      <c r="G297" s="249">
        <f t="shared" si="54"/>
        <v>52351</v>
      </c>
      <c r="H297" s="158">
        <f t="shared" si="58"/>
        <v>30</v>
      </c>
      <c r="I297" s="254">
        <f>VLOOKUP(G297,'Прогноз переменной ставки'!$B$5:$E$304,4,1)</f>
        <v>9.9000000000000005E-2</v>
      </c>
      <c r="J297" s="164">
        <f t="shared" si="55"/>
        <v>0</v>
      </c>
      <c r="K297" s="164">
        <f t="shared" si="56"/>
        <v>0</v>
      </c>
      <c r="L297" s="164">
        <f t="shared" si="60"/>
        <v>0</v>
      </c>
      <c r="M297" s="164">
        <f t="shared" si="60"/>
        <v>0</v>
      </c>
      <c r="N297" s="164">
        <f t="shared" si="57"/>
        <v>0</v>
      </c>
      <c r="O297" s="164">
        <f t="shared" si="49"/>
        <v>0</v>
      </c>
      <c r="P297" s="164">
        <f t="shared" si="50"/>
        <v>0</v>
      </c>
      <c r="Q297" s="164">
        <f t="shared" si="51"/>
        <v>0</v>
      </c>
      <c r="R297" s="164">
        <f t="shared" si="59"/>
        <v>0</v>
      </c>
      <c r="S297" s="164">
        <f t="shared" si="52"/>
        <v>0</v>
      </c>
      <c r="T297" s="164">
        <f t="shared" si="53"/>
        <v>0</v>
      </c>
    </row>
    <row r="298" spans="6:20" x14ac:dyDescent="0.2">
      <c r="F298" s="158">
        <v>287</v>
      </c>
      <c r="G298" s="249">
        <f t="shared" si="54"/>
        <v>52382</v>
      </c>
      <c r="H298" s="158">
        <f t="shared" si="58"/>
        <v>31</v>
      </c>
      <c r="I298" s="254">
        <f>VLOOKUP(G298,'Прогноз переменной ставки'!$B$5:$E$304,4,1)</f>
        <v>9.9000000000000005E-2</v>
      </c>
      <c r="J298" s="164">
        <f t="shared" si="55"/>
        <v>0</v>
      </c>
      <c r="K298" s="164">
        <f t="shared" si="56"/>
        <v>0</v>
      </c>
      <c r="L298" s="164">
        <f t="shared" si="60"/>
        <v>0</v>
      </c>
      <c r="M298" s="164">
        <f t="shared" si="60"/>
        <v>0</v>
      </c>
      <c r="N298" s="164">
        <f t="shared" si="57"/>
        <v>0</v>
      </c>
      <c r="O298" s="164">
        <f t="shared" si="49"/>
        <v>0</v>
      </c>
      <c r="P298" s="164">
        <f t="shared" si="50"/>
        <v>0</v>
      </c>
      <c r="Q298" s="164">
        <f t="shared" si="51"/>
        <v>0</v>
      </c>
      <c r="R298" s="164">
        <f t="shared" si="59"/>
        <v>0</v>
      </c>
      <c r="S298" s="164">
        <f t="shared" si="52"/>
        <v>0</v>
      </c>
      <c r="T298" s="164">
        <f t="shared" si="53"/>
        <v>0</v>
      </c>
    </row>
    <row r="299" spans="6:20" x14ac:dyDescent="0.2">
      <c r="F299" s="158">
        <v>288</v>
      </c>
      <c r="G299" s="249">
        <f t="shared" si="54"/>
        <v>52412</v>
      </c>
      <c r="H299" s="158">
        <f t="shared" si="58"/>
        <v>30</v>
      </c>
      <c r="I299" s="254">
        <f>VLOOKUP(G299,'Прогноз переменной ставки'!$B$5:$E$304,4,1)</f>
        <v>9.9000000000000005E-2</v>
      </c>
      <c r="J299" s="164">
        <f t="shared" si="55"/>
        <v>0</v>
      </c>
      <c r="K299" s="164">
        <f t="shared" si="56"/>
        <v>0</v>
      </c>
      <c r="L299" s="164">
        <f t="shared" si="60"/>
        <v>0</v>
      </c>
      <c r="M299" s="164">
        <f t="shared" si="60"/>
        <v>0</v>
      </c>
      <c r="N299" s="164">
        <f t="shared" si="57"/>
        <v>0</v>
      </c>
      <c r="O299" s="164">
        <f t="shared" si="49"/>
        <v>0</v>
      </c>
      <c r="P299" s="164">
        <f t="shared" si="50"/>
        <v>0</v>
      </c>
      <c r="Q299" s="164">
        <f t="shared" si="51"/>
        <v>0</v>
      </c>
      <c r="R299" s="164">
        <f t="shared" si="59"/>
        <v>0</v>
      </c>
      <c r="S299" s="164">
        <f t="shared" si="52"/>
        <v>0</v>
      </c>
      <c r="T299" s="164">
        <f t="shared" si="53"/>
        <v>0</v>
      </c>
    </row>
    <row r="300" spans="6:20" x14ac:dyDescent="0.2">
      <c r="F300" s="158">
        <v>289</v>
      </c>
      <c r="G300" s="249">
        <f t="shared" si="54"/>
        <v>52443</v>
      </c>
      <c r="H300" s="158">
        <f t="shared" si="58"/>
        <v>31</v>
      </c>
      <c r="I300" s="254">
        <f>VLOOKUP(G300,'Прогноз переменной ставки'!$B$5:$E$304,4,1)</f>
        <v>9.9000000000000005E-2</v>
      </c>
      <c r="J300" s="164">
        <f t="shared" si="55"/>
        <v>0</v>
      </c>
      <c r="K300" s="164">
        <f t="shared" si="56"/>
        <v>0</v>
      </c>
      <c r="L300" s="164">
        <f t="shared" si="60"/>
        <v>0</v>
      </c>
      <c r="M300" s="164">
        <f t="shared" si="60"/>
        <v>0</v>
      </c>
      <c r="N300" s="164">
        <f t="shared" si="57"/>
        <v>0</v>
      </c>
      <c r="O300" s="164">
        <f t="shared" si="49"/>
        <v>0</v>
      </c>
      <c r="P300" s="164">
        <f t="shared" si="50"/>
        <v>0</v>
      </c>
      <c r="Q300" s="164">
        <f t="shared" si="51"/>
        <v>0</v>
      </c>
      <c r="R300" s="164">
        <f t="shared" si="59"/>
        <v>0</v>
      </c>
      <c r="S300" s="164">
        <f t="shared" si="52"/>
        <v>0</v>
      </c>
      <c r="T300" s="164">
        <f t="shared" si="53"/>
        <v>0</v>
      </c>
    </row>
    <row r="301" spans="6:20" x14ac:dyDescent="0.2">
      <c r="F301" s="158">
        <v>290</v>
      </c>
      <c r="G301" s="249">
        <f t="shared" si="54"/>
        <v>52474</v>
      </c>
      <c r="H301" s="158">
        <f t="shared" si="58"/>
        <v>31</v>
      </c>
      <c r="I301" s="254">
        <f>VLOOKUP(G301,'Прогноз переменной ставки'!$B$5:$E$304,4,1)</f>
        <v>9.9000000000000005E-2</v>
      </c>
      <c r="J301" s="164">
        <f t="shared" si="55"/>
        <v>0</v>
      </c>
      <c r="K301" s="164">
        <f t="shared" si="56"/>
        <v>0</v>
      </c>
      <c r="L301" s="164">
        <f t="shared" si="60"/>
        <v>0</v>
      </c>
      <c r="M301" s="164">
        <f t="shared" si="60"/>
        <v>0</v>
      </c>
      <c r="N301" s="164">
        <f t="shared" si="57"/>
        <v>0</v>
      </c>
      <c r="O301" s="164">
        <f t="shared" si="49"/>
        <v>0</v>
      </c>
      <c r="P301" s="164">
        <f t="shared" si="50"/>
        <v>0</v>
      </c>
      <c r="Q301" s="164">
        <f t="shared" si="51"/>
        <v>0</v>
      </c>
      <c r="R301" s="164">
        <f t="shared" si="59"/>
        <v>0</v>
      </c>
      <c r="S301" s="164">
        <f t="shared" si="52"/>
        <v>0</v>
      </c>
      <c r="T301" s="164">
        <f t="shared" si="53"/>
        <v>0</v>
      </c>
    </row>
    <row r="302" spans="6:20" x14ac:dyDescent="0.2">
      <c r="F302" s="158">
        <v>291</v>
      </c>
      <c r="G302" s="249">
        <f t="shared" si="54"/>
        <v>52504</v>
      </c>
      <c r="H302" s="158">
        <f t="shared" si="58"/>
        <v>30</v>
      </c>
      <c r="I302" s="254">
        <f>VLOOKUP(G302,'Прогноз переменной ставки'!$B$5:$E$304,4,1)</f>
        <v>9.9000000000000005E-2</v>
      </c>
      <c r="J302" s="164">
        <f t="shared" si="55"/>
        <v>0</v>
      </c>
      <c r="K302" s="164">
        <f t="shared" si="56"/>
        <v>0</v>
      </c>
      <c r="L302" s="164">
        <f t="shared" si="60"/>
        <v>0</v>
      </c>
      <c r="M302" s="164">
        <f t="shared" si="60"/>
        <v>0</v>
      </c>
      <c r="N302" s="164">
        <f t="shared" si="57"/>
        <v>0</v>
      </c>
      <c r="O302" s="164">
        <f t="shared" si="49"/>
        <v>0</v>
      </c>
      <c r="P302" s="164">
        <f t="shared" si="50"/>
        <v>0</v>
      </c>
      <c r="Q302" s="164">
        <f t="shared" si="51"/>
        <v>0</v>
      </c>
      <c r="R302" s="164">
        <f t="shared" si="59"/>
        <v>0</v>
      </c>
      <c r="S302" s="164">
        <f t="shared" si="52"/>
        <v>0</v>
      </c>
      <c r="T302" s="164">
        <f t="shared" si="53"/>
        <v>0</v>
      </c>
    </row>
    <row r="303" spans="6:20" x14ac:dyDescent="0.2">
      <c r="F303" s="158">
        <v>292</v>
      </c>
      <c r="G303" s="249">
        <f t="shared" si="54"/>
        <v>52535</v>
      </c>
      <c r="H303" s="158">
        <f t="shared" si="58"/>
        <v>31</v>
      </c>
      <c r="I303" s="254">
        <f>VLOOKUP(G303,'Прогноз переменной ставки'!$B$5:$E$304,4,1)</f>
        <v>9.9000000000000005E-2</v>
      </c>
      <c r="J303" s="164">
        <f t="shared" si="55"/>
        <v>0</v>
      </c>
      <c r="K303" s="164">
        <f t="shared" si="56"/>
        <v>0</v>
      </c>
      <c r="L303" s="164">
        <f t="shared" si="60"/>
        <v>0</v>
      </c>
      <c r="M303" s="164">
        <f t="shared" si="60"/>
        <v>0</v>
      </c>
      <c r="N303" s="164">
        <f t="shared" si="57"/>
        <v>0</v>
      </c>
      <c r="O303" s="164">
        <f t="shared" si="49"/>
        <v>0</v>
      </c>
      <c r="P303" s="164">
        <f t="shared" si="50"/>
        <v>0</v>
      </c>
      <c r="Q303" s="164">
        <f t="shared" si="51"/>
        <v>0</v>
      </c>
      <c r="R303" s="164">
        <f t="shared" si="59"/>
        <v>0</v>
      </c>
      <c r="S303" s="164">
        <f t="shared" si="52"/>
        <v>0</v>
      </c>
      <c r="T303" s="164">
        <f t="shared" si="53"/>
        <v>0</v>
      </c>
    </row>
    <row r="304" spans="6:20" x14ac:dyDescent="0.2">
      <c r="F304" s="158">
        <v>293</v>
      </c>
      <c r="G304" s="249">
        <f t="shared" si="54"/>
        <v>52565</v>
      </c>
      <c r="H304" s="158">
        <f t="shared" si="58"/>
        <v>30</v>
      </c>
      <c r="I304" s="254">
        <f>VLOOKUP(G304,'Прогноз переменной ставки'!$B$5:$E$304,4,1)</f>
        <v>9.9000000000000005E-2</v>
      </c>
      <c r="J304" s="164">
        <f t="shared" si="55"/>
        <v>0</v>
      </c>
      <c r="K304" s="164">
        <f t="shared" si="56"/>
        <v>0</v>
      </c>
      <c r="L304" s="164">
        <f t="shared" si="60"/>
        <v>0</v>
      </c>
      <c r="M304" s="164">
        <f t="shared" si="60"/>
        <v>0</v>
      </c>
      <c r="N304" s="164">
        <f t="shared" si="57"/>
        <v>0</v>
      </c>
      <c r="O304" s="164">
        <f t="shared" si="49"/>
        <v>0</v>
      </c>
      <c r="P304" s="164">
        <f t="shared" si="50"/>
        <v>0</v>
      </c>
      <c r="Q304" s="164">
        <f t="shared" si="51"/>
        <v>0</v>
      </c>
      <c r="R304" s="164">
        <f t="shared" si="59"/>
        <v>0</v>
      </c>
      <c r="S304" s="164">
        <f t="shared" si="52"/>
        <v>0</v>
      </c>
      <c r="T304" s="164">
        <f t="shared" si="53"/>
        <v>0</v>
      </c>
    </row>
    <row r="305" spans="6:20" x14ac:dyDescent="0.2">
      <c r="F305" s="158">
        <v>294</v>
      </c>
      <c r="G305" s="249">
        <f t="shared" si="54"/>
        <v>52596</v>
      </c>
      <c r="H305" s="158">
        <f t="shared" si="58"/>
        <v>31</v>
      </c>
      <c r="I305" s="254">
        <f>VLOOKUP(G305,'Прогноз переменной ставки'!$B$5:$E$304,4,1)</f>
        <v>9.9000000000000005E-2</v>
      </c>
      <c r="J305" s="164">
        <f t="shared" si="55"/>
        <v>0</v>
      </c>
      <c r="K305" s="164">
        <f t="shared" si="56"/>
        <v>0</v>
      </c>
      <c r="L305" s="164">
        <f t="shared" si="60"/>
        <v>0</v>
      </c>
      <c r="M305" s="164">
        <f t="shared" si="60"/>
        <v>0</v>
      </c>
      <c r="N305" s="164">
        <f t="shared" si="57"/>
        <v>0</v>
      </c>
      <c r="O305" s="164">
        <f t="shared" si="49"/>
        <v>0</v>
      </c>
      <c r="P305" s="164">
        <f t="shared" si="50"/>
        <v>0</v>
      </c>
      <c r="Q305" s="164">
        <f t="shared" si="51"/>
        <v>0</v>
      </c>
      <c r="R305" s="164">
        <f t="shared" si="59"/>
        <v>0</v>
      </c>
      <c r="S305" s="164">
        <f t="shared" si="52"/>
        <v>0</v>
      </c>
      <c r="T305" s="164">
        <f t="shared" si="53"/>
        <v>0</v>
      </c>
    </row>
    <row r="306" spans="6:20" x14ac:dyDescent="0.2">
      <c r="F306" s="158">
        <v>295</v>
      </c>
      <c r="G306" s="249">
        <f t="shared" si="54"/>
        <v>52627</v>
      </c>
      <c r="H306" s="158">
        <f t="shared" si="58"/>
        <v>31</v>
      </c>
      <c r="I306" s="254">
        <f>VLOOKUP(G306,'Прогноз переменной ставки'!$B$5:$E$304,4,1)</f>
        <v>9.9000000000000005E-2</v>
      </c>
      <c r="J306" s="164">
        <f t="shared" si="55"/>
        <v>0</v>
      </c>
      <c r="K306" s="164">
        <f t="shared" si="56"/>
        <v>0</v>
      </c>
      <c r="L306" s="164">
        <f t="shared" si="60"/>
        <v>0</v>
      </c>
      <c r="M306" s="164">
        <f t="shared" si="60"/>
        <v>0</v>
      </c>
      <c r="N306" s="164">
        <f t="shared" si="57"/>
        <v>0</v>
      </c>
      <c r="O306" s="164">
        <f t="shared" si="49"/>
        <v>0</v>
      </c>
      <c r="P306" s="164">
        <f t="shared" si="50"/>
        <v>0</v>
      </c>
      <c r="Q306" s="164">
        <f t="shared" si="51"/>
        <v>0</v>
      </c>
      <c r="R306" s="164">
        <f t="shared" si="59"/>
        <v>0</v>
      </c>
      <c r="S306" s="164">
        <f t="shared" si="52"/>
        <v>0</v>
      </c>
      <c r="T306" s="164">
        <f t="shared" si="53"/>
        <v>0</v>
      </c>
    </row>
    <row r="307" spans="6:20" x14ac:dyDescent="0.2">
      <c r="F307" s="158">
        <v>296</v>
      </c>
      <c r="G307" s="249">
        <f t="shared" si="54"/>
        <v>52656</v>
      </c>
      <c r="H307" s="158">
        <f t="shared" si="58"/>
        <v>29</v>
      </c>
      <c r="I307" s="254">
        <f>VLOOKUP(G307,'Прогноз переменной ставки'!$B$5:$E$304,4,1)</f>
        <v>9.9000000000000005E-2</v>
      </c>
      <c r="J307" s="164">
        <f t="shared" si="55"/>
        <v>0</v>
      </c>
      <c r="K307" s="164">
        <f t="shared" si="56"/>
        <v>0</v>
      </c>
      <c r="L307" s="164">
        <f t="shared" si="60"/>
        <v>0</v>
      </c>
      <c r="M307" s="164">
        <f t="shared" si="60"/>
        <v>0</v>
      </c>
      <c r="N307" s="164">
        <f t="shared" si="57"/>
        <v>0</v>
      </c>
      <c r="O307" s="164">
        <f t="shared" si="49"/>
        <v>0</v>
      </c>
      <c r="P307" s="164">
        <f t="shared" si="50"/>
        <v>0</v>
      </c>
      <c r="Q307" s="164">
        <f t="shared" si="51"/>
        <v>0</v>
      </c>
      <c r="R307" s="164">
        <f t="shared" si="59"/>
        <v>0</v>
      </c>
      <c r="S307" s="164">
        <f t="shared" si="52"/>
        <v>0</v>
      </c>
      <c r="T307" s="164">
        <f t="shared" si="53"/>
        <v>0</v>
      </c>
    </row>
    <row r="308" spans="6:20" x14ac:dyDescent="0.2">
      <c r="F308" s="158">
        <v>297</v>
      </c>
      <c r="G308" s="249">
        <f t="shared" si="54"/>
        <v>52687</v>
      </c>
      <c r="H308" s="158">
        <f t="shared" si="58"/>
        <v>31</v>
      </c>
      <c r="I308" s="254">
        <f>VLOOKUP(G308,'Прогноз переменной ставки'!$B$5:$E$304,4,1)</f>
        <v>9.9000000000000005E-2</v>
      </c>
      <c r="J308" s="164">
        <f t="shared" si="55"/>
        <v>0</v>
      </c>
      <c r="K308" s="164">
        <f t="shared" si="56"/>
        <v>0</v>
      </c>
      <c r="L308" s="164">
        <f t="shared" si="60"/>
        <v>0</v>
      </c>
      <c r="M308" s="164">
        <f t="shared" si="60"/>
        <v>0</v>
      </c>
      <c r="N308" s="164">
        <f t="shared" si="57"/>
        <v>0</v>
      </c>
      <c r="O308" s="164">
        <f t="shared" si="49"/>
        <v>0</v>
      </c>
      <c r="P308" s="164">
        <f t="shared" si="50"/>
        <v>0</v>
      </c>
      <c r="Q308" s="164">
        <f t="shared" si="51"/>
        <v>0</v>
      </c>
      <c r="R308" s="164">
        <f t="shared" si="59"/>
        <v>0</v>
      </c>
      <c r="S308" s="164">
        <f t="shared" si="52"/>
        <v>0</v>
      </c>
      <c r="T308" s="164">
        <f t="shared" si="53"/>
        <v>0</v>
      </c>
    </row>
    <row r="309" spans="6:20" x14ac:dyDescent="0.2">
      <c r="F309" s="158">
        <v>298</v>
      </c>
      <c r="G309" s="249">
        <f t="shared" si="54"/>
        <v>52717</v>
      </c>
      <c r="H309" s="158">
        <f t="shared" si="58"/>
        <v>30</v>
      </c>
      <c r="I309" s="254">
        <f>VLOOKUP(G309,'Прогноз переменной ставки'!$B$5:$E$304,4,1)</f>
        <v>9.9000000000000005E-2</v>
      </c>
      <c r="J309" s="164">
        <f t="shared" si="55"/>
        <v>0</v>
      </c>
      <c r="K309" s="164">
        <f t="shared" si="56"/>
        <v>0</v>
      </c>
      <c r="L309" s="164">
        <f t="shared" si="60"/>
        <v>0</v>
      </c>
      <c r="M309" s="164">
        <f t="shared" si="60"/>
        <v>0</v>
      </c>
      <c r="N309" s="164">
        <f t="shared" si="57"/>
        <v>0</v>
      </c>
      <c r="O309" s="164">
        <f t="shared" si="49"/>
        <v>0</v>
      </c>
      <c r="P309" s="164">
        <f t="shared" si="50"/>
        <v>0</v>
      </c>
      <c r="Q309" s="164">
        <f t="shared" si="51"/>
        <v>0</v>
      </c>
      <c r="R309" s="164">
        <f t="shared" si="59"/>
        <v>0</v>
      </c>
      <c r="S309" s="164">
        <f t="shared" si="52"/>
        <v>0</v>
      </c>
      <c r="T309" s="164">
        <f t="shared" si="53"/>
        <v>0</v>
      </c>
    </row>
    <row r="310" spans="6:20" x14ac:dyDescent="0.2">
      <c r="F310" s="158">
        <v>299</v>
      </c>
      <c r="G310" s="249">
        <f t="shared" si="54"/>
        <v>52748</v>
      </c>
      <c r="H310" s="158">
        <f t="shared" si="58"/>
        <v>31</v>
      </c>
      <c r="I310" s="254">
        <f>VLOOKUP(G310,'Прогноз переменной ставки'!$B$5:$E$304,4,1)</f>
        <v>9.9000000000000005E-2</v>
      </c>
      <c r="J310" s="164">
        <f t="shared" si="55"/>
        <v>0</v>
      </c>
      <c r="K310" s="164">
        <f t="shared" si="56"/>
        <v>0</v>
      </c>
      <c r="L310" s="164">
        <f t="shared" si="60"/>
        <v>0</v>
      </c>
      <c r="M310" s="164">
        <f t="shared" si="60"/>
        <v>0</v>
      </c>
      <c r="N310" s="164">
        <f t="shared" si="57"/>
        <v>0</v>
      </c>
      <c r="O310" s="164">
        <f t="shared" si="49"/>
        <v>0</v>
      </c>
      <c r="P310" s="164">
        <f t="shared" si="50"/>
        <v>0</v>
      </c>
      <c r="Q310" s="164">
        <f t="shared" si="51"/>
        <v>0</v>
      </c>
      <c r="R310" s="164">
        <f t="shared" si="59"/>
        <v>0</v>
      </c>
      <c r="S310" s="164">
        <f t="shared" si="52"/>
        <v>0</v>
      </c>
      <c r="T310" s="164">
        <f t="shared" si="53"/>
        <v>0</v>
      </c>
    </row>
    <row r="311" spans="6:20" x14ac:dyDescent="0.2">
      <c r="F311" s="158">
        <v>300</v>
      </c>
      <c r="G311" s="249">
        <f t="shared" si="54"/>
        <v>52778</v>
      </c>
      <c r="H311" s="158">
        <f t="shared" si="58"/>
        <v>30</v>
      </c>
      <c r="I311" s="254">
        <f>VLOOKUP(G311,'Прогноз переменной ставки'!$B$5:$E$304,4,1)</f>
        <v>9.9000000000000005E-2</v>
      </c>
      <c r="J311" s="164">
        <f t="shared" si="55"/>
        <v>0</v>
      </c>
      <c r="K311" s="164">
        <f t="shared" si="56"/>
        <v>0</v>
      </c>
      <c r="L311" s="164">
        <f t="shared" si="60"/>
        <v>0</v>
      </c>
      <c r="M311" s="164">
        <f t="shared" si="60"/>
        <v>0</v>
      </c>
      <c r="N311" s="164">
        <f t="shared" si="57"/>
        <v>0</v>
      </c>
      <c r="O311" s="164">
        <f t="shared" si="49"/>
        <v>0</v>
      </c>
      <c r="P311" s="164">
        <f t="shared" si="50"/>
        <v>0</v>
      </c>
      <c r="Q311" s="164">
        <f t="shared" si="51"/>
        <v>0</v>
      </c>
      <c r="R311" s="164">
        <f t="shared" si="59"/>
        <v>0</v>
      </c>
      <c r="S311" s="164">
        <f t="shared" si="52"/>
        <v>0</v>
      </c>
      <c r="T311" s="164">
        <f t="shared" si="53"/>
        <v>0</v>
      </c>
    </row>
    <row r="312" spans="6:20" x14ac:dyDescent="0.2">
      <c r="F312" s="255"/>
      <c r="G312" s="255"/>
      <c r="H312" s="255"/>
    </row>
  </sheetData>
  <customSheetViews>
    <customSheetView guid="{A6ED9047-BF5F-4715-989F-6B73F8A8D111}" state="hidden">
      <selection activeCell="L51" sqref="L5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B2:U312"/>
  <sheetViews>
    <sheetView workbookViewId="0">
      <selection activeCell="D6" sqref="D6"/>
    </sheetView>
  </sheetViews>
  <sheetFormatPr defaultColWidth="9.140625" defaultRowHeight="12.75" x14ac:dyDescent="0.2"/>
  <cols>
    <col min="1" max="1" width="2" style="144" customWidth="1"/>
    <col min="2" max="2" width="36.42578125" style="144" customWidth="1"/>
    <col min="3" max="3" width="1.42578125" style="144" customWidth="1"/>
    <col min="4" max="4" width="15" style="144" customWidth="1"/>
    <col min="5" max="5" width="2.42578125" style="144" customWidth="1"/>
    <col min="6" max="6" width="4" style="144" customWidth="1"/>
    <col min="7" max="7" width="15.5703125" style="144" customWidth="1"/>
    <col min="8" max="8" width="12.85546875" style="144" customWidth="1"/>
    <col min="9" max="9" width="11.85546875" style="144" customWidth="1"/>
    <col min="10" max="10" width="13.5703125" style="255" customWidth="1"/>
    <col min="11" max="11" width="14.42578125" style="145" customWidth="1"/>
    <col min="12" max="12" width="11.85546875" style="145" customWidth="1"/>
    <col min="13" max="13" width="13.5703125" style="145" customWidth="1"/>
    <col min="14" max="14" width="11.42578125" style="145" customWidth="1"/>
    <col min="15" max="15" width="11.5703125" style="145" customWidth="1"/>
    <col min="16" max="16" width="11.42578125" style="145" bestFit="1" customWidth="1"/>
    <col min="17" max="17" width="14" style="145" customWidth="1"/>
    <col min="18" max="18" width="15" style="145" customWidth="1"/>
    <col min="19" max="19" width="11.85546875" style="145" customWidth="1"/>
    <col min="20" max="20" width="15.42578125" style="145" customWidth="1"/>
    <col min="21" max="16384" width="9.140625" style="144"/>
  </cols>
  <sheetData>
    <row r="2" spans="2:21" ht="15" x14ac:dyDescent="0.25">
      <c r="B2" s="242" t="s">
        <v>301</v>
      </c>
      <c r="D2" s="242" t="s">
        <v>302</v>
      </c>
      <c r="J2" s="144"/>
      <c r="K2" s="243"/>
      <c r="L2" s="144"/>
      <c r="M2" s="144"/>
      <c r="N2" s="144"/>
      <c r="O2" s="144"/>
      <c r="P2" s="144"/>
      <c r="Q2" s="144"/>
      <c r="R2" s="144"/>
      <c r="S2" s="144"/>
      <c r="T2" s="144"/>
    </row>
    <row r="3" spans="2:21" x14ac:dyDescent="0.2">
      <c r="B3" s="158" t="s">
        <v>303</v>
      </c>
      <c r="D3" s="221">
        <f>'Калькулятор_от дохода'!$R$123</f>
        <v>4176933.0775550827</v>
      </c>
      <c r="E3" s="17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1" x14ac:dyDescent="0.2">
      <c r="B4" s="158" t="s">
        <v>304</v>
      </c>
      <c r="D4" s="221">
        <f>'Расчет по доходу заемщика'!$G$41</f>
        <v>240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1" x14ac:dyDescent="0.2">
      <c r="B5" s="158" t="s">
        <v>42</v>
      </c>
      <c r="D5" s="244">
        <f>'Калькулятор_от дохода'!$R$129</f>
        <v>59999.999999999993</v>
      </c>
      <c r="J5" s="144"/>
      <c r="K5" s="144"/>
      <c r="L5" s="144"/>
      <c r="M5" s="144"/>
      <c r="N5" s="144"/>
      <c r="O5" s="144"/>
      <c r="P5" s="144"/>
      <c r="Q5" s="144"/>
      <c r="R5" s="144"/>
      <c r="S5" s="245"/>
      <c r="T5" s="245"/>
      <c r="U5" s="245"/>
    </row>
    <row r="6" spans="2:21" x14ac:dyDescent="0.2">
      <c r="B6" s="158" t="s">
        <v>305</v>
      </c>
      <c r="D6" s="221">
        <f>MATCH(0,K12:K263,0)-1</f>
        <v>105</v>
      </c>
      <c r="F6" s="246"/>
      <c r="G6" s="246"/>
      <c r="H6" s="246"/>
      <c r="I6" s="24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2:21" x14ac:dyDescent="0.2">
      <c r="B7" s="158" t="s">
        <v>306</v>
      </c>
      <c r="D7" s="247">
        <f>VLOOKUP(D4+1,$F$12:$L$263,4)</f>
        <v>9.9000000000000005E-2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2:21" ht="15" x14ac:dyDescent="0.25">
      <c r="B8" s="224" t="s">
        <v>224</v>
      </c>
      <c r="D8" s="221">
        <f>SUM($J$12:$J$311)-D3</f>
        <v>2064621.2241943581</v>
      </c>
      <c r="J8" s="144"/>
      <c r="K8" s="144"/>
      <c r="L8" s="144"/>
      <c r="M8" s="248" t="s">
        <v>307</v>
      </c>
      <c r="N8" s="144"/>
      <c r="O8" s="144"/>
      <c r="P8" s="144"/>
      <c r="Q8" s="144"/>
      <c r="R8" s="144"/>
      <c r="S8" s="144"/>
      <c r="T8" s="144"/>
    </row>
    <row r="9" spans="2:21" ht="15" x14ac:dyDescent="0.25">
      <c r="B9" s="224" t="s">
        <v>308</v>
      </c>
      <c r="D9" s="249">
        <f>'Калькулятор_от дохода'!$V$114</f>
        <v>43647</v>
      </c>
      <c r="J9" s="144"/>
      <c r="K9" s="144"/>
      <c r="L9" s="144"/>
      <c r="M9" s="248"/>
      <c r="N9" s="144"/>
      <c r="O9" s="144"/>
      <c r="P9" s="144"/>
      <c r="Q9" s="144"/>
      <c r="R9" s="144"/>
      <c r="S9" s="144"/>
      <c r="T9" s="144"/>
    </row>
    <row r="10" spans="2:21" s="250" customFormat="1" ht="51" x14ac:dyDescent="0.2">
      <c r="B10" s="171"/>
      <c r="C10" s="171"/>
      <c r="D10" s="171"/>
      <c r="F10" s="251"/>
      <c r="G10" s="252" t="s">
        <v>0</v>
      </c>
      <c r="H10" s="252" t="s">
        <v>3</v>
      </c>
      <c r="I10" s="252" t="s">
        <v>309</v>
      </c>
      <c r="J10" s="252" t="s">
        <v>42</v>
      </c>
      <c r="K10" s="252" t="s">
        <v>310</v>
      </c>
      <c r="L10" s="252" t="s">
        <v>311</v>
      </c>
      <c r="M10" s="252" t="s">
        <v>312</v>
      </c>
      <c r="N10" s="252" t="s">
        <v>313</v>
      </c>
      <c r="O10" s="252" t="s">
        <v>314</v>
      </c>
      <c r="P10" s="252" t="s">
        <v>315</v>
      </c>
      <c r="Q10" s="252" t="s">
        <v>316</v>
      </c>
      <c r="R10" s="252" t="s">
        <v>317</v>
      </c>
      <c r="S10" s="252" t="s">
        <v>318</v>
      </c>
      <c r="T10" s="252" t="s">
        <v>319</v>
      </c>
    </row>
    <row r="11" spans="2:21" s="250" customFormat="1" x14ac:dyDescent="0.25">
      <c r="B11" s="253"/>
      <c r="D11" s="253"/>
      <c r="F11" s="251">
        <v>1</v>
      </c>
      <c r="G11" s="251">
        <v>2</v>
      </c>
      <c r="H11" s="251">
        <v>3</v>
      </c>
      <c r="I11" s="251">
        <v>2</v>
      </c>
      <c r="J11" s="251">
        <v>3</v>
      </c>
      <c r="K11" s="251">
        <v>4</v>
      </c>
      <c r="L11" s="251">
        <v>5</v>
      </c>
      <c r="M11" s="251">
        <v>6</v>
      </c>
      <c r="N11" s="251">
        <v>7</v>
      </c>
      <c r="O11" s="251">
        <v>8</v>
      </c>
      <c r="P11" s="251">
        <v>9</v>
      </c>
      <c r="Q11" s="251">
        <v>10</v>
      </c>
      <c r="R11" s="251">
        <v>11</v>
      </c>
      <c r="S11" s="251">
        <v>12</v>
      </c>
      <c r="T11" s="251">
        <v>13</v>
      </c>
    </row>
    <row r="12" spans="2:21" x14ac:dyDescent="0.2">
      <c r="B12" s="171"/>
      <c r="D12" s="171"/>
      <c r="F12" s="158">
        <v>1</v>
      </c>
      <c r="G12" s="249">
        <f>EOMONTH($D$9,F12-1)</f>
        <v>43677</v>
      </c>
      <c r="H12" s="158">
        <f>G12-D9</f>
        <v>30</v>
      </c>
      <c r="I12" s="254">
        <f>VLOOKUP(G12,'Прогноз переменной ставки'!$B$5:$E$304,4,1)</f>
        <v>9.9900000000000003E-2</v>
      </c>
      <c r="J12" s="164">
        <f>IF(F12=$D$4,K12+N12,MIN($D$5,K12+N12))</f>
        <v>59999.999999999993</v>
      </c>
      <c r="K12" s="164">
        <f>L12+M12</f>
        <v>4176933.0775550827</v>
      </c>
      <c r="L12" s="164">
        <f>D3</f>
        <v>4176933.0775550827</v>
      </c>
      <c r="M12" s="164">
        <v>0</v>
      </c>
      <c r="N12" s="164">
        <f>L12*I12/365.25*H12</f>
        <v>34273.151084004334</v>
      </c>
      <c r="O12" s="164">
        <f t="shared" ref="O12:O75" si="0">MIN(J12-Q12-P12,L12)</f>
        <v>25726.848915995659</v>
      </c>
      <c r="P12" s="164">
        <f t="shared" ref="P12:P75" si="1">MIN(J12-Q12,N12)</f>
        <v>34273.151084004334</v>
      </c>
      <c r="Q12" s="164">
        <f t="shared" ref="Q12:Q75" si="2">MIN(J12,M12)</f>
        <v>0</v>
      </c>
      <c r="R12" s="164">
        <f>MAX(N12-P12,0)</f>
        <v>0</v>
      </c>
      <c r="S12" s="164">
        <f t="shared" ref="S12:S75" si="3">L12-O12</f>
        <v>4151206.2286390872</v>
      </c>
      <c r="T12" s="164">
        <f t="shared" ref="T12:T75" si="4">M12+R12-Q12</f>
        <v>0</v>
      </c>
    </row>
    <row r="13" spans="2:21" x14ac:dyDescent="0.2">
      <c r="B13" s="171"/>
      <c r="D13" s="171"/>
      <c r="F13" s="158">
        <v>2</v>
      </c>
      <c r="G13" s="249">
        <f t="shared" ref="G13:G76" si="5">EOMONTH($D$9,F13-1)</f>
        <v>43708</v>
      </c>
      <c r="H13" s="158">
        <f>G13-G12</f>
        <v>31</v>
      </c>
      <c r="I13" s="254">
        <f>VLOOKUP(G13,'Прогноз переменной ставки'!$B$5:$E$304,4,1)</f>
        <v>9.9900000000000003E-2</v>
      </c>
      <c r="J13" s="164">
        <f t="shared" ref="J13:J76" si="6">IF(F13=$D$4,K13+N13,MIN($D$5,K13+N13))</f>
        <v>59999.999999999993</v>
      </c>
      <c r="K13" s="164">
        <f t="shared" ref="K13:K76" si="7">L13+M13</f>
        <v>4151206.2286390872</v>
      </c>
      <c r="L13" s="164">
        <f>S12</f>
        <v>4151206.2286390872</v>
      </c>
      <c r="M13" s="164">
        <f>T12</f>
        <v>0</v>
      </c>
      <c r="N13" s="164">
        <f t="shared" ref="N13:N76" si="8">L13*I13/365.25*H13</f>
        <v>35197.455357898398</v>
      </c>
      <c r="O13" s="164">
        <f t="shared" si="0"/>
        <v>24802.544642101595</v>
      </c>
      <c r="P13" s="164">
        <f t="shared" si="1"/>
        <v>35197.455357898398</v>
      </c>
      <c r="Q13" s="164">
        <f t="shared" si="2"/>
        <v>0</v>
      </c>
      <c r="R13" s="164">
        <f>MAX(N13-P13,0)</f>
        <v>0</v>
      </c>
      <c r="S13" s="164">
        <f t="shared" si="3"/>
        <v>4126403.6839969857</v>
      </c>
      <c r="T13" s="164">
        <f t="shared" si="4"/>
        <v>0</v>
      </c>
    </row>
    <row r="14" spans="2:21" x14ac:dyDescent="0.2">
      <c r="B14" s="171"/>
      <c r="D14" s="171"/>
      <c r="F14" s="158">
        <v>3</v>
      </c>
      <c r="G14" s="249">
        <f t="shared" si="5"/>
        <v>43738</v>
      </c>
      <c r="H14" s="158">
        <f t="shared" ref="H14:H77" si="9">G14-G13</f>
        <v>30</v>
      </c>
      <c r="I14" s="254">
        <f>VLOOKUP(G14,'Прогноз переменной ставки'!$B$5:$E$304,4,1)</f>
        <v>9.9900000000000003E-2</v>
      </c>
      <c r="J14" s="164">
        <f t="shared" si="6"/>
        <v>59999.999999999993</v>
      </c>
      <c r="K14" s="164">
        <f t="shared" si="7"/>
        <v>4126403.6839969857</v>
      </c>
      <c r="L14" s="164">
        <f t="shared" ref="L14:M77" si="10">S13</f>
        <v>4126403.6839969857</v>
      </c>
      <c r="M14" s="164">
        <f t="shared" si="10"/>
        <v>0</v>
      </c>
      <c r="N14" s="164">
        <f t="shared" si="8"/>
        <v>33858.540290045079</v>
      </c>
      <c r="O14" s="164">
        <f t="shared" si="0"/>
        <v>26141.459709954914</v>
      </c>
      <c r="P14" s="164">
        <f t="shared" si="1"/>
        <v>33858.540290045079</v>
      </c>
      <c r="Q14" s="164">
        <f t="shared" si="2"/>
        <v>0</v>
      </c>
      <c r="R14" s="164">
        <f t="shared" ref="R14:R77" si="11">MAX(N14-P14,0)</f>
        <v>0</v>
      </c>
      <c r="S14" s="164">
        <f t="shared" si="3"/>
        <v>4100262.2242870308</v>
      </c>
      <c r="T14" s="164">
        <f t="shared" si="4"/>
        <v>0</v>
      </c>
    </row>
    <row r="15" spans="2:21" x14ac:dyDescent="0.2">
      <c r="B15" s="171"/>
      <c r="D15" s="171"/>
      <c r="F15" s="158">
        <v>4</v>
      </c>
      <c r="G15" s="249">
        <f t="shared" si="5"/>
        <v>43769</v>
      </c>
      <c r="H15" s="158">
        <f t="shared" si="9"/>
        <v>31</v>
      </c>
      <c r="I15" s="254">
        <f>VLOOKUP(G15,'Прогноз переменной ставки'!$B$5:$E$304,4,1)</f>
        <v>9.9900000000000003E-2</v>
      </c>
      <c r="J15" s="164">
        <f t="shared" si="6"/>
        <v>59999.999999999993</v>
      </c>
      <c r="K15" s="164">
        <f t="shared" si="7"/>
        <v>4100262.2242870308</v>
      </c>
      <c r="L15" s="164">
        <f t="shared" si="10"/>
        <v>4100262.2242870308</v>
      </c>
      <c r="M15" s="164">
        <f t="shared" si="10"/>
        <v>0</v>
      </c>
      <c r="N15" s="164">
        <f t="shared" si="8"/>
        <v>34765.508781367578</v>
      </c>
      <c r="O15" s="164">
        <f t="shared" si="0"/>
        <v>25234.491218632415</v>
      </c>
      <c r="P15" s="164">
        <f t="shared" si="1"/>
        <v>34765.508781367578</v>
      </c>
      <c r="Q15" s="164">
        <f t="shared" si="2"/>
        <v>0</v>
      </c>
      <c r="R15" s="164">
        <f t="shared" si="11"/>
        <v>0</v>
      </c>
      <c r="S15" s="164">
        <f t="shared" si="3"/>
        <v>4075027.7330683982</v>
      </c>
      <c r="T15" s="164">
        <f t="shared" si="4"/>
        <v>0</v>
      </c>
    </row>
    <row r="16" spans="2:21" x14ac:dyDescent="0.2">
      <c r="B16" s="171"/>
      <c r="D16" s="171"/>
      <c r="F16" s="158">
        <v>5</v>
      </c>
      <c r="G16" s="249">
        <f t="shared" si="5"/>
        <v>43799</v>
      </c>
      <c r="H16" s="158">
        <f t="shared" si="9"/>
        <v>30</v>
      </c>
      <c r="I16" s="254">
        <f>VLOOKUP(G16,'Прогноз переменной ставки'!$B$5:$E$304,4,1)</f>
        <v>9.9900000000000003E-2</v>
      </c>
      <c r="J16" s="164">
        <f t="shared" si="6"/>
        <v>59999.999999999993</v>
      </c>
      <c r="K16" s="164">
        <f t="shared" si="7"/>
        <v>4075027.7330683982</v>
      </c>
      <c r="L16" s="164">
        <f t="shared" si="10"/>
        <v>4075027.7330683982</v>
      </c>
      <c r="M16" s="164">
        <f t="shared" si="10"/>
        <v>0</v>
      </c>
      <c r="N16" s="164">
        <f t="shared" si="8"/>
        <v>33436.983206039673</v>
      </c>
      <c r="O16" s="164">
        <f t="shared" si="0"/>
        <v>26563.01679396032</v>
      </c>
      <c r="P16" s="164">
        <f t="shared" si="1"/>
        <v>33436.983206039673</v>
      </c>
      <c r="Q16" s="164">
        <f t="shared" si="2"/>
        <v>0</v>
      </c>
      <c r="R16" s="164">
        <f t="shared" si="11"/>
        <v>0</v>
      </c>
      <c r="S16" s="164">
        <f t="shared" si="3"/>
        <v>4048464.716274438</v>
      </c>
      <c r="T16" s="164">
        <f t="shared" si="4"/>
        <v>0</v>
      </c>
    </row>
    <row r="17" spans="2:20" x14ac:dyDescent="0.2">
      <c r="B17" s="171"/>
      <c r="D17" s="171"/>
      <c r="F17" s="158">
        <v>6</v>
      </c>
      <c r="G17" s="249">
        <f t="shared" si="5"/>
        <v>43830</v>
      </c>
      <c r="H17" s="158">
        <f t="shared" si="9"/>
        <v>31</v>
      </c>
      <c r="I17" s="254">
        <f>VLOOKUP(G17,'Прогноз переменной ставки'!$B$5:$E$304,4,1)</f>
        <v>9.9900000000000003E-2</v>
      </c>
      <c r="J17" s="164">
        <f t="shared" si="6"/>
        <v>59999.999999999993</v>
      </c>
      <c r="K17" s="164">
        <f t="shared" si="7"/>
        <v>4048464.716274438</v>
      </c>
      <c r="L17" s="164">
        <f t="shared" si="10"/>
        <v>4048464.716274438</v>
      </c>
      <c r="M17" s="164">
        <f t="shared" si="10"/>
        <v>0</v>
      </c>
      <c r="N17" s="164">
        <f t="shared" si="8"/>
        <v>34326.325475236983</v>
      </c>
      <c r="O17" s="164">
        <f t="shared" si="0"/>
        <v>25673.67452476301</v>
      </c>
      <c r="P17" s="164">
        <f t="shared" si="1"/>
        <v>34326.325475236983</v>
      </c>
      <c r="Q17" s="164">
        <f t="shared" si="2"/>
        <v>0</v>
      </c>
      <c r="R17" s="164">
        <f t="shared" si="11"/>
        <v>0</v>
      </c>
      <c r="S17" s="164">
        <f t="shared" si="3"/>
        <v>4022791.0417496748</v>
      </c>
      <c r="T17" s="164">
        <f t="shared" si="4"/>
        <v>0</v>
      </c>
    </row>
    <row r="18" spans="2:20" x14ac:dyDescent="0.2">
      <c r="B18" s="171"/>
      <c r="D18" s="171"/>
      <c r="F18" s="158">
        <v>7</v>
      </c>
      <c r="G18" s="249">
        <f t="shared" si="5"/>
        <v>43861</v>
      </c>
      <c r="H18" s="158">
        <f t="shared" si="9"/>
        <v>31</v>
      </c>
      <c r="I18" s="254">
        <f>VLOOKUP(G18,'Прогноз переменной ставки'!$B$5:$E$304,4,1)</f>
        <v>9.9000000000000005E-2</v>
      </c>
      <c r="J18" s="164">
        <f t="shared" si="6"/>
        <v>59999.999999999993</v>
      </c>
      <c r="K18" s="164">
        <f t="shared" si="7"/>
        <v>4022791.0417496748</v>
      </c>
      <c r="L18" s="164">
        <f>S17</f>
        <v>4022791.0417496748</v>
      </c>
      <c r="M18" s="164">
        <f>T17</f>
        <v>0</v>
      </c>
      <c r="N18" s="164">
        <f t="shared" si="8"/>
        <v>33801.357172155382</v>
      </c>
      <c r="O18" s="164">
        <f t="shared" si="0"/>
        <v>26198.642827844611</v>
      </c>
      <c r="P18" s="164">
        <f t="shared" si="1"/>
        <v>33801.357172155382</v>
      </c>
      <c r="Q18" s="164">
        <f t="shared" si="2"/>
        <v>0</v>
      </c>
      <c r="R18" s="164">
        <f>MAX(N18-P18,0)</f>
        <v>0</v>
      </c>
      <c r="S18" s="164">
        <f t="shared" si="3"/>
        <v>3996592.3989218301</v>
      </c>
      <c r="T18" s="164">
        <f t="shared" si="4"/>
        <v>0</v>
      </c>
    </row>
    <row r="19" spans="2:20" x14ac:dyDescent="0.2">
      <c r="B19" s="171"/>
      <c r="D19" s="171"/>
      <c r="F19" s="158">
        <v>8</v>
      </c>
      <c r="G19" s="249">
        <f t="shared" si="5"/>
        <v>43890</v>
      </c>
      <c r="H19" s="158">
        <f t="shared" si="9"/>
        <v>29</v>
      </c>
      <c r="I19" s="254">
        <f>VLOOKUP(G19,'Прогноз переменной ставки'!$B$5:$E$304,4,1)</f>
        <v>9.9000000000000005E-2</v>
      </c>
      <c r="J19" s="164">
        <f t="shared" si="6"/>
        <v>59999.999999999993</v>
      </c>
      <c r="K19" s="164">
        <f t="shared" si="7"/>
        <v>3996592.3989218301</v>
      </c>
      <c r="L19" s="164">
        <f>S18</f>
        <v>3996592.3989218301</v>
      </c>
      <c r="M19" s="164">
        <f>T18</f>
        <v>0</v>
      </c>
      <c r="N19" s="164">
        <f t="shared" si="8"/>
        <v>31414.693435467692</v>
      </c>
      <c r="O19" s="164">
        <f t="shared" si="0"/>
        <v>28585.3065645323</v>
      </c>
      <c r="P19" s="164">
        <f t="shared" si="1"/>
        <v>31414.693435467692</v>
      </c>
      <c r="Q19" s="164">
        <f t="shared" si="2"/>
        <v>0</v>
      </c>
      <c r="R19" s="164">
        <f t="shared" si="11"/>
        <v>0</v>
      </c>
      <c r="S19" s="164">
        <f t="shared" si="3"/>
        <v>3968007.0923572979</v>
      </c>
      <c r="T19" s="164">
        <f t="shared" si="4"/>
        <v>0</v>
      </c>
    </row>
    <row r="20" spans="2:20" x14ac:dyDescent="0.2">
      <c r="B20" s="171"/>
      <c r="D20" s="171"/>
      <c r="F20" s="158">
        <v>9</v>
      </c>
      <c r="G20" s="249">
        <f t="shared" si="5"/>
        <v>43921</v>
      </c>
      <c r="H20" s="158">
        <f t="shared" si="9"/>
        <v>31</v>
      </c>
      <c r="I20" s="254">
        <f>VLOOKUP(G20,'Прогноз переменной ставки'!$B$5:$E$304,4,1)</f>
        <v>9.9000000000000005E-2</v>
      </c>
      <c r="J20" s="164">
        <f t="shared" si="6"/>
        <v>59999.999999999993</v>
      </c>
      <c r="K20" s="164">
        <f t="shared" si="7"/>
        <v>3968007.0923572979</v>
      </c>
      <c r="L20" s="164">
        <f t="shared" si="10"/>
        <v>3968007.0923572979</v>
      </c>
      <c r="M20" s="164">
        <f t="shared" si="10"/>
        <v>0</v>
      </c>
      <c r="N20" s="164">
        <f t="shared" si="8"/>
        <v>33341.037006008344</v>
      </c>
      <c r="O20" s="164">
        <f t="shared" si="0"/>
        <v>26658.962993991649</v>
      </c>
      <c r="P20" s="164">
        <f t="shared" si="1"/>
        <v>33341.037006008344</v>
      </c>
      <c r="Q20" s="164">
        <f t="shared" si="2"/>
        <v>0</v>
      </c>
      <c r="R20" s="164">
        <f t="shared" si="11"/>
        <v>0</v>
      </c>
      <c r="S20" s="164">
        <f t="shared" si="3"/>
        <v>3941348.1293633063</v>
      </c>
      <c r="T20" s="164">
        <f t="shared" si="4"/>
        <v>0</v>
      </c>
    </row>
    <row r="21" spans="2:20" x14ac:dyDescent="0.2">
      <c r="B21" s="171"/>
      <c r="D21" s="171"/>
      <c r="F21" s="158">
        <v>10</v>
      </c>
      <c r="G21" s="249">
        <f t="shared" si="5"/>
        <v>43951</v>
      </c>
      <c r="H21" s="158">
        <f t="shared" si="9"/>
        <v>30</v>
      </c>
      <c r="I21" s="254">
        <f>VLOOKUP(G21,'Прогноз переменной ставки'!$B$5:$E$304,4,1)</f>
        <v>9.9000000000000005E-2</v>
      </c>
      <c r="J21" s="164">
        <f t="shared" si="6"/>
        <v>59999.999999999993</v>
      </c>
      <c r="K21" s="164">
        <f t="shared" si="7"/>
        <v>3941348.1293633063</v>
      </c>
      <c r="L21" s="164">
        <f t="shared" si="10"/>
        <v>3941348.1293633063</v>
      </c>
      <c r="M21" s="164">
        <f t="shared" si="10"/>
        <v>0</v>
      </c>
      <c r="N21" s="164">
        <f t="shared" si="8"/>
        <v>32048.744542666722</v>
      </c>
      <c r="O21" s="164">
        <f t="shared" si="0"/>
        <v>27951.255457333271</v>
      </c>
      <c r="P21" s="164">
        <f t="shared" si="1"/>
        <v>32048.744542666722</v>
      </c>
      <c r="Q21" s="164">
        <f t="shared" si="2"/>
        <v>0</v>
      </c>
      <c r="R21" s="164">
        <f t="shared" si="11"/>
        <v>0</v>
      </c>
      <c r="S21" s="164">
        <f t="shared" si="3"/>
        <v>3913396.873905973</v>
      </c>
      <c r="T21" s="164">
        <f t="shared" si="4"/>
        <v>0</v>
      </c>
    </row>
    <row r="22" spans="2:20" x14ac:dyDescent="0.2">
      <c r="B22" s="171"/>
      <c r="D22" s="171"/>
      <c r="F22" s="158">
        <v>11</v>
      </c>
      <c r="G22" s="249">
        <f t="shared" si="5"/>
        <v>43982</v>
      </c>
      <c r="H22" s="158">
        <f t="shared" si="9"/>
        <v>31</v>
      </c>
      <c r="I22" s="254">
        <f>VLOOKUP(G22,'Прогноз переменной ставки'!$B$5:$E$304,4,1)</f>
        <v>9.9000000000000005E-2</v>
      </c>
      <c r="J22" s="164">
        <f t="shared" si="6"/>
        <v>59999.999999999993</v>
      </c>
      <c r="K22" s="164">
        <f t="shared" si="7"/>
        <v>3913396.873905973</v>
      </c>
      <c r="L22" s="164">
        <f t="shared" si="10"/>
        <v>3913396.873905973</v>
      </c>
      <c r="M22" s="164">
        <f t="shared" si="10"/>
        <v>0</v>
      </c>
      <c r="N22" s="164">
        <f t="shared" si="8"/>
        <v>32882.176607850597</v>
      </c>
      <c r="O22" s="164">
        <f t="shared" si="0"/>
        <v>27117.823392149396</v>
      </c>
      <c r="P22" s="164">
        <f t="shared" si="1"/>
        <v>32882.176607850597</v>
      </c>
      <c r="Q22" s="164">
        <f t="shared" si="2"/>
        <v>0</v>
      </c>
      <c r="R22" s="164">
        <f t="shared" si="11"/>
        <v>0</v>
      </c>
      <c r="S22" s="164">
        <f t="shared" si="3"/>
        <v>3886279.0505138235</v>
      </c>
      <c r="T22" s="164">
        <f t="shared" si="4"/>
        <v>0</v>
      </c>
    </row>
    <row r="23" spans="2:20" x14ac:dyDescent="0.2">
      <c r="B23" s="171"/>
      <c r="D23" s="171"/>
      <c r="F23" s="158">
        <v>12</v>
      </c>
      <c r="G23" s="249">
        <f t="shared" si="5"/>
        <v>44012</v>
      </c>
      <c r="H23" s="158">
        <f t="shared" si="9"/>
        <v>30</v>
      </c>
      <c r="I23" s="254">
        <f>VLOOKUP(G23,'Прогноз переменной ставки'!$B$5:$E$304,4,1)</f>
        <v>9.9000000000000005E-2</v>
      </c>
      <c r="J23" s="164">
        <f t="shared" si="6"/>
        <v>59999.999999999993</v>
      </c>
      <c r="K23" s="164">
        <f t="shared" si="7"/>
        <v>3886279.0505138235</v>
      </c>
      <c r="L23" s="164">
        <f t="shared" si="10"/>
        <v>3886279.0505138235</v>
      </c>
      <c r="M23" s="164">
        <f t="shared" si="10"/>
        <v>0</v>
      </c>
      <c r="N23" s="164">
        <f t="shared" si="8"/>
        <v>31600.954907668878</v>
      </c>
      <c r="O23" s="164">
        <f t="shared" si="0"/>
        <v>28399.045092331115</v>
      </c>
      <c r="P23" s="164">
        <f t="shared" si="1"/>
        <v>31600.954907668878</v>
      </c>
      <c r="Q23" s="164">
        <f t="shared" si="2"/>
        <v>0</v>
      </c>
      <c r="R23" s="164">
        <f t="shared" si="11"/>
        <v>0</v>
      </c>
      <c r="S23" s="164">
        <f t="shared" si="3"/>
        <v>3857880.0054214923</v>
      </c>
      <c r="T23" s="164">
        <f t="shared" si="4"/>
        <v>0</v>
      </c>
    </row>
    <row r="24" spans="2:20" x14ac:dyDescent="0.2">
      <c r="B24" s="171"/>
      <c r="D24" s="171"/>
      <c r="F24" s="158">
        <v>13</v>
      </c>
      <c r="G24" s="249">
        <f t="shared" si="5"/>
        <v>44043</v>
      </c>
      <c r="H24" s="158">
        <f t="shared" si="9"/>
        <v>31</v>
      </c>
      <c r="I24" s="254">
        <f>VLOOKUP(G24,'Прогноз переменной ставки'!$B$5:$E$304,4,1)</f>
        <v>9.9000000000000005E-2</v>
      </c>
      <c r="J24" s="164">
        <f t="shared" si="6"/>
        <v>59999.999999999993</v>
      </c>
      <c r="K24" s="164">
        <f t="shared" si="7"/>
        <v>3857880.0054214923</v>
      </c>
      <c r="L24" s="164">
        <f>S23</f>
        <v>3857880.0054214923</v>
      </c>
      <c r="M24" s="164">
        <f>T23</f>
        <v>0</v>
      </c>
      <c r="N24" s="164">
        <f t="shared" si="8"/>
        <v>32415.69811536909</v>
      </c>
      <c r="O24" s="164">
        <f t="shared" si="0"/>
        <v>27584.301884630902</v>
      </c>
      <c r="P24" s="164">
        <f t="shared" si="1"/>
        <v>32415.69811536909</v>
      </c>
      <c r="Q24" s="164">
        <f t="shared" si="2"/>
        <v>0</v>
      </c>
      <c r="R24" s="164">
        <f t="shared" si="11"/>
        <v>0</v>
      </c>
      <c r="S24" s="164">
        <f t="shared" si="3"/>
        <v>3830295.7035368616</v>
      </c>
      <c r="T24" s="164">
        <f t="shared" si="4"/>
        <v>0</v>
      </c>
    </row>
    <row r="25" spans="2:20" x14ac:dyDescent="0.2">
      <c r="B25" s="171"/>
      <c r="D25" s="171"/>
      <c r="F25" s="158">
        <v>14</v>
      </c>
      <c r="G25" s="249">
        <f t="shared" si="5"/>
        <v>44074</v>
      </c>
      <c r="H25" s="158">
        <f t="shared" si="9"/>
        <v>31</v>
      </c>
      <c r="I25" s="254">
        <f>VLOOKUP(G25,'Прогноз переменной ставки'!$B$5:$E$304,4,1)</f>
        <v>9.9000000000000005E-2</v>
      </c>
      <c r="J25" s="164">
        <f t="shared" si="6"/>
        <v>59999.999999999993</v>
      </c>
      <c r="K25" s="164">
        <f t="shared" si="7"/>
        <v>3830295.7035368616</v>
      </c>
      <c r="L25" s="164">
        <f t="shared" si="10"/>
        <v>3830295.7035368616</v>
      </c>
      <c r="M25" s="164">
        <f t="shared" si="10"/>
        <v>0</v>
      </c>
      <c r="N25" s="164">
        <f t="shared" si="8"/>
        <v>32183.92201000583</v>
      </c>
      <c r="O25" s="164">
        <f t="shared" si="0"/>
        <v>27816.077989994163</v>
      </c>
      <c r="P25" s="164">
        <f t="shared" si="1"/>
        <v>32183.92201000583</v>
      </c>
      <c r="Q25" s="164">
        <f t="shared" si="2"/>
        <v>0</v>
      </c>
      <c r="R25" s="164">
        <f t="shared" si="11"/>
        <v>0</v>
      </c>
      <c r="S25" s="164">
        <f t="shared" si="3"/>
        <v>3802479.6255468675</v>
      </c>
      <c r="T25" s="164">
        <f t="shared" si="4"/>
        <v>0</v>
      </c>
    </row>
    <row r="26" spans="2:20" x14ac:dyDescent="0.2">
      <c r="B26" s="171"/>
      <c r="D26" s="171"/>
      <c r="F26" s="158">
        <v>15</v>
      </c>
      <c r="G26" s="249">
        <f t="shared" si="5"/>
        <v>44104</v>
      </c>
      <c r="H26" s="158">
        <f t="shared" si="9"/>
        <v>30</v>
      </c>
      <c r="I26" s="254">
        <f>VLOOKUP(G26,'Прогноз переменной ставки'!$B$5:$E$304,4,1)</f>
        <v>9.9000000000000005E-2</v>
      </c>
      <c r="J26" s="164">
        <f t="shared" si="6"/>
        <v>59999.999999999993</v>
      </c>
      <c r="K26" s="164">
        <f t="shared" si="7"/>
        <v>3802479.6255468675</v>
      </c>
      <c r="L26" s="164">
        <f t="shared" si="10"/>
        <v>3802479.6255468675</v>
      </c>
      <c r="M26" s="164">
        <f t="shared" si="10"/>
        <v>0</v>
      </c>
      <c r="N26" s="164">
        <f t="shared" si="8"/>
        <v>30919.546852496089</v>
      </c>
      <c r="O26" s="164">
        <f t="shared" si="0"/>
        <v>29080.453147503904</v>
      </c>
      <c r="P26" s="164">
        <f t="shared" si="1"/>
        <v>30919.546852496089</v>
      </c>
      <c r="Q26" s="164">
        <f t="shared" si="2"/>
        <v>0</v>
      </c>
      <c r="R26" s="164">
        <f t="shared" si="11"/>
        <v>0</v>
      </c>
      <c r="S26" s="164">
        <f t="shared" si="3"/>
        <v>3773399.1723993635</v>
      </c>
      <c r="T26" s="164">
        <f t="shared" si="4"/>
        <v>0</v>
      </c>
    </row>
    <row r="27" spans="2:20" x14ac:dyDescent="0.2">
      <c r="B27" s="171"/>
      <c r="D27" s="171"/>
      <c r="F27" s="158">
        <v>16</v>
      </c>
      <c r="G27" s="249">
        <f t="shared" si="5"/>
        <v>44135</v>
      </c>
      <c r="H27" s="158">
        <f t="shared" si="9"/>
        <v>31</v>
      </c>
      <c r="I27" s="254">
        <f>VLOOKUP(G27,'Прогноз переменной ставки'!$B$5:$E$304,4,1)</f>
        <v>9.9000000000000005E-2</v>
      </c>
      <c r="J27" s="164">
        <f t="shared" si="6"/>
        <v>59999.999999999993</v>
      </c>
      <c r="K27" s="164">
        <f t="shared" si="7"/>
        <v>3773399.1723993635</v>
      </c>
      <c r="L27" s="164">
        <f t="shared" si="10"/>
        <v>3773399.1723993635</v>
      </c>
      <c r="M27" s="164">
        <f t="shared" si="10"/>
        <v>0</v>
      </c>
      <c r="N27" s="164">
        <f t="shared" si="8"/>
        <v>31705.850951659537</v>
      </c>
      <c r="O27" s="164">
        <f t="shared" si="0"/>
        <v>28294.149048340456</v>
      </c>
      <c r="P27" s="164">
        <f t="shared" si="1"/>
        <v>31705.850951659537</v>
      </c>
      <c r="Q27" s="164">
        <f t="shared" si="2"/>
        <v>0</v>
      </c>
      <c r="R27" s="164">
        <f t="shared" si="11"/>
        <v>0</v>
      </c>
      <c r="S27" s="164">
        <f t="shared" si="3"/>
        <v>3745105.023351023</v>
      </c>
      <c r="T27" s="164">
        <f t="shared" si="4"/>
        <v>0</v>
      </c>
    </row>
    <row r="28" spans="2:20" x14ac:dyDescent="0.2">
      <c r="B28" s="171"/>
      <c r="D28" s="171"/>
      <c r="F28" s="158">
        <v>17</v>
      </c>
      <c r="G28" s="249">
        <f t="shared" si="5"/>
        <v>44165</v>
      </c>
      <c r="H28" s="158">
        <f t="shared" si="9"/>
        <v>30</v>
      </c>
      <c r="I28" s="254">
        <f>VLOOKUP(G28,'Прогноз переменной ставки'!$B$5:$E$304,4,1)</f>
        <v>9.9000000000000005E-2</v>
      </c>
      <c r="J28" s="164">
        <f t="shared" si="6"/>
        <v>59999.999999999993</v>
      </c>
      <c r="K28" s="164">
        <f t="shared" si="7"/>
        <v>3745105.023351023</v>
      </c>
      <c r="L28" s="164">
        <f t="shared" si="10"/>
        <v>3745105.023351023</v>
      </c>
      <c r="M28" s="164">
        <f t="shared" si="10"/>
        <v>0</v>
      </c>
      <c r="N28" s="164">
        <f t="shared" si="8"/>
        <v>30453.010046139734</v>
      </c>
      <c r="O28" s="164">
        <f t="shared" si="0"/>
        <v>29546.989953860259</v>
      </c>
      <c r="P28" s="164">
        <f t="shared" si="1"/>
        <v>30453.010046139734</v>
      </c>
      <c r="Q28" s="164">
        <f t="shared" si="2"/>
        <v>0</v>
      </c>
      <c r="R28" s="164">
        <f t="shared" si="11"/>
        <v>0</v>
      </c>
      <c r="S28" s="164">
        <f t="shared" si="3"/>
        <v>3715558.0333971628</v>
      </c>
      <c r="T28" s="164">
        <f t="shared" si="4"/>
        <v>0</v>
      </c>
    </row>
    <row r="29" spans="2:20" x14ac:dyDescent="0.2">
      <c r="B29" s="171"/>
      <c r="D29" s="171"/>
      <c r="F29" s="158">
        <v>18</v>
      </c>
      <c r="G29" s="249">
        <f t="shared" si="5"/>
        <v>44196</v>
      </c>
      <c r="H29" s="158">
        <f t="shared" si="9"/>
        <v>31</v>
      </c>
      <c r="I29" s="254">
        <f>VLOOKUP(G29,'Прогноз переменной ставки'!$B$5:$E$304,4,1)</f>
        <v>9.9000000000000005E-2</v>
      </c>
      <c r="J29" s="164">
        <f t="shared" si="6"/>
        <v>59999.999999999993</v>
      </c>
      <c r="K29" s="164">
        <f t="shared" si="7"/>
        <v>3715558.0333971628</v>
      </c>
      <c r="L29" s="164">
        <f t="shared" si="10"/>
        <v>3715558.0333971628</v>
      </c>
      <c r="M29" s="164">
        <f t="shared" si="10"/>
        <v>0</v>
      </c>
      <c r="N29" s="164">
        <f t="shared" si="8"/>
        <v>31219.842859673903</v>
      </c>
      <c r="O29" s="164">
        <f t="shared" si="0"/>
        <v>28780.15714032609</v>
      </c>
      <c r="P29" s="164">
        <f t="shared" si="1"/>
        <v>31219.842859673903</v>
      </c>
      <c r="Q29" s="164">
        <f t="shared" si="2"/>
        <v>0</v>
      </c>
      <c r="R29" s="164">
        <f t="shared" si="11"/>
        <v>0</v>
      </c>
      <c r="S29" s="164">
        <f t="shared" si="3"/>
        <v>3686777.8762568366</v>
      </c>
      <c r="T29" s="164">
        <f t="shared" si="4"/>
        <v>0</v>
      </c>
    </row>
    <row r="30" spans="2:20" x14ac:dyDescent="0.2">
      <c r="B30" s="171"/>
      <c r="D30" s="171"/>
      <c r="F30" s="158">
        <v>19</v>
      </c>
      <c r="G30" s="249">
        <f t="shared" si="5"/>
        <v>44227</v>
      </c>
      <c r="H30" s="158">
        <f t="shared" si="9"/>
        <v>31</v>
      </c>
      <c r="I30" s="254">
        <f>VLOOKUP(G30,'Прогноз переменной ставки'!$B$5:$E$304,4,1)</f>
        <v>9.9000000000000005E-2</v>
      </c>
      <c r="J30" s="164">
        <f t="shared" si="6"/>
        <v>59999.999999999993</v>
      </c>
      <c r="K30" s="164">
        <f t="shared" si="7"/>
        <v>3686777.8762568366</v>
      </c>
      <c r="L30" s="164">
        <f t="shared" si="10"/>
        <v>3686777.8762568366</v>
      </c>
      <c r="M30" s="164">
        <f t="shared" si="10"/>
        <v>0</v>
      </c>
      <c r="N30" s="164">
        <f t="shared" si="8"/>
        <v>30978.018623496871</v>
      </c>
      <c r="O30" s="164">
        <f t="shared" si="0"/>
        <v>29021.981376503121</v>
      </c>
      <c r="P30" s="164">
        <f t="shared" si="1"/>
        <v>30978.018623496871</v>
      </c>
      <c r="Q30" s="164">
        <f t="shared" si="2"/>
        <v>0</v>
      </c>
      <c r="R30" s="164">
        <f t="shared" si="11"/>
        <v>0</v>
      </c>
      <c r="S30" s="164">
        <f t="shared" si="3"/>
        <v>3657755.8948803334</v>
      </c>
      <c r="T30" s="164">
        <f t="shared" si="4"/>
        <v>0</v>
      </c>
    </row>
    <row r="31" spans="2:20" x14ac:dyDescent="0.2">
      <c r="B31" s="171"/>
      <c r="D31" s="171"/>
      <c r="F31" s="158">
        <v>20</v>
      </c>
      <c r="G31" s="249">
        <f t="shared" si="5"/>
        <v>44255</v>
      </c>
      <c r="H31" s="158">
        <f t="shared" si="9"/>
        <v>28</v>
      </c>
      <c r="I31" s="254">
        <f>VLOOKUP(G31,'Прогноз переменной ставки'!$B$5:$E$304,4,1)</f>
        <v>9.9000000000000005E-2</v>
      </c>
      <c r="J31" s="164">
        <f t="shared" si="6"/>
        <v>59999.999999999993</v>
      </c>
      <c r="K31" s="164">
        <f t="shared" si="7"/>
        <v>3657755.8948803334</v>
      </c>
      <c r="L31" s="164">
        <f t="shared" si="10"/>
        <v>3657755.8948803334</v>
      </c>
      <c r="M31" s="164">
        <f t="shared" si="10"/>
        <v>0</v>
      </c>
      <c r="N31" s="164">
        <f t="shared" si="8"/>
        <v>27759.888680652391</v>
      </c>
      <c r="O31" s="164">
        <f t="shared" si="0"/>
        <v>32240.111319347601</v>
      </c>
      <c r="P31" s="164">
        <f t="shared" si="1"/>
        <v>27759.888680652391</v>
      </c>
      <c r="Q31" s="164">
        <f t="shared" si="2"/>
        <v>0</v>
      </c>
      <c r="R31" s="164">
        <f t="shared" si="11"/>
        <v>0</v>
      </c>
      <c r="S31" s="164">
        <f t="shared" si="3"/>
        <v>3625515.7835609857</v>
      </c>
      <c r="T31" s="164">
        <f t="shared" si="4"/>
        <v>0</v>
      </c>
    </row>
    <row r="32" spans="2:20" x14ac:dyDescent="0.2">
      <c r="B32" s="171"/>
      <c r="D32" s="171"/>
      <c r="F32" s="158">
        <v>21</v>
      </c>
      <c r="G32" s="249">
        <f t="shared" si="5"/>
        <v>44286</v>
      </c>
      <c r="H32" s="158">
        <f t="shared" si="9"/>
        <v>31</v>
      </c>
      <c r="I32" s="254">
        <f>VLOOKUP(G32,'Прогноз переменной ставки'!$B$5:$E$304,4,1)</f>
        <v>9.9000000000000005E-2</v>
      </c>
      <c r="J32" s="164">
        <f t="shared" si="6"/>
        <v>59999.999999999993</v>
      </c>
      <c r="K32" s="164">
        <f t="shared" si="7"/>
        <v>3625515.7835609857</v>
      </c>
      <c r="L32" s="164">
        <f t="shared" si="10"/>
        <v>3625515.7835609857</v>
      </c>
      <c r="M32" s="164">
        <f t="shared" si="10"/>
        <v>0</v>
      </c>
      <c r="N32" s="164">
        <f t="shared" si="8"/>
        <v>30463.266091029884</v>
      </c>
      <c r="O32" s="164">
        <f t="shared" si="0"/>
        <v>29536.733908970109</v>
      </c>
      <c r="P32" s="164">
        <f t="shared" si="1"/>
        <v>30463.266091029884</v>
      </c>
      <c r="Q32" s="164">
        <f t="shared" si="2"/>
        <v>0</v>
      </c>
      <c r="R32" s="164">
        <f t="shared" si="11"/>
        <v>0</v>
      </c>
      <c r="S32" s="164">
        <f t="shared" si="3"/>
        <v>3595979.0496520158</v>
      </c>
      <c r="T32" s="164">
        <f t="shared" si="4"/>
        <v>0</v>
      </c>
    </row>
    <row r="33" spans="2:20" x14ac:dyDescent="0.2">
      <c r="B33" s="171"/>
      <c r="D33" s="171"/>
      <c r="F33" s="158">
        <v>22</v>
      </c>
      <c r="G33" s="249">
        <f t="shared" si="5"/>
        <v>44316</v>
      </c>
      <c r="H33" s="158">
        <f t="shared" si="9"/>
        <v>30</v>
      </c>
      <c r="I33" s="254">
        <f>VLOOKUP(G33,'Прогноз переменной ставки'!$B$5:$E$304,4,1)</f>
        <v>9.9000000000000005E-2</v>
      </c>
      <c r="J33" s="164">
        <f t="shared" si="6"/>
        <v>59999.999999999993</v>
      </c>
      <c r="K33" s="164">
        <f t="shared" si="7"/>
        <v>3595979.0496520158</v>
      </c>
      <c r="L33" s="164">
        <f t="shared" si="10"/>
        <v>3595979.0496520158</v>
      </c>
      <c r="M33" s="164">
        <f t="shared" si="10"/>
        <v>0</v>
      </c>
      <c r="N33" s="164">
        <f t="shared" si="8"/>
        <v>29240.404592652943</v>
      </c>
      <c r="O33" s="164">
        <f t="shared" si="0"/>
        <v>30759.595407347049</v>
      </c>
      <c r="P33" s="164">
        <f t="shared" si="1"/>
        <v>29240.404592652943</v>
      </c>
      <c r="Q33" s="164">
        <f t="shared" si="2"/>
        <v>0</v>
      </c>
      <c r="R33" s="164">
        <f t="shared" si="11"/>
        <v>0</v>
      </c>
      <c r="S33" s="164">
        <f t="shared" si="3"/>
        <v>3565219.4542446686</v>
      </c>
      <c r="T33" s="164">
        <f t="shared" si="4"/>
        <v>0</v>
      </c>
    </row>
    <row r="34" spans="2:20" x14ac:dyDescent="0.2">
      <c r="B34" s="171"/>
      <c r="D34" s="171"/>
      <c r="F34" s="158">
        <v>23</v>
      </c>
      <c r="G34" s="249">
        <f t="shared" si="5"/>
        <v>44347</v>
      </c>
      <c r="H34" s="158">
        <f t="shared" si="9"/>
        <v>31</v>
      </c>
      <c r="I34" s="254">
        <f>VLOOKUP(G34,'Прогноз переменной ставки'!$B$5:$E$304,4,1)</f>
        <v>9.9000000000000005E-2</v>
      </c>
      <c r="J34" s="164">
        <f t="shared" si="6"/>
        <v>59999.999999999993</v>
      </c>
      <c r="K34" s="164">
        <f t="shared" si="7"/>
        <v>3565219.4542446686</v>
      </c>
      <c r="L34" s="164">
        <f t="shared" si="10"/>
        <v>3565219.4542446686</v>
      </c>
      <c r="M34" s="164">
        <f t="shared" si="10"/>
        <v>0</v>
      </c>
      <c r="N34" s="164">
        <f t="shared" si="8"/>
        <v>29956.62835065541</v>
      </c>
      <c r="O34" s="164">
        <f t="shared" si="0"/>
        <v>30043.371649344583</v>
      </c>
      <c r="P34" s="164">
        <f t="shared" si="1"/>
        <v>29956.62835065541</v>
      </c>
      <c r="Q34" s="164">
        <f t="shared" si="2"/>
        <v>0</v>
      </c>
      <c r="R34" s="164">
        <f t="shared" si="11"/>
        <v>0</v>
      </c>
      <c r="S34" s="164">
        <f t="shared" si="3"/>
        <v>3535176.0825953241</v>
      </c>
      <c r="T34" s="164">
        <f t="shared" si="4"/>
        <v>0</v>
      </c>
    </row>
    <row r="35" spans="2:20" x14ac:dyDescent="0.2">
      <c r="B35" s="171"/>
      <c r="D35" s="171"/>
      <c r="F35" s="158">
        <v>24</v>
      </c>
      <c r="G35" s="249">
        <f t="shared" si="5"/>
        <v>44377</v>
      </c>
      <c r="H35" s="158">
        <f t="shared" si="9"/>
        <v>30</v>
      </c>
      <c r="I35" s="254">
        <f>VLOOKUP(G35,'Прогноз переменной ставки'!$B$5:$E$304,4,1)</f>
        <v>9.9000000000000005E-2</v>
      </c>
      <c r="J35" s="164">
        <f t="shared" si="6"/>
        <v>59999.999999999993</v>
      </c>
      <c r="K35" s="164">
        <f t="shared" si="7"/>
        <v>3535176.0825953241</v>
      </c>
      <c r="L35" s="164">
        <f t="shared" si="10"/>
        <v>3535176.0825953241</v>
      </c>
      <c r="M35" s="164">
        <f t="shared" si="10"/>
        <v>0</v>
      </c>
      <c r="N35" s="164">
        <f t="shared" si="8"/>
        <v>28745.990322541034</v>
      </c>
      <c r="O35" s="164">
        <f t="shared" si="0"/>
        <v>31254.009677458958</v>
      </c>
      <c r="P35" s="164">
        <f t="shared" si="1"/>
        <v>28745.990322541034</v>
      </c>
      <c r="Q35" s="164">
        <f t="shared" si="2"/>
        <v>0</v>
      </c>
      <c r="R35" s="164">
        <f t="shared" si="11"/>
        <v>0</v>
      </c>
      <c r="S35" s="164">
        <f t="shared" si="3"/>
        <v>3503922.0729178651</v>
      </c>
      <c r="T35" s="164">
        <f t="shared" si="4"/>
        <v>0</v>
      </c>
    </row>
    <row r="36" spans="2:20" x14ac:dyDescent="0.2">
      <c r="B36" s="171"/>
      <c r="D36" s="171"/>
      <c r="F36" s="158">
        <v>25</v>
      </c>
      <c r="G36" s="249">
        <f t="shared" si="5"/>
        <v>44408</v>
      </c>
      <c r="H36" s="158">
        <f t="shared" si="9"/>
        <v>31</v>
      </c>
      <c r="I36" s="254">
        <f>VLOOKUP(G36,'Прогноз переменной ставки'!$B$5:$E$304,4,1)</f>
        <v>9.9000000000000005E-2</v>
      </c>
      <c r="J36" s="164">
        <f t="shared" si="6"/>
        <v>59999.999999999993</v>
      </c>
      <c r="K36" s="164">
        <f t="shared" si="7"/>
        <v>3503922.0729178651</v>
      </c>
      <c r="L36" s="164">
        <f t="shared" si="10"/>
        <v>3503922.0729178651</v>
      </c>
      <c r="M36" s="164">
        <f t="shared" si="10"/>
        <v>0</v>
      </c>
      <c r="N36" s="164">
        <f t="shared" si="8"/>
        <v>29441.579306734915</v>
      </c>
      <c r="O36" s="164">
        <f t="shared" si="0"/>
        <v>30558.420693265078</v>
      </c>
      <c r="P36" s="164">
        <f t="shared" si="1"/>
        <v>29441.579306734915</v>
      </c>
      <c r="Q36" s="164">
        <f t="shared" si="2"/>
        <v>0</v>
      </c>
      <c r="R36" s="164">
        <f t="shared" si="11"/>
        <v>0</v>
      </c>
      <c r="S36" s="164">
        <f t="shared" si="3"/>
        <v>3473363.6522245998</v>
      </c>
      <c r="T36" s="164">
        <f t="shared" si="4"/>
        <v>0</v>
      </c>
    </row>
    <row r="37" spans="2:20" x14ac:dyDescent="0.2">
      <c r="B37" s="171"/>
      <c r="D37" s="171"/>
      <c r="F37" s="158">
        <v>26</v>
      </c>
      <c r="G37" s="249">
        <f t="shared" si="5"/>
        <v>44439</v>
      </c>
      <c r="H37" s="158">
        <f t="shared" si="9"/>
        <v>31</v>
      </c>
      <c r="I37" s="254">
        <f>VLOOKUP(G37,'Прогноз переменной ставки'!$B$5:$E$304,4,1)</f>
        <v>9.9000000000000005E-2</v>
      </c>
      <c r="J37" s="164">
        <f t="shared" si="6"/>
        <v>59999.999999999993</v>
      </c>
      <c r="K37" s="164">
        <f t="shared" si="7"/>
        <v>3473363.6522245998</v>
      </c>
      <c r="L37" s="164">
        <f t="shared" si="10"/>
        <v>3473363.6522245998</v>
      </c>
      <c r="M37" s="164">
        <f t="shared" si="10"/>
        <v>0</v>
      </c>
      <c r="N37" s="164">
        <f t="shared" si="8"/>
        <v>29184.813274954959</v>
      </c>
      <c r="O37" s="164">
        <f t="shared" si="0"/>
        <v>30815.186725045034</v>
      </c>
      <c r="P37" s="164">
        <f t="shared" si="1"/>
        <v>29184.813274954959</v>
      </c>
      <c r="Q37" s="164">
        <f t="shared" si="2"/>
        <v>0</v>
      </c>
      <c r="R37" s="164">
        <f t="shared" si="11"/>
        <v>0</v>
      </c>
      <c r="S37" s="164">
        <f t="shared" si="3"/>
        <v>3442548.4654995548</v>
      </c>
      <c r="T37" s="164">
        <f t="shared" si="4"/>
        <v>0</v>
      </c>
    </row>
    <row r="38" spans="2:20" x14ac:dyDescent="0.2">
      <c r="B38" s="171"/>
      <c r="D38" s="171"/>
      <c r="F38" s="158">
        <v>27</v>
      </c>
      <c r="G38" s="249">
        <f t="shared" si="5"/>
        <v>44469</v>
      </c>
      <c r="H38" s="158">
        <f t="shared" si="9"/>
        <v>30</v>
      </c>
      <c r="I38" s="254">
        <f>VLOOKUP(G38,'Прогноз переменной ставки'!$B$5:$E$304,4,1)</f>
        <v>9.9000000000000005E-2</v>
      </c>
      <c r="J38" s="164">
        <f t="shared" si="6"/>
        <v>59999.999999999993</v>
      </c>
      <c r="K38" s="164">
        <f t="shared" si="7"/>
        <v>3442548.4654995548</v>
      </c>
      <c r="L38" s="164">
        <f t="shared" si="10"/>
        <v>3442548.4654995548</v>
      </c>
      <c r="M38" s="164">
        <f t="shared" si="10"/>
        <v>0</v>
      </c>
      <c r="N38" s="164">
        <f t="shared" si="8"/>
        <v>27992.796557244841</v>
      </c>
      <c r="O38" s="164">
        <f t="shared" si="0"/>
        <v>32007.203442755152</v>
      </c>
      <c r="P38" s="164">
        <f t="shared" si="1"/>
        <v>27992.796557244841</v>
      </c>
      <c r="Q38" s="164">
        <f t="shared" si="2"/>
        <v>0</v>
      </c>
      <c r="R38" s="164">
        <f t="shared" si="11"/>
        <v>0</v>
      </c>
      <c r="S38" s="164">
        <f t="shared" si="3"/>
        <v>3410541.2620567996</v>
      </c>
      <c r="T38" s="164">
        <f t="shared" si="4"/>
        <v>0</v>
      </c>
    </row>
    <row r="39" spans="2:20" x14ac:dyDescent="0.2">
      <c r="B39" s="171"/>
      <c r="D39" s="171"/>
      <c r="F39" s="158">
        <v>28</v>
      </c>
      <c r="G39" s="249">
        <f t="shared" si="5"/>
        <v>44500</v>
      </c>
      <c r="H39" s="158">
        <f t="shared" si="9"/>
        <v>31</v>
      </c>
      <c r="I39" s="254">
        <f>VLOOKUP(G39,'Прогноз переменной ставки'!$B$5:$E$304,4,1)</f>
        <v>9.9000000000000005E-2</v>
      </c>
      <c r="J39" s="164">
        <f t="shared" si="6"/>
        <v>59999.999999999993</v>
      </c>
      <c r="K39" s="164">
        <f t="shared" si="7"/>
        <v>3410541.2620567996</v>
      </c>
      <c r="L39" s="164">
        <f t="shared" si="10"/>
        <v>3410541.2620567996</v>
      </c>
      <c r="M39" s="164">
        <f t="shared" si="10"/>
        <v>0</v>
      </c>
      <c r="N39" s="164">
        <f t="shared" si="8"/>
        <v>28656.950399048099</v>
      </c>
      <c r="O39" s="164">
        <f t="shared" si="0"/>
        <v>31343.049600951894</v>
      </c>
      <c r="P39" s="164">
        <f t="shared" si="1"/>
        <v>28656.950399048099</v>
      </c>
      <c r="Q39" s="164">
        <f t="shared" si="2"/>
        <v>0</v>
      </c>
      <c r="R39" s="164">
        <f t="shared" si="11"/>
        <v>0</v>
      </c>
      <c r="S39" s="164">
        <f t="shared" si="3"/>
        <v>3379198.2124558478</v>
      </c>
      <c r="T39" s="164">
        <f t="shared" si="4"/>
        <v>0</v>
      </c>
    </row>
    <row r="40" spans="2:20" x14ac:dyDescent="0.2">
      <c r="B40" s="171"/>
      <c r="D40" s="171"/>
      <c r="F40" s="158">
        <v>29</v>
      </c>
      <c r="G40" s="249">
        <f t="shared" si="5"/>
        <v>44530</v>
      </c>
      <c r="H40" s="158">
        <f t="shared" si="9"/>
        <v>30</v>
      </c>
      <c r="I40" s="254">
        <f>VLOOKUP(G40,'Прогноз переменной ставки'!$B$5:$E$304,4,1)</f>
        <v>9.9000000000000005E-2</v>
      </c>
      <c r="J40" s="164">
        <f t="shared" si="6"/>
        <v>59999.999999999993</v>
      </c>
      <c r="K40" s="164">
        <f t="shared" si="7"/>
        <v>3379198.2124558478</v>
      </c>
      <c r="L40" s="164">
        <f t="shared" si="10"/>
        <v>3379198.2124558478</v>
      </c>
      <c r="M40" s="164">
        <f t="shared" si="10"/>
        <v>0</v>
      </c>
      <c r="N40" s="164">
        <f t="shared" si="8"/>
        <v>27477.669242967473</v>
      </c>
      <c r="O40" s="164">
        <f t="shared" si="0"/>
        <v>32522.33075703252</v>
      </c>
      <c r="P40" s="164">
        <f t="shared" si="1"/>
        <v>27477.669242967473</v>
      </c>
      <c r="Q40" s="164">
        <f t="shared" si="2"/>
        <v>0</v>
      </c>
      <c r="R40" s="164">
        <f t="shared" si="11"/>
        <v>0</v>
      </c>
      <c r="S40" s="164">
        <f t="shared" si="3"/>
        <v>3346675.8816988152</v>
      </c>
      <c r="T40" s="164">
        <f t="shared" si="4"/>
        <v>0</v>
      </c>
    </row>
    <row r="41" spans="2:20" x14ac:dyDescent="0.2">
      <c r="B41" s="171"/>
      <c r="D41" s="171"/>
      <c r="F41" s="158">
        <v>30</v>
      </c>
      <c r="G41" s="249">
        <f t="shared" si="5"/>
        <v>44561</v>
      </c>
      <c r="H41" s="158">
        <f t="shared" si="9"/>
        <v>31</v>
      </c>
      <c r="I41" s="254">
        <f>VLOOKUP(G41,'Прогноз переменной ставки'!$B$5:$E$304,4,1)</f>
        <v>9.9000000000000005E-2</v>
      </c>
      <c r="J41" s="164">
        <f t="shared" si="6"/>
        <v>59999.999999999993</v>
      </c>
      <c r="K41" s="164">
        <f t="shared" si="7"/>
        <v>3346675.8816988152</v>
      </c>
      <c r="L41" s="164">
        <f t="shared" si="10"/>
        <v>3346675.8816988152</v>
      </c>
      <c r="M41" s="164">
        <f t="shared" si="10"/>
        <v>0</v>
      </c>
      <c r="N41" s="164">
        <f t="shared" si="8"/>
        <v>28120.323835547337</v>
      </c>
      <c r="O41" s="164">
        <f t="shared" si="0"/>
        <v>31879.676164452656</v>
      </c>
      <c r="P41" s="164">
        <f t="shared" si="1"/>
        <v>28120.323835547337</v>
      </c>
      <c r="Q41" s="164">
        <f t="shared" si="2"/>
        <v>0</v>
      </c>
      <c r="R41" s="164">
        <f t="shared" si="11"/>
        <v>0</v>
      </c>
      <c r="S41" s="164">
        <f t="shared" si="3"/>
        <v>3314796.2055343627</v>
      </c>
      <c r="T41" s="164">
        <f t="shared" si="4"/>
        <v>0</v>
      </c>
    </row>
    <row r="42" spans="2:20" x14ac:dyDescent="0.2">
      <c r="B42" s="171"/>
      <c r="D42" s="171"/>
      <c r="F42" s="158">
        <v>31</v>
      </c>
      <c r="G42" s="249">
        <f t="shared" si="5"/>
        <v>44592</v>
      </c>
      <c r="H42" s="158">
        <f t="shared" si="9"/>
        <v>31</v>
      </c>
      <c r="I42" s="254">
        <f>VLOOKUP(G42,'Прогноз переменной ставки'!$B$5:$E$304,4,1)</f>
        <v>9.9000000000000005E-2</v>
      </c>
      <c r="J42" s="164">
        <f t="shared" si="6"/>
        <v>59999.999999999993</v>
      </c>
      <c r="K42" s="164">
        <f t="shared" si="7"/>
        <v>3314796.2055343627</v>
      </c>
      <c r="L42" s="164">
        <f t="shared" si="10"/>
        <v>3314796.2055343627</v>
      </c>
      <c r="M42" s="164">
        <f t="shared" si="10"/>
        <v>0</v>
      </c>
      <c r="N42" s="164">
        <f t="shared" si="8"/>
        <v>27852.456002149102</v>
      </c>
      <c r="O42" s="164">
        <f t="shared" si="0"/>
        <v>32147.543997850891</v>
      </c>
      <c r="P42" s="164">
        <f t="shared" si="1"/>
        <v>27852.456002149102</v>
      </c>
      <c r="Q42" s="164">
        <f t="shared" si="2"/>
        <v>0</v>
      </c>
      <c r="R42" s="164">
        <f t="shared" si="11"/>
        <v>0</v>
      </c>
      <c r="S42" s="164">
        <f t="shared" si="3"/>
        <v>3282648.661536512</v>
      </c>
      <c r="T42" s="164">
        <f t="shared" si="4"/>
        <v>0</v>
      </c>
    </row>
    <row r="43" spans="2:20" x14ac:dyDescent="0.2">
      <c r="B43" s="171"/>
      <c r="D43" s="171"/>
      <c r="F43" s="158">
        <v>32</v>
      </c>
      <c r="G43" s="249">
        <f t="shared" si="5"/>
        <v>44620</v>
      </c>
      <c r="H43" s="158">
        <f t="shared" si="9"/>
        <v>28</v>
      </c>
      <c r="I43" s="254">
        <f>VLOOKUP(G43,'Прогноз переменной ставки'!$B$5:$E$304,4,1)</f>
        <v>9.9000000000000005E-2</v>
      </c>
      <c r="J43" s="164">
        <f t="shared" si="6"/>
        <v>59999.999999999993</v>
      </c>
      <c r="K43" s="164">
        <f t="shared" si="7"/>
        <v>3282648.661536512</v>
      </c>
      <c r="L43" s="164">
        <f t="shared" si="10"/>
        <v>3282648.661536512</v>
      </c>
      <c r="M43" s="164">
        <f t="shared" si="10"/>
        <v>0</v>
      </c>
      <c r="N43" s="164">
        <f t="shared" si="8"/>
        <v>24913.078959012215</v>
      </c>
      <c r="O43" s="164">
        <f t="shared" si="0"/>
        <v>35086.921040987778</v>
      </c>
      <c r="P43" s="164">
        <f t="shared" si="1"/>
        <v>24913.078959012215</v>
      </c>
      <c r="Q43" s="164">
        <f t="shared" si="2"/>
        <v>0</v>
      </c>
      <c r="R43" s="164">
        <f t="shared" si="11"/>
        <v>0</v>
      </c>
      <c r="S43" s="164">
        <f t="shared" si="3"/>
        <v>3247561.7404955244</v>
      </c>
      <c r="T43" s="164">
        <f t="shared" si="4"/>
        <v>0</v>
      </c>
    </row>
    <row r="44" spans="2:20" x14ac:dyDescent="0.2">
      <c r="B44" s="171"/>
      <c r="D44" s="171"/>
      <c r="F44" s="158">
        <v>33</v>
      </c>
      <c r="G44" s="249">
        <f t="shared" si="5"/>
        <v>44651</v>
      </c>
      <c r="H44" s="158">
        <f t="shared" si="9"/>
        <v>31</v>
      </c>
      <c r="I44" s="254">
        <f>VLOOKUP(G44,'Прогноз переменной ставки'!$B$5:$E$304,4,1)</f>
        <v>9.9000000000000005E-2</v>
      </c>
      <c r="J44" s="164">
        <f t="shared" si="6"/>
        <v>59999.999999999993</v>
      </c>
      <c r="K44" s="164">
        <f t="shared" si="7"/>
        <v>3247561.7404955244</v>
      </c>
      <c r="L44" s="164">
        <f t="shared" si="10"/>
        <v>3247561.7404955244</v>
      </c>
      <c r="M44" s="164">
        <f t="shared" si="10"/>
        <v>0</v>
      </c>
      <c r="N44" s="164">
        <f t="shared" si="8"/>
        <v>27287.520825683132</v>
      </c>
      <c r="O44" s="164">
        <f t="shared" si="0"/>
        <v>32712.479174316861</v>
      </c>
      <c r="P44" s="164">
        <f t="shared" si="1"/>
        <v>27287.520825683132</v>
      </c>
      <c r="Q44" s="164">
        <f t="shared" si="2"/>
        <v>0</v>
      </c>
      <c r="R44" s="164">
        <f t="shared" si="11"/>
        <v>0</v>
      </c>
      <c r="S44" s="164">
        <f t="shared" si="3"/>
        <v>3214849.2613212075</v>
      </c>
      <c r="T44" s="164">
        <f t="shared" si="4"/>
        <v>0</v>
      </c>
    </row>
    <row r="45" spans="2:20" x14ac:dyDescent="0.2">
      <c r="B45" s="171"/>
      <c r="D45" s="171"/>
      <c r="F45" s="158">
        <v>34</v>
      </c>
      <c r="G45" s="249">
        <f t="shared" si="5"/>
        <v>44681</v>
      </c>
      <c r="H45" s="158">
        <f t="shared" si="9"/>
        <v>30</v>
      </c>
      <c r="I45" s="254">
        <f>VLOOKUP(G45,'Прогноз переменной ставки'!$B$5:$E$304,4,1)</f>
        <v>9.9000000000000005E-2</v>
      </c>
      <c r="J45" s="164">
        <f t="shared" si="6"/>
        <v>59999.999999999993</v>
      </c>
      <c r="K45" s="164">
        <f t="shared" si="7"/>
        <v>3214849.2613212075</v>
      </c>
      <c r="L45" s="164">
        <f t="shared" si="10"/>
        <v>3214849.2613212075</v>
      </c>
      <c r="M45" s="164">
        <f t="shared" si="10"/>
        <v>0</v>
      </c>
      <c r="N45" s="164">
        <f t="shared" si="8"/>
        <v>26141.279414439388</v>
      </c>
      <c r="O45" s="164">
        <f t="shared" si="0"/>
        <v>33858.720585560601</v>
      </c>
      <c r="P45" s="164">
        <f t="shared" si="1"/>
        <v>26141.279414439388</v>
      </c>
      <c r="Q45" s="164">
        <f t="shared" si="2"/>
        <v>0</v>
      </c>
      <c r="R45" s="164">
        <f t="shared" si="11"/>
        <v>0</v>
      </c>
      <c r="S45" s="164">
        <f t="shared" si="3"/>
        <v>3180990.5407356471</v>
      </c>
      <c r="T45" s="164">
        <f t="shared" si="4"/>
        <v>0</v>
      </c>
    </row>
    <row r="46" spans="2:20" x14ac:dyDescent="0.2">
      <c r="B46" s="171"/>
      <c r="D46" s="171"/>
      <c r="F46" s="158">
        <v>35</v>
      </c>
      <c r="G46" s="249">
        <f t="shared" si="5"/>
        <v>44712</v>
      </c>
      <c r="H46" s="158">
        <f t="shared" si="9"/>
        <v>31</v>
      </c>
      <c r="I46" s="254">
        <f>VLOOKUP(G46,'Прогноз переменной ставки'!$B$5:$E$304,4,1)</f>
        <v>9.9000000000000005E-2</v>
      </c>
      <c r="J46" s="164">
        <f t="shared" si="6"/>
        <v>59999.999999999993</v>
      </c>
      <c r="K46" s="164">
        <f t="shared" si="7"/>
        <v>3180990.5407356471</v>
      </c>
      <c r="L46" s="164">
        <f t="shared" si="10"/>
        <v>3180990.5407356471</v>
      </c>
      <c r="M46" s="164">
        <f t="shared" si="10"/>
        <v>0</v>
      </c>
      <c r="N46" s="164">
        <f t="shared" si="8"/>
        <v>26728.158711889664</v>
      </c>
      <c r="O46" s="164">
        <f t="shared" si="0"/>
        <v>33271.841288110329</v>
      </c>
      <c r="P46" s="164">
        <f t="shared" si="1"/>
        <v>26728.158711889664</v>
      </c>
      <c r="Q46" s="164">
        <f t="shared" si="2"/>
        <v>0</v>
      </c>
      <c r="R46" s="164">
        <f t="shared" si="11"/>
        <v>0</v>
      </c>
      <c r="S46" s="164">
        <f t="shared" si="3"/>
        <v>3147718.6994475368</v>
      </c>
      <c r="T46" s="164">
        <f t="shared" si="4"/>
        <v>0</v>
      </c>
    </row>
    <row r="47" spans="2:20" x14ac:dyDescent="0.2">
      <c r="B47" s="171"/>
      <c r="D47" s="171"/>
      <c r="F47" s="158">
        <v>36</v>
      </c>
      <c r="G47" s="249">
        <f t="shared" si="5"/>
        <v>44742</v>
      </c>
      <c r="H47" s="158">
        <f t="shared" si="9"/>
        <v>30</v>
      </c>
      <c r="I47" s="254">
        <f>VLOOKUP(G47,'Прогноз переменной ставки'!$B$5:$E$304,4,1)</f>
        <v>9.9000000000000005E-2</v>
      </c>
      <c r="J47" s="164">
        <f t="shared" si="6"/>
        <v>59999.999999999993</v>
      </c>
      <c r="K47" s="164">
        <f t="shared" si="7"/>
        <v>3147718.6994475368</v>
      </c>
      <c r="L47" s="164">
        <f t="shared" si="10"/>
        <v>3147718.6994475368</v>
      </c>
      <c r="M47" s="164">
        <f t="shared" si="10"/>
        <v>0</v>
      </c>
      <c r="N47" s="164">
        <f t="shared" si="8"/>
        <v>25595.412833290036</v>
      </c>
      <c r="O47" s="164">
        <f t="shared" si="0"/>
        <v>34404.587166709956</v>
      </c>
      <c r="P47" s="164">
        <f t="shared" si="1"/>
        <v>25595.412833290036</v>
      </c>
      <c r="Q47" s="164">
        <f t="shared" si="2"/>
        <v>0</v>
      </c>
      <c r="R47" s="164">
        <f t="shared" si="11"/>
        <v>0</v>
      </c>
      <c r="S47" s="164">
        <f t="shared" si="3"/>
        <v>3113314.112280827</v>
      </c>
      <c r="T47" s="164">
        <f t="shared" si="4"/>
        <v>0</v>
      </c>
    </row>
    <row r="48" spans="2:20" x14ac:dyDescent="0.2">
      <c r="B48" s="171"/>
      <c r="D48" s="171"/>
      <c r="F48" s="158">
        <v>37</v>
      </c>
      <c r="G48" s="249">
        <f t="shared" si="5"/>
        <v>44773</v>
      </c>
      <c r="H48" s="158">
        <f t="shared" si="9"/>
        <v>31</v>
      </c>
      <c r="I48" s="254">
        <f>VLOOKUP(G48,'Прогноз переменной ставки'!$B$5:$E$304,4,1)</f>
        <v>9.9000000000000005E-2</v>
      </c>
      <c r="J48" s="164">
        <f t="shared" si="6"/>
        <v>59999.999999999993</v>
      </c>
      <c r="K48" s="164">
        <f t="shared" si="7"/>
        <v>3113314.112280827</v>
      </c>
      <c r="L48" s="164">
        <f t="shared" si="10"/>
        <v>3113314.112280827</v>
      </c>
      <c r="M48" s="164">
        <f t="shared" si="10"/>
        <v>0</v>
      </c>
      <c r="N48" s="164">
        <f t="shared" si="8"/>
        <v>26159.509953702553</v>
      </c>
      <c r="O48" s="164">
        <f t="shared" si="0"/>
        <v>33840.49004629744</v>
      </c>
      <c r="P48" s="164">
        <f t="shared" si="1"/>
        <v>26159.509953702553</v>
      </c>
      <c r="Q48" s="164">
        <f t="shared" si="2"/>
        <v>0</v>
      </c>
      <c r="R48" s="164">
        <f t="shared" si="11"/>
        <v>0</v>
      </c>
      <c r="S48" s="164">
        <f t="shared" si="3"/>
        <v>3079473.6222345293</v>
      </c>
      <c r="T48" s="164">
        <f t="shared" si="4"/>
        <v>0</v>
      </c>
    </row>
    <row r="49" spans="2:20" x14ac:dyDescent="0.2">
      <c r="B49" s="171"/>
      <c r="D49" s="171"/>
      <c r="F49" s="158">
        <v>38</v>
      </c>
      <c r="G49" s="249">
        <f t="shared" si="5"/>
        <v>44804</v>
      </c>
      <c r="H49" s="158">
        <f t="shared" si="9"/>
        <v>31</v>
      </c>
      <c r="I49" s="254">
        <f>VLOOKUP(G49,'Прогноз переменной ставки'!$B$5:$E$304,4,1)</f>
        <v>9.9000000000000005E-2</v>
      </c>
      <c r="J49" s="164">
        <f t="shared" si="6"/>
        <v>59999.999999999993</v>
      </c>
      <c r="K49" s="164">
        <f t="shared" si="7"/>
        <v>3079473.6222345293</v>
      </c>
      <c r="L49" s="164">
        <f t="shared" si="10"/>
        <v>3079473.6222345293</v>
      </c>
      <c r="M49" s="164">
        <f t="shared" si="10"/>
        <v>0</v>
      </c>
      <c r="N49" s="164">
        <f t="shared" si="8"/>
        <v>25875.166452122576</v>
      </c>
      <c r="O49" s="164">
        <f t="shared" si="0"/>
        <v>34124.833547877417</v>
      </c>
      <c r="P49" s="164">
        <f t="shared" si="1"/>
        <v>25875.166452122576</v>
      </c>
      <c r="Q49" s="164">
        <f t="shared" si="2"/>
        <v>0</v>
      </c>
      <c r="R49" s="164">
        <f t="shared" si="11"/>
        <v>0</v>
      </c>
      <c r="S49" s="164">
        <f t="shared" si="3"/>
        <v>3045348.7886866517</v>
      </c>
      <c r="T49" s="164">
        <f t="shared" si="4"/>
        <v>0</v>
      </c>
    </row>
    <row r="50" spans="2:20" x14ac:dyDescent="0.2">
      <c r="B50" s="171"/>
      <c r="D50" s="171"/>
      <c r="F50" s="158">
        <v>39</v>
      </c>
      <c r="G50" s="249">
        <f t="shared" si="5"/>
        <v>44834</v>
      </c>
      <c r="H50" s="158">
        <f t="shared" si="9"/>
        <v>30</v>
      </c>
      <c r="I50" s="254">
        <f>VLOOKUP(G50,'Прогноз переменной ставки'!$B$5:$E$304,4,1)</f>
        <v>9.9000000000000005E-2</v>
      </c>
      <c r="J50" s="164">
        <f t="shared" si="6"/>
        <v>59999.999999999993</v>
      </c>
      <c r="K50" s="164">
        <f t="shared" si="7"/>
        <v>3045348.7886866517</v>
      </c>
      <c r="L50" s="164">
        <f t="shared" si="10"/>
        <v>3045348.7886866517</v>
      </c>
      <c r="M50" s="164">
        <f t="shared" si="10"/>
        <v>0</v>
      </c>
      <c r="N50" s="164">
        <f t="shared" si="8"/>
        <v>24763.000417246694</v>
      </c>
      <c r="O50" s="164">
        <f t="shared" si="0"/>
        <v>35236.999582753298</v>
      </c>
      <c r="P50" s="164">
        <f t="shared" si="1"/>
        <v>24763.000417246694</v>
      </c>
      <c r="Q50" s="164">
        <f t="shared" si="2"/>
        <v>0</v>
      </c>
      <c r="R50" s="164">
        <f t="shared" si="11"/>
        <v>0</v>
      </c>
      <c r="S50" s="164">
        <f t="shared" si="3"/>
        <v>3010111.7891038982</v>
      </c>
      <c r="T50" s="164">
        <f t="shared" si="4"/>
        <v>0</v>
      </c>
    </row>
    <row r="51" spans="2:20" x14ac:dyDescent="0.2">
      <c r="B51" s="171"/>
      <c r="D51" s="171"/>
      <c r="F51" s="158">
        <v>40</v>
      </c>
      <c r="G51" s="249">
        <f t="shared" si="5"/>
        <v>44865</v>
      </c>
      <c r="H51" s="158">
        <f t="shared" si="9"/>
        <v>31</v>
      </c>
      <c r="I51" s="254">
        <f>VLOOKUP(G51,'Прогноз переменной ставки'!$B$5:$E$304,4,1)</f>
        <v>9.9000000000000005E-2</v>
      </c>
      <c r="J51" s="164">
        <f t="shared" si="6"/>
        <v>59999.999999999993</v>
      </c>
      <c r="K51" s="164">
        <f t="shared" si="7"/>
        <v>3010111.7891038982</v>
      </c>
      <c r="L51" s="164">
        <f t="shared" si="10"/>
        <v>3010111.7891038982</v>
      </c>
      <c r="M51" s="164">
        <f t="shared" si="10"/>
        <v>0</v>
      </c>
      <c r="N51" s="164">
        <f t="shared" si="8"/>
        <v>25292.356141710785</v>
      </c>
      <c r="O51" s="164">
        <f t="shared" si="0"/>
        <v>34707.643858289208</v>
      </c>
      <c r="P51" s="164">
        <f t="shared" si="1"/>
        <v>25292.356141710785</v>
      </c>
      <c r="Q51" s="164">
        <f t="shared" si="2"/>
        <v>0</v>
      </c>
      <c r="R51" s="164">
        <f t="shared" si="11"/>
        <v>0</v>
      </c>
      <c r="S51" s="164">
        <f t="shared" si="3"/>
        <v>2975404.1452456089</v>
      </c>
      <c r="T51" s="164">
        <f t="shared" si="4"/>
        <v>0</v>
      </c>
    </row>
    <row r="52" spans="2:20" x14ac:dyDescent="0.2">
      <c r="B52" s="171"/>
      <c r="D52" s="171"/>
      <c r="F52" s="158">
        <v>41</v>
      </c>
      <c r="G52" s="249">
        <f t="shared" si="5"/>
        <v>44895</v>
      </c>
      <c r="H52" s="158">
        <f t="shared" si="9"/>
        <v>30</v>
      </c>
      <c r="I52" s="254">
        <f>VLOOKUP(G52,'Прогноз переменной ставки'!$B$5:$E$304,4,1)</f>
        <v>9.9000000000000005E-2</v>
      </c>
      <c r="J52" s="164">
        <f t="shared" si="6"/>
        <v>59999.999999999993</v>
      </c>
      <c r="K52" s="164">
        <f t="shared" si="7"/>
        <v>2975404.1452456089</v>
      </c>
      <c r="L52" s="164">
        <f t="shared" si="10"/>
        <v>2975404.1452456089</v>
      </c>
      <c r="M52" s="164">
        <f t="shared" si="10"/>
        <v>0</v>
      </c>
      <c r="N52" s="164">
        <f t="shared" si="8"/>
        <v>24194.251365857519</v>
      </c>
      <c r="O52" s="164">
        <f t="shared" si="0"/>
        <v>35805.748634142474</v>
      </c>
      <c r="P52" s="164">
        <f t="shared" si="1"/>
        <v>24194.251365857519</v>
      </c>
      <c r="Q52" s="164">
        <f t="shared" si="2"/>
        <v>0</v>
      </c>
      <c r="R52" s="164">
        <f t="shared" si="11"/>
        <v>0</v>
      </c>
      <c r="S52" s="164">
        <f t="shared" si="3"/>
        <v>2939598.3966114665</v>
      </c>
      <c r="T52" s="164">
        <f t="shared" si="4"/>
        <v>0</v>
      </c>
    </row>
    <row r="53" spans="2:20" x14ac:dyDescent="0.2">
      <c r="B53" s="171"/>
      <c r="D53" s="171"/>
      <c r="F53" s="158">
        <v>42</v>
      </c>
      <c r="G53" s="249">
        <f t="shared" si="5"/>
        <v>44926</v>
      </c>
      <c r="H53" s="158">
        <f t="shared" si="9"/>
        <v>31</v>
      </c>
      <c r="I53" s="254">
        <f>VLOOKUP(G53,'Прогноз переменной ставки'!$B$5:$E$304,4,1)</f>
        <v>9.9000000000000005E-2</v>
      </c>
      <c r="J53" s="164">
        <f t="shared" si="6"/>
        <v>59999.999999999993</v>
      </c>
      <c r="K53" s="164">
        <f t="shared" si="7"/>
        <v>2939598.3966114665</v>
      </c>
      <c r="L53" s="164">
        <f t="shared" si="10"/>
        <v>2939598.3966114665</v>
      </c>
      <c r="M53" s="164">
        <f t="shared" si="10"/>
        <v>0</v>
      </c>
      <c r="N53" s="164">
        <f t="shared" si="8"/>
        <v>24699.869895141932</v>
      </c>
      <c r="O53" s="164">
        <f t="shared" si="0"/>
        <v>35300.130104858064</v>
      </c>
      <c r="P53" s="164">
        <f t="shared" si="1"/>
        <v>24699.869895141932</v>
      </c>
      <c r="Q53" s="164">
        <f t="shared" si="2"/>
        <v>0</v>
      </c>
      <c r="R53" s="164">
        <f t="shared" si="11"/>
        <v>0</v>
      </c>
      <c r="S53" s="164">
        <f t="shared" si="3"/>
        <v>2904298.2665066086</v>
      </c>
      <c r="T53" s="164">
        <f t="shared" si="4"/>
        <v>0</v>
      </c>
    </row>
    <row r="54" spans="2:20" x14ac:dyDescent="0.2">
      <c r="B54" s="171"/>
      <c r="D54" s="171"/>
      <c r="F54" s="158">
        <v>43</v>
      </c>
      <c r="G54" s="249">
        <f t="shared" si="5"/>
        <v>44957</v>
      </c>
      <c r="H54" s="158">
        <f t="shared" si="9"/>
        <v>31</v>
      </c>
      <c r="I54" s="254">
        <f>VLOOKUP(G54,'Прогноз переменной ставки'!$B$5:$E$304,4,1)</f>
        <v>9.9000000000000005E-2</v>
      </c>
      <c r="J54" s="164">
        <f t="shared" si="6"/>
        <v>59999.999999999993</v>
      </c>
      <c r="K54" s="164">
        <f t="shared" si="7"/>
        <v>2904298.2665066086</v>
      </c>
      <c r="L54" s="164">
        <f t="shared" si="10"/>
        <v>2904298.2665066086</v>
      </c>
      <c r="M54" s="164">
        <f t="shared" si="10"/>
        <v>0</v>
      </c>
      <c r="N54" s="164">
        <f t="shared" si="8"/>
        <v>24403.26182042103</v>
      </c>
      <c r="O54" s="164">
        <f t="shared" si="0"/>
        <v>35596.738179578962</v>
      </c>
      <c r="P54" s="164">
        <f t="shared" si="1"/>
        <v>24403.26182042103</v>
      </c>
      <c r="Q54" s="164">
        <f t="shared" si="2"/>
        <v>0</v>
      </c>
      <c r="R54" s="164">
        <f t="shared" si="11"/>
        <v>0</v>
      </c>
      <c r="S54" s="164">
        <f t="shared" si="3"/>
        <v>2868701.5283270297</v>
      </c>
      <c r="T54" s="164">
        <f t="shared" si="4"/>
        <v>0</v>
      </c>
    </row>
    <row r="55" spans="2:20" x14ac:dyDescent="0.2">
      <c r="B55" s="171"/>
      <c r="D55" s="171"/>
      <c r="F55" s="158">
        <v>44</v>
      </c>
      <c r="G55" s="249">
        <f t="shared" si="5"/>
        <v>44985</v>
      </c>
      <c r="H55" s="158">
        <f t="shared" si="9"/>
        <v>28</v>
      </c>
      <c r="I55" s="254">
        <f>VLOOKUP(G55,'Прогноз переменной ставки'!$B$5:$E$304,4,1)</f>
        <v>9.9000000000000005E-2</v>
      </c>
      <c r="J55" s="164">
        <f t="shared" si="6"/>
        <v>59999.999999999993</v>
      </c>
      <c r="K55" s="164">
        <f t="shared" si="7"/>
        <v>2868701.5283270297</v>
      </c>
      <c r="L55" s="164">
        <f t="shared" si="10"/>
        <v>2868701.5283270297</v>
      </c>
      <c r="M55" s="164">
        <f t="shared" si="10"/>
        <v>0</v>
      </c>
      <c r="N55" s="164">
        <f t="shared" si="8"/>
        <v>21771.500716009654</v>
      </c>
      <c r="O55" s="164">
        <f t="shared" si="0"/>
        <v>38228.499283990343</v>
      </c>
      <c r="P55" s="164">
        <f t="shared" si="1"/>
        <v>21771.500716009654</v>
      </c>
      <c r="Q55" s="164">
        <f t="shared" si="2"/>
        <v>0</v>
      </c>
      <c r="R55" s="164">
        <f t="shared" si="11"/>
        <v>0</v>
      </c>
      <c r="S55" s="164">
        <f t="shared" si="3"/>
        <v>2830473.0290430393</v>
      </c>
      <c r="T55" s="164">
        <f t="shared" si="4"/>
        <v>0</v>
      </c>
    </row>
    <row r="56" spans="2:20" x14ac:dyDescent="0.2">
      <c r="B56" s="171"/>
      <c r="D56" s="171"/>
      <c r="F56" s="158">
        <v>45</v>
      </c>
      <c r="G56" s="249">
        <f t="shared" si="5"/>
        <v>45016</v>
      </c>
      <c r="H56" s="158">
        <f t="shared" si="9"/>
        <v>31</v>
      </c>
      <c r="I56" s="254">
        <f>VLOOKUP(G56,'Прогноз переменной ставки'!$B$5:$E$304,4,1)</f>
        <v>9.9000000000000005E-2</v>
      </c>
      <c r="J56" s="164">
        <f t="shared" si="6"/>
        <v>59999.999999999993</v>
      </c>
      <c r="K56" s="164">
        <f t="shared" si="7"/>
        <v>2830473.0290430393</v>
      </c>
      <c r="L56" s="164">
        <f t="shared" si="10"/>
        <v>2830473.0290430393</v>
      </c>
      <c r="M56" s="164">
        <f t="shared" si="10"/>
        <v>0</v>
      </c>
      <c r="N56" s="164">
        <f t="shared" si="8"/>
        <v>23782.947915491</v>
      </c>
      <c r="O56" s="164">
        <f t="shared" si="0"/>
        <v>36217.052084508992</v>
      </c>
      <c r="P56" s="164">
        <f t="shared" si="1"/>
        <v>23782.947915491</v>
      </c>
      <c r="Q56" s="164">
        <f t="shared" si="2"/>
        <v>0</v>
      </c>
      <c r="R56" s="164">
        <f t="shared" si="11"/>
        <v>0</v>
      </c>
      <c r="S56" s="164">
        <f t="shared" si="3"/>
        <v>2794255.9769585305</v>
      </c>
      <c r="T56" s="164">
        <f t="shared" si="4"/>
        <v>0</v>
      </c>
    </row>
    <row r="57" spans="2:20" x14ac:dyDescent="0.2">
      <c r="B57" s="171"/>
      <c r="D57" s="171"/>
      <c r="F57" s="158">
        <v>46</v>
      </c>
      <c r="G57" s="249">
        <f t="shared" si="5"/>
        <v>45046</v>
      </c>
      <c r="H57" s="158">
        <f t="shared" si="9"/>
        <v>30</v>
      </c>
      <c r="I57" s="254">
        <f>VLOOKUP(G57,'Прогноз переменной ставки'!$B$5:$E$304,4,1)</f>
        <v>9.9000000000000005E-2</v>
      </c>
      <c r="J57" s="164">
        <f t="shared" si="6"/>
        <v>59999.999999999993</v>
      </c>
      <c r="K57" s="164">
        <f t="shared" si="7"/>
        <v>2794255.9769585305</v>
      </c>
      <c r="L57" s="164">
        <f t="shared" si="10"/>
        <v>2794255.9769585305</v>
      </c>
      <c r="M57" s="164">
        <f t="shared" si="10"/>
        <v>0</v>
      </c>
      <c r="N57" s="164">
        <f t="shared" si="8"/>
        <v>22721.260100114541</v>
      </c>
      <c r="O57" s="164">
        <f t="shared" si="0"/>
        <v>37278.739899885448</v>
      </c>
      <c r="P57" s="164">
        <f t="shared" si="1"/>
        <v>22721.260100114541</v>
      </c>
      <c r="Q57" s="164">
        <f t="shared" si="2"/>
        <v>0</v>
      </c>
      <c r="R57" s="164">
        <f t="shared" si="11"/>
        <v>0</v>
      </c>
      <c r="S57" s="164">
        <f t="shared" si="3"/>
        <v>2756977.2370586451</v>
      </c>
      <c r="T57" s="164">
        <f t="shared" si="4"/>
        <v>0</v>
      </c>
    </row>
    <row r="58" spans="2:20" x14ac:dyDescent="0.2">
      <c r="B58" s="171"/>
      <c r="D58" s="171"/>
      <c r="F58" s="158">
        <v>47</v>
      </c>
      <c r="G58" s="249">
        <f t="shared" si="5"/>
        <v>45077</v>
      </c>
      <c r="H58" s="158">
        <f t="shared" si="9"/>
        <v>31</v>
      </c>
      <c r="I58" s="254">
        <f>VLOOKUP(G58,'Прогноз переменной ставки'!$B$5:$E$304,4,1)</f>
        <v>9.9000000000000005E-2</v>
      </c>
      <c r="J58" s="164">
        <f t="shared" si="6"/>
        <v>59999.999999999993</v>
      </c>
      <c r="K58" s="164">
        <f t="shared" si="7"/>
        <v>2756977.2370586451</v>
      </c>
      <c r="L58" s="164">
        <f t="shared" si="10"/>
        <v>2756977.2370586451</v>
      </c>
      <c r="M58" s="164">
        <f t="shared" si="10"/>
        <v>0</v>
      </c>
      <c r="N58" s="164">
        <f t="shared" si="8"/>
        <v>23165.402164361349</v>
      </c>
      <c r="O58" s="164">
        <f t="shared" si="0"/>
        <v>36834.597835638648</v>
      </c>
      <c r="P58" s="164">
        <f t="shared" si="1"/>
        <v>23165.402164361349</v>
      </c>
      <c r="Q58" s="164">
        <f t="shared" si="2"/>
        <v>0</v>
      </c>
      <c r="R58" s="164">
        <f t="shared" si="11"/>
        <v>0</v>
      </c>
      <c r="S58" s="164">
        <f t="shared" si="3"/>
        <v>2720142.6392230066</v>
      </c>
      <c r="T58" s="164">
        <f t="shared" si="4"/>
        <v>0</v>
      </c>
    </row>
    <row r="59" spans="2:20" x14ac:dyDescent="0.2">
      <c r="B59" s="171"/>
      <c r="D59" s="171"/>
      <c r="F59" s="158">
        <v>48</v>
      </c>
      <c r="G59" s="249">
        <f t="shared" si="5"/>
        <v>45107</v>
      </c>
      <c r="H59" s="158">
        <f t="shared" si="9"/>
        <v>30</v>
      </c>
      <c r="I59" s="254">
        <f>VLOOKUP(G59,'Прогноз переменной ставки'!$B$5:$E$304,4,1)</f>
        <v>9.9000000000000005E-2</v>
      </c>
      <c r="J59" s="164">
        <f t="shared" si="6"/>
        <v>59999.999999999993</v>
      </c>
      <c r="K59" s="164">
        <f t="shared" si="7"/>
        <v>2720142.6392230066</v>
      </c>
      <c r="L59" s="164">
        <f t="shared" si="10"/>
        <v>2720142.6392230066</v>
      </c>
      <c r="M59" s="164">
        <f t="shared" si="10"/>
        <v>0</v>
      </c>
      <c r="N59" s="164">
        <f t="shared" si="8"/>
        <v>22118.61365774765</v>
      </c>
      <c r="O59" s="164">
        <f t="shared" si="0"/>
        <v>37881.386342252343</v>
      </c>
      <c r="P59" s="164">
        <f t="shared" si="1"/>
        <v>22118.61365774765</v>
      </c>
      <c r="Q59" s="164">
        <f t="shared" si="2"/>
        <v>0</v>
      </c>
      <c r="R59" s="164">
        <f t="shared" si="11"/>
        <v>0</v>
      </c>
      <c r="S59" s="164">
        <f t="shared" si="3"/>
        <v>2682261.2528807544</v>
      </c>
      <c r="T59" s="164">
        <f t="shared" si="4"/>
        <v>0</v>
      </c>
    </row>
    <row r="60" spans="2:20" x14ac:dyDescent="0.2">
      <c r="B60" s="171"/>
      <c r="D60" s="171"/>
      <c r="F60" s="158">
        <v>49</v>
      </c>
      <c r="G60" s="249">
        <f t="shared" si="5"/>
        <v>45138</v>
      </c>
      <c r="H60" s="158">
        <f t="shared" si="9"/>
        <v>31</v>
      </c>
      <c r="I60" s="254">
        <f>VLOOKUP(G60,'Прогноз переменной ставки'!$B$5:$E$304,4,1)</f>
        <v>9.9000000000000005E-2</v>
      </c>
      <c r="J60" s="164">
        <f t="shared" si="6"/>
        <v>59999.999999999993</v>
      </c>
      <c r="K60" s="164">
        <f t="shared" si="7"/>
        <v>2682261.2528807544</v>
      </c>
      <c r="L60" s="164">
        <f t="shared" si="10"/>
        <v>2682261.2528807544</v>
      </c>
      <c r="M60" s="164">
        <f t="shared" si="10"/>
        <v>0</v>
      </c>
      <c r="N60" s="164">
        <f t="shared" si="8"/>
        <v>22537.60379217258</v>
      </c>
      <c r="O60" s="164">
        <f t="shared" si="0"/>
        <v>37462.396207827413</v>
      </c>
      <c r="P60" s="164">
        <f t="shared" si="1"/>
        <v>22537.60379217258</v>
      </c>
      <c r="Q60" s="164">
        <f t="shared" si="2"/>
        <v>0</v>
      </c>
      <c r="R60" s="164">
        <f t="shared" si="11"/>
        <v>0</v>
      </c>
      <c r="S60" s="164">
        <f t="shared" si="3"/>
        <v>2644798.8566729268</v>
      </c>
      <c r="T60" s="164">
        <f t="shared" si="4"/>
        <v>0</v>
      </c>
    </row>
    <row r="61" spans="2:20" x14ac:dyDescent="0.2">
      <c r="B61" s="171"/>
      <c r="D61" s="171"/>
      <c r="F61" s="158">
        <v>50</v>
      </c>
      <c r="G61" s="249">
        <f t="shared" si="5"/>
        <v>45169</v>
      </c>
      <c r="H61" s="158">
        <f t="shared" si="9"/>
        <v>31</v>
      </c>
      <c r="I61" s="254">
        <f>VLOOKUP(G61,'Прогноз переменной ставки'!$B$5:$E$304,4,1)</f>
        <v>9.9000000000000005E-2</v>
      </c>
      <c r="J61" s="164">
        <f t="shared" si="6"/>
        <v>59999.999999999993</v>
      </c>
      <c r="K61" s="164">
        <f t="shared" si="7"/>
        <v>2644798.8566729268</v>
      </c>
      <c r="L61" s="164">
        <f t="shared" si="10"/>
        <v>2644798.8566729268</v>
      </c>
      <c r="M61" s="164">
        <f t="shared" si="10"/>
        <v>0</v>
      </c>
      <c r="N61" s="164">
        <f t="shared" si="8"/>
        <v>22222.827354220983</v>
      </c>
      <c r="O61" s="164">
        <f t="shared" si="0"/>
        <v>37777.172645779006</v>
      </c>
      <c r="P61" s="164">
        <f t="shared" si="1"/>
        <v>22222.827354220983</v>
      </c>
      <c r="Q61" s="164">
        <f t="shared" si="2"/>
        <v>0</v>
      </c>
      <c r="R61" s="164">
        <f t="shared" si="11"/>
        <v>0</v>
      </c>
      <c r="S61" s="164">
        <f t="shared" si="3"/>
        <v>2607021.6840271479</v>
      </c>
      <c r="T61" s="164">
        <f t="shared" si="4"/>
        <v>0</v>
      </c>
    </row>
    <row r="62" spans="2:20" x14ac:dyDescent="0.2">
      <c r="B62" s="171"/>
      <c r="D62" s="171"/>
      <c r="F62" s="158">
        <v>51</v>
      </c>
      <c r="G62" s="249">
        <f t="shared" si="5"/>
        <v>45199</v>
      </c>
      <c r="H62" s="158">
        <f t="shared" si="9"/>
        <v>30</v>
      </c>
      <c r="I62" s="254">
        <f>VLOOKUP(G62,'Прогноз переменной ставки'!$B$5:$E$304,4,1)</f>
        <v>9.9000000000000005E-2</v>
      </c>
      <c r="J62" s="164">
        <f t="shared" si="6"/>
        <v>59999.999999999993</v>
      </c>
      <c r="K62" s="164">
        <f t="shared" si="7"/>
        <v>2607021.6840271479</v>
      </c>
      <c r="L62" s="164">
        <f t="shared" si="10"/>
        <v>2607021.6840271479</v>
      </c>
      <c r="M62" s="164">
        <f t="shared" si="10"/>
        <v>0</v>
      </c>
      <c r="N62" s="164">
        <f t="shared" si="8"/>
        <v>21198.780017962024</v>
      </c>
      <c r="O62" s="164">
        <f t="shared" si="0"/>
        <v>38801.219982037968</v>
      </c>
      <c r="P62" s="164">
        <f t="shared" si="1"/>
        <v>21198.780017962024</v>
      </c>
      <c r="Q62" s="164">
        <f t="shared" si="2"/>
        <v>0</v>
      </c>
      <c r="R62" s="164">
        <f t="shared" si="11"/>
        <v>0</v>
      </c>
      <c r="S62" s="164">
        <f t="shared" si="3"/>
        <v>2568220.4640451102</v>
      </c>
      <c r="T62" s="164">
        <f t="shared" si="4"/>
        <v>0</v>
      </c>
    </row>
    <row r="63" spans="2:20" x14ac:dyDescent="0.2">
      <c r="B63" s="171"/>
      <c r="D63" s="171"/>
      <c r="F63" s="158">
        <v>52</v>
      </c>
      <c r="G63" s="249">
        <f t="shared" si="5"/>
        <v>45230</v>
      </c>
      <c r="H63" s="158">
        <f t="shared" si="9"/>
        <v>31</v>
      </c>
      <c r="I63" s="254">
        <f>VLOOKUP(G63,'Прогноз переменной ставки'!$B$5:$E$304,4,1)</f>
        <v>9.9000000000000005E-2</v>
      </c>
      <c r="J63" s="164">
        <f t="shared" si="6"/>
        <v>59999.999999999993</v>
      </c>
      <c r="K63" s="164">
        <f t="shared" si="7"/>
        <v>2568220.4640451102</v>
      </c>
      <c r="L63" s="164">
        <f t="shared" si="10"/>
        <v>2568220.4640451102</v>
      </c>
      <c r="M63" s="164">
        <f t="shared" si="10"/>
        <v>0</v>
      </c>
      <c r="N63" s="164">
        <f t="shared" si="8"/>
        <v>21579.38016195604</v>
      </c>
      <c r="O63" s="164">
        <f t="shared" si="0"/>
        <v>38420.619838043953</v>
      </c>
      <c r="P63" s="164">
        <f t="shared" si="1"/>
        <v>21579.38016195604</v>
      </c>
      <c r="Q63" s="164">
        <f t="shared" si="2"/>
        <v>0</v>
      </c>
      <c r="R63" s="164">
        <f t="shared" si="11"/>
        <v>0</v>
      </c>
      <c r="S63" s="164">
        <f t="shared" si="3"/>
        <v>2529799.8442070661</v>
      </c>
      <c r="T63" s="164">
        <f t="shared" si="4"/>
        <v>0</v>
      </c>
    </row>
    <row r="64" spans="2:20" x14ac:dyDescent="0.2">
      <c r="B64" s="171"/>
      <c r="D64" s="171"/>
      <c r="F64" s="158">
        <v>53</v>
      </c>
      <c r="G64" s="249">
        <f t="shared" si="5"/>
        <v>45260</v>
      </c>
      <c r="H64" s="158">
        <f t="shared" si="9"/>
        <v>30</v>
      </c>
      <c r="I64" s="254">
        <f>VLOOKUP(G64,'Прогноз переменной ставки'!$B$5:$E$304,4,1)</f>
        <v>9.9000000000000005E-2</v>
      </c>
      <c r="J64" s="164">
        <f t="shared" si="6"/>
        <v>59999.999999999993</v>
      </c>
      <c r="K64" s="164">
        <f t="shared" si="7"/>
        <v>2529799.8442070661</v>
      </c>
      <c r="L64" s="164">
        <f t="shared" si="10"/>
        <v>2529799.8442070661</v>
      </c>
      <c r="M64" s="164">
        <f t="shared" si="10"/>
        <v>0</v>
      </c>
      <c r="N64" s="164">
        <f t="shared" si="8"/>
        <v>20570.857049404483</v>
      </c>
      <c r="O64" s="164">
        <f t="shared" si="0"/>
        <v>39429.142950595509</v>
      </c>
      <c r="P64" s="164">
        <f t="shared" si="1"/>
        <v>20570.857049404483</v>
      </c>
      <c r="Q64" s="164">
        <f t="shared" si="2"/>
        <v>0</v>
      </c>
      <c r="R64" s="164">
        <f t="shared" si="11"/>
        <v>0</v>
      </c>
      <c r="S64" s="164">
        <f t="shared" si="3"/>
        <v>2490370.7012564708</v>
      </c>
      <c r="T64" s="164">
        <f t="shared" si="4"/>
        <v>0</v>
      </c>
    </row>
    <row r="65" spans="2:20" x14ac:dyDescent="0.2">
      <c r="B65" s="171"/>
      <c r="D65" s="171"/>
      <c r="F65" s="158">
        <v>54</v>
      </c>
      <c r="G65" s="249">
        <f t="shared" si="5"/>
        <v>45291</v>
      </c>
      <c r="H65" s="158">
        <f t="shared" si="9"/>
        <v>31</v>
      </c>
      <c r="I65" s="254">
        <f>VLOOKUP(G65,'Прогноз переменной ставки'!$B$5:$E$304,4,1)</f>
        <v>9.9000000000000005E-2</v>
      </c>
      <c r="J65" s="164">
        <f t="shared" si="6"/>
        <v>59999.999999999993</v>
      </c>
      <c r="K65" s="164">
        <f t="shared" si="7"/>
        <v>2490370.7012564708</v>
      </c>
      <c r="L65" s="164">
        <f t="shared" si="10"/>
        <v>2490370.7012564708</v>
      </c>
      <c r="M65" s="164">
        <f t="shared" si="10"/>
        <v>0</v>
      </c>
      <c r="N65" s="164">
        <f t="shared" si="8"/>
        <v>20925.250327600574</v>
      </c>
      <c r="O65" s="164">
        <f t="shared" si="0"/>
        <v>39074.749672399419</v>
      </c>
      <c r="P65" s="164">
        <f t="shared" si="1"/>
        <v>20925.250327600574</v>
      </c>
      <c r="Q65" s="164">
        <f t="shared" si="2"/>
        <v>0</v>
      </c>
      <c r="R65" s="164">
        <f t="shared" si="11"/>
        <v>0</v>
      </c>
      <c r="S65" s="164">
        <f t="shared" si="3"/>
        <v>2451295.9515840714</v>
      </c>
      <c r="T65" s="164">
        <f t="shared" si="4"/>
        <v>0</v>
      </c>
    </row>
    <row r="66" spans="2:20" x14ac:dyDescent="0.2">
      <c r="B66" s="171"/>
      <c r="D66" s="171"/>
      <c r="F66" s="158">
        <v>55</v>
      </c>
      <c r="G66" s="249">
        <f t="shared" si="5"/>
        <v>45322</v>
      </c>
      <c r="H66" s="158">
        <f t="shared" si="9"/>
        <v>31</v>
      </c>
      <c r="I66" s="254">
        <f>VLOOKUP(G66,'Прогноз переменной ставки'!$B$5:$E$304,4,1)</f>
        <v>9.9000000000000005E-2</v>
      </c>
      <c r="J66" s="164">
        <f t="shared" si="6"/>
        <v>59999.999999999993</v>
      </c>
      <c r="K66" s="164">
        <f t="shared" si="7"/>
        <v>2451295.9515840714</v>
      </c>
      <c r="L66" s="164">
        <f t="shared" si="10"/>
        <v>2451295.9515840714</v>
      </c>
      <c r="M66" s="164">
        <f t="shared" si="10"/>
        <v>0</v>
      </c>
      <c r="N66" s="164">
        <f t="shared" si="8"/>
        <v>20596.926147601684</v>
      </c>
      <c r="O66" s="164">
        <f t="shared" si="0"/>
        <v>39403.073852398309</v>
      </c>
      <c r="P66" s="164">
        <f t="shared" si="1"/>
        <v>20596.926147601684</v>
      </c>
      <c r="Q66" s="164">
        <f t="shared" si="2"/>
        <v>0</v>
      </c>
      <c r="R66" s="164">
        <f t="shared" si="11"/>
        <v>0</v>
      </c>
      <c r="S66" s="164">
        <f t="shared" si="3"/>
        <v>2411892.877731673</v>
      </c>
      <c r="T66" s="164">
        <f t="shared" si="4"/>
        <v>0</v>
      </c>
    </row>
    <row r="67" spans="2:20" x14ac:dyDescent="0.2">
      <c r="B67" s="171"/>
      <c r="D67" s="171"/>
      <c r="F67" s="158">
        <v>56</v>
      </c>
      <c r="G67" s="249">
        <f t="shared" si="5"/>
        <v>45351</v>
      </c>
      <c r="H67" s="158">
        <f t="shared" si="9"/>
        <v>29</v>
      </c>
      <c r="I67" s="254">
        <f>VLOOKUP(G67,'Прогноз переменной ставки'!$B$5:$E$304,4,1)</f>
        <v>9.9000000000000005E-2</v>
      </c>
      <c r="J67" s="164">
        <f t="shared" si="6"/>
        <v>59999.999999999993</v>
      </c>
      <c r="K67" s="164">
        <f t="shared" si="7"/>
        <v>2411892.877731673</v>
      </c>
      <c r="L67" s="164">
        <f t="shared" si="10"/>
        <v>2411892.877731673</v>
      </c>
      <c r="M67" s="164">
        <f t="shared" si="10"/>
        <v>0</v>
      </c>
      <c r="N67" s="164">
        <f t="shared" si="8"/>
        <v>18958.369478350811</v>
      </c>
      <c r="O67" s="164">
        <f t="shared" si="0"/>
        <v>41041.630521649182</v>
      </c>
      <c r="P67" s="164">
        <f t="shared" si="1"/>
        <v>18958.369478350811</v>
      </c>
      <c r="Q67" s="164">
        <f t="shared" si="2"/>
        <v>0</v>
      </c>
      <c r="R67" s="164">
        <f t="shared" si="11"/>
        <v>0</v>
      </c>
      <c r="S67" s="164">
        <f t="shared" si="3"/>
        <v>2370851.2472100239</v>
      </c>
      <c r="T67" s="164">
        <f t="shared" si="4"/>
        <v>0</v>
      </c>
    </row>
    <row r="68" spans="2:20" x14ac:dyDescent="0.2">
      <c r="B68" s="171"/>
      <c r="D68" s="171"/>
      <c r="F68" s="158">
        <v>57</v>
      </c>
      <c r="G68" s="249">
        <f t="shared" si="5"/>
        <v>45382</v>
      </c>
      <c r="H68" s="158">
        <f t="shared" si="9"/>
        <v>31</v>
      </c>
      <c r="I68" s="254">
        <f>VLOOKUP(G68,'Прогноз переменной ставки'!$B$5:$E$304,4,1)</f>
        <v>9.9000000000000005E-2</v>
      </c>
      <c r="J68" s="164">
        <f t="shared" si="6"/>
        <v>59999.999999999993</v>
      </c>
      <c r="K68" s="164">
        <f t="shared" si="7"/>
        <v>2370851.2472100239</v>
      </c>
      <c r="L68" s="164">
        <f t="shared" si="10"/>
        <v>2370851.2472100239</v>
      </c>
      <c r="M68" s="164">
        <f t="shared" si="10"/>
        <v>0</v>
      </c>
      <c r="N68" s="164">
        <f t="shared" si="8"/>
        <v>19920.992409822218</v>
      </c>
      <c r="O68" s="164">
        <f t="shared" si="0"/>
        <v>40079.007590177775</v>
      </c>
      <c r="P68" s="164">
        <f t="shared" si="1"/>
        <v>19920.992409822218</v>
      </c>
      <c r="Q68" s="164">
        <f t="shared" si="2"/>
        <v>0</v>
      </c>
      <c r="R68" s="164">
        <f t="shared" si="11"/>
        <v>0</v>
      </c>
      <c r="S68" s="164">
        <f t="shared" si="3"/>
        <v>2330772.239619846</v>
      </c>
      <c r="T68" s="164">
        <f t="shared" si="4"/>
        <v>0</v>
      </c>
    </row>
    <row r="69" spans="2:20" x14ac:dyDescent="0.2">
      <c r="B69" s="171"/>
      <c r="D69" s="171"/>
      <c r="F69" s="158">
        <v>58</v>
      </c>
      <c r="G69" s="249">
        <f t="shared" si="5"/>
        <v>45412</v>
      </c>
      <c r="H69" s="158">
        <f t="shared" si="9"/>
        <v>30</v>
      </c>
      <c r="I69" s="254">
        <f>VLOOKUP(G69,'Прогноз переменной ставки'!$B$5:$E$304,4,1)</f>
        <v>9.9000000000000005E-2</v>
      </c>
      <c r="J69" s="164">
        <f t="shared" si="6"/>
        <v>59999.999999999993</v>
      </c>
      <c r="K69" s="164">
        <f t="shared" si="7"/>
        <v>2330772.239619846</v>
      </c>
      <c r="L69" s="164">
        <f t="shared" si="10"/>
        <v>2330772.239619846</v>
      </c>
      <c r="M69" s="164">
        <f t="shared" si="10"/>
        <v>0</v>
      </c>
      <c r="N69" s="164">
        <f t="shared" si="8"/>
        <v>18952.480634280473</v>
      </c>
      <c r="O69" s="164">
        <f t="shared" si="0"/>
        <v>41047.51936571952</v>
      </c>
      <c r="P69" s="164">
        <f t="shared" si="1"/>
        <v>18952.480634280473</v>
      </c>
      <c r="Q69" s="164">
        <f t="shared" si="2"/>
        <v>0</v>
      </c>
      <c r="R69" s="164">
        <f t="shared" si="11"/>
        <v>0</v>
      </c>
      <c r="S69" s="164">
        <f t="shared" si="3"/>
        <v>2289724.7202541265</v>
      </c>
      <c r="T69" s="164">
        <f t="shared" si="4"/>
        <v>0</v>
      </c>
    </row>
    <row r="70" spans="2:20" x14ac:dyDescent="0.2">
      <c r="B70" s="171"/>
      <c r="D70" s="171"/>
      <c r="F70" s="158">
        <v>59</v>
      </c>
      <c r="G70" s="249">
        <f t="shared" si="5"/>
        <v>45443</v>
      </c>
      <c r="H70" s="158">
        <f t="shared" si="9"/>
        <v>31</v>
      </c>
      <c r="I70" s="254">
        <f>VLOOKUP(G70,'Прогноз переменной ставки'!$B$5:$E$304,4,1)</f>
        <v>9.9000000000000005E-2</v>
      </c>
      <c r="J70" s="164">
        <f t="shared" si="6"/>
        <v>59999.999999999993</v>
      </c>
      <c r="K70" s="164">
        <f t="shared" si="7"/>
        <v>2289724.7202541265</v>
      </c>
      <c r="L70" s="164">
        <f t="shared" si="10"/>
        <v>2289724.7202541265</v>
      </c>
      <c r="M70" s="164">
        <f t="shared" si="10"/>
        <v>0</v>
      </c>
      <c r="N70" s="164">
        <f t="shared" si="8"/>
        <v>19239.329682299562</v>
      </c>
      <c r="O70" s="164">
        <f t="shared" si="0"/>
        <v>40760.670317700431</v>
      </c>
      <c r="P70" s="164">
        <f t="shared" si="1"/>
        <v>19239.329682299562</v>
      </c>
      <c r="Q70" s="164">
        <f t="shared" si="2"/>
        <v>0</v>
      </c>
      <c r="R70" s="164">
        <f t="shared" si="11"/>
        <v>0</v>
      </c>
      <c r="S70" s="164">
        <f t="shared" si="3"/>
        <v>2248964.0499364259</v>
      </c>
      <c r="T70" s="164">
        <f t="shared" si="4"/>
        <v>0</v>
      </c>
    </row>
    <row r="71" spans="2:20" x14ac:dyDescent="0.2">
      <c r="B71" s="171"/>
      <c r="D71" s="171"/>
      <c r="F71" s="158">
        <v>60</v>
      </c>
      <c r="G71" s="249">
        <f t="shared" si="5"/>
        <v>45473</v>
      </c>
      <c r="H71" s="158">
        <f t="shared" si="9"/>
        <v>30</v>
      </c>
      <c r="I71" s="254">
        <f>VLOOKUP(G71,'Прогноз переменной ставки'!$B$5:$E$304,4,1)</f>
        <v>9.9000000000000005E-2</v>
      </c>
      <c r="J71" s="164">
        <f t="shared" si="6"/>
        <v>59999.999999999993</v>
      </c>
      <c r="K71" s="164">
        <f t="shared" si="7"/>
        <v>2248964.0499364259</v>
      </c>
      <c r="L71" s="164">
        <f t="shared" si="10"/>
        <v>2248964.0499364259</v>
      </c>
      <c r="M71" s="164">
        <f t="shared" si="10"/>
        <v>0</v>
      </c>
      <c r="N71" s="164">
        <f t="shared" si="8"/>
        <v>18287.264143220218</v>
      </c>
      <c r="O71" s="164">
        <f t="shared" si="0"/>
        <v>41712.735856779778</v>
      </c>
      <c r="P71" s="164">
        <f t="shared" si="1"/>
        <v>18287.264143220218</v>
      </c>
      <c r="Q71" s="164">
        <f t="shared" si="2"/>
        <v>0</v>
      </c>
      <c r="R71" s="164">
        <f t="shared" si="11"/>
        <v>0</v>
      </c>
      <c r="S71" s="164">
        <f t="shared" si="3"/>
        <v>2207251.314079646</v>
      </c>
      <c r="T71" s="164">
        <f t="shared" si="4"/>
        <v>0</v>
      </c>
    </row>
    <row r="72" spans="2:20" x14ac:dyDescent="0.2">
      <c r="B72" s="171"/>
      <c r="D72" s="171"/>
      <c r="F72" s="158">
        <v>61</v>
      </c>
      <c r="G72" s="249">
        <f t="shared" si="5"/>
        <v>45504</v>
      </c>
      <c r="H72" s="158">
        <f t="shared" si="9"/>
        <v>31</v>
      </c>
      <c r="I72" s="254">
        <f>VLOOKUP(G72,'Прогноз переменной ставки'!$B$5:$E$304,4,1)</f>
        <v>9.9000000000000005E-2</v>
      </c>
      <c r="J72" s="164">
        <f t="shared" si="6"/>
        <v>59999.999999999993</v>
      </c>
      <c r="K72" s="164">
        <f t="shared" si="7"/>
        <v>2207251.314079646</v>
      </c>
      <c r="L72" s="164">
        <f t="shared" si="10"/>
        <v>2207251.314079646</v>
      </c>
      <c r="M72" s="164">
        <f t="shared" si="10"/>
        <v>0</v>
      </c>
      <c r="N72" s="164">
        <f t="shared" si="8"/>
        <v>18546.349850541912</v>
      </c>
      <c r="O72" s="164">
        <f t="shared" si="0"/>
        <v>41453.650149458081</v>
      </c>
      <c r="P72" s="164">
        <f t="shared" si="1"/>
        <v>18546.349850541912</v>
      </c>
      <c r="Q72" s="164">
        <f t="shared" si="2"/>
        <v>0</v>
      </c>
      <c r="R72" s="164">
        <f t="shared" si="11"/>
        <v>0</v>
      </c>
      <c r="S72" s="164">
        <f t="shared" si="3"/>
        <v>2165797.6639301879</v>
      </c>
      <c r="T72" s="164">
        <f t="shared" si="4"/>
        <v>0</v>
      </c>
    </row>
    <row r="73" spans="2:20" x14ac:dyDescent="0.2">
      <c r="B73" s="171"/>
      <c r="D73" s="171"/>
      <c r="F73" s="158">
        <v>62</v>
      </c>
      <c r="G73" s="249">
        <f t="shared" si="5"/>
        <v>45535</v>
      </c>
      <c r="H73" s="158">
        <f t="shared" si="9"/>
        <v>31</v>
      </c>
      <c r="I73" s="254">
        <f>VLOOKUP(G73,'Прогноз переменной ставки'!$B$5:$E$304,4,1)</f>
        <v>9.9000000000000005E-2</v>
      </c>
      <c r="J73" s="164">
        <f t="shared" si="6"/>
        <v>59999.999999999993</v>
      </c>
      <c r="K73" s="164">
        <f t="shared" si="7"/>
        <v>2165797.6639301879</v>
      </c>
      <c r="L73" s="164">
        <f t="shared" si="10"/>
        <v>2165797.6639301879</v>
      </c>
      <c r="M73" s="164">
        <f t="shared" si="10"/>
        <v>0</v>
      </c>
      <c r="N73" s="164">
        <f t="shared" si="8"/>
        <v>18198.03704476864</v>
      </c>
      <c r="O73" s="164">
        <f t="shared" si="0"/>
        <v>41801.962955231356</v>
      </c>
      <c r="P73" s="164">
        <f t="shared" si="1"/>
        <v>18198.03704476864</v>
      </c>
      <c r="Q73" s="164">
        <f t="shared" si="2"/>
        <v>0</v>
      </c>
      <c r="R73" s="164">
        <f t="shared" si="11"/>
        <v>0</v>
      </c>
      <c r="S73" s="164">
        <f t="shared" si="3"/>
        <v>2123995.7009749566</v>
      </c>
      <c r="T73" s="164">
        <f t="shared" si="4"/>
        <v>0</v>
      </c>
    </row>
    <row r="74" spans="2:20" x14ac:dyDescent="0.2">
      <c r="B74" s="171"/>
      <c r="D74" s="171"/>
      <c r="F74" s="158">
        <v>63</v>
      </c>
      <c r="G74" s="249">
        <f t="shared" si="5"/>
        <v>45565</v>
      </c>
      <c r="H74" s="158">
        <f t="shared" si="9"/>
        <v>30</v>
      </c>
      <c r="I74" s="254">
        <f>VLOOKUP(G74,'Прогноз переменной ставки'!$B$5:$E$304,4,1)</f>
        <v>9.9000000000000005E-2</v>
      </c>
      <c r="J74" s="164">
        <f t="shared" si="6"/>
        <v>59999.999999999993</v>
      </c>
      <c r="K74" s="164">
        <f t="shared" si="7"/>
        <v>2123995.7009749566</v>
      </c>
      <c r="L74" s="164">
        <f t="shared" si="10"/>
        <v>2123995.7009749566</v>
      </c>
      <c r="M74" s="164">
        <f t="shared" si="10"/>
        <v>0</v>
      </c>
      <c r="N74" s="164">
        <f t="shared" si="8"/>
        <v>17271.094406285069</v>
      </c>
      <c r="O74" s="164">
        <f t="shared" si="0"/>
        <v>42728.905593714924</v>
      </c>
      <c r="P74" s="164">
        <f t="shared" si="1"/>
        <v>17271.094406285069</v>
      </c>
      <c r="Q74" s="164">
        <f t="shared" si="2"/>
        <v>0</v>
      </c>
      <c r="R74" s="164">
        <f t="shared" si="11"/>
        <v>0</v>
      </c>
      <c r="S74" s="164">
        <f t="shared" si="3"/>
        <v>2081266.7953812417</v>
      </c>
      <c r="T74" s="164">
        <f t="shared" si="4"/>
        <v>0</v>
      </c>
    </row>
    <row r="75" spans="2:20" x14ac:dyDescent="0.2">
      <c r="B75" s="171"/>
      <c r="D75" s="171"/>
      <c r="F75" s="158">
        <v>64</v>
      </c>
      <c r="G75" s="249">
        <f t="shared" si="5"/>
        <v>45596</v>
      </c>
      <c r="H75" s="158">
        <f t="shared" si="9"/>
        <v>31</v>
      </c>
      <c r="I75" s="254">
        <f>VLOOKUP(G75,'Прогноз переменной ставки'!$B$5:$E$304,4,1)</f>
        <v>9.9000000000000005E-2</v>
      </c>
      <c r="J75" s="164">
        <f t="shared" si="6"/>
        <v>59999.999999999993</v>
      </c>
      <c r="K75" s="164">
        <f t="shared" si="7"/>
        <v>2081266.7953812417</v>
      </c>
      <c r="L75" s="164">
        <f t="shared" si="10"/>
        <v>2081266.7953812417</v>
      </c>
      <c r="M75" s="164">
        <f t="shared" si="10"/>
        <v>0</v>
      </c>
      <c r="N75" s="164">
        <f t="shared" si="8"/>
        <v>17487.769459343002</v>
      </c>
      <c r="O75" s="164">
        <f t="shared" si="0"/>
        <v>42512.230540656994</v>
      </c>
      <c r="P75" s="164">
        <f t="shared" si="1"/>
        <v>17487.769459343002</v>
      </c>
      <c r="Q75" s="164">
        <f t="shared" si="2"/>
        <v>0</v>
      </c>
      <c r="R75" s="164">
        <f t="shared" si="11"/>
        <v>0</v>
      </c>
      <c r="S75" s="164">
        <f t="shared" si="3"/>
        <v>2038754.5648405848</v>
      </c>
      <c r="T75" s="164">
        <f t="shared" si="4"/>
        <v>0</v>
      </c>
    </row>
    <row r="76" spans="2:20" x14ac:dyDescent="0.2">
      <c r="B76" s="171"/>
      <c r="D76" s="171"/>
      <c r="F76" s="158">
        <v>65</v>
      </c>
      <c r="G76" s="249">
        <f t="shared" si="5"/>
        <v>45626</v>
      </c>
      <c r="H76" s="158">
        <f t="shared" si="9"/>
        <v>30</v>
      </c>
      <c r="I76" s="254">
        <f>VLOOKUP(G76,'Прогноз переменной ставки'!$B$5:$E$304,4,1)</f>
        <v>9.9000000000000005E-2</v>
      </c>
      <c r="J76" s="164">
        <f t="shared" si="6"/>
        <v>59999.999999999993</v>
      </c>
      <c r="K76" s="164">
        <f t="shared" si="7"/>
        <v>2038754.5648405848</v>
      </c>
      <c r="L76" s="164">
        <f t="shared" si="10"/>
        <v>2038754.5648405848</v>
      </c>
      <c r="M76" s="164">
        <f t="shared" si="10"/>
        <v>0</v>
      </c>
      <c r="N76" s="164">
        <f t="shared" si="8"/>
        <v>16577.96319665034</v>
      </c>
      <c r="O76" s="164">
        <f t="shared" ref="O76:O139" si="12">MIN(J76-Q76-P76,L76)</f>
        <v>43422.036803349649</v>
      </c>
      <c r="P76" s="164">
        <f t="shared" ref="P76:P139" si="13">MIN(J76-Q76,N76)</f>
        <v>16577.96319665034</v>
      </c>
      <c r="Q76" s="164">
        <f t="shared" ref="Q76:Q139" si="14">MIN(J76,M76)</f>
        <v>0</v>
      </c>
      <c r="R76" s="164">
        <f t="shared" si="11"/>
        <v>0</v>
      </c>
      <c r="S76" s="164">
        <f t="shared" ref="S76:S139" si="15">L76-O76</f>
        <v>1995332.5280372351</v>
      </c>
      <c r="T76" s="164">
        <f t="shared" ref="T76:T139" si="16">M76+R76-Q76</f>
        <v>0</v>
      </c>
    </row>
    <row r="77" spans="2:20" x14ac:dyDescent="0.2">
      <c r="B77" s="171"/>
      <c r="D77" s="171"/>
      <c r="F77" s="158">
        <v>66</v>
      </c>
      <c r="G77" s="249">
        <f t="shared" ref="G77:G140" si="17">EOMONTH($D$9,F77-1)</f>
        <v>45657</v>
      </c>
      <c r="H77" s="158">
        <f t="shared" si="9"/>
        <v>31</v>
      </c>
      <c r="I77" s="254">
        <f>VLOOKUP(G77,'Прогноз переменной ставки'!$B$5:$E$304,4,1)</f>
        <v>9.9000000000000005E-2</v>
      </c>
      <c r="J77" s="164">
        <f t="shared" ref="J77:J140" si="18">IF(F77=$D$4,K77+N77,MIN($D$5,K77+N77))</f>
        <v>59999.999999999993</v>
      </c>
      <c r="K77" s="164">
        <f t="shared" ref="K77:K140" si="19">L77+M77</f>
        <v>1995332.5280372351</v>
      </c>
      <c r="L77" s="164">
        <f t="shared" si="10"/>
        <v>1995332.5280372351</v>
      </c>
      <c r="M77" s="164">
        <f t="shared" si="10"/>
        <v>0</v>
      </c>
      <c r="N77" s="164">
        <f t="shared" ref="N77:N140" si="20">L77*I77/365.25*H77</f>
        <v>16765.709865972007</v>
      </c>
      <c r="O77" s="164">
        <f t="shared" si="12"/>
        <v>43234.290134027986</v>
      </c>
      <c r="P77" s="164">
        <f t="shared" si="13"/>
        <v>16765.709865972007</v>
      </c>
      <c r="Q77" s="164">
        <f t="shared" si="14"/>
        <v>0</v>
      </c>
      <c r="R77" s="164">
        <f t="shared" si="11"/>
        <v>0</v>
      </c>
      <c r="S77" s="164">
        <f t="shared" si="15"/>
        <v>1952098.2379032071</v>
      </c>
      <c r="T77" s="164">
        <f t="shared" si="16"/>
        <v>0</v>
      </c>
    </row>
    <row r="78" spans="2:20" x14ac:dyDescent="0.2">
      <c r="B78" s="171"/>
      <c r="D78" s="171"/>
      <c r="F78" s="158">
        <v>67</v>
      </c>
      <c r="G78" s="249">
        <f t="shared" si="17"/>
        <v>45688</v>
      </c>
      <c r="H78" s="158">
        <f t="shared" ref="H78:H141" si="21">G78-G77</f>
        <v>31</v>
      </c>
      <c r="I78" s="254">
        <f>VLOOKUP(G78,'Прогноз переменной ставки'!$B$5:$E$304,4,1)</f>
        <v>9.9000000000000005E-2</v>
      </c>
      <c r="J78" s="164">
        <f t="shared" si="18"/>
        <v>59999.999999999993</v>
      </c>
      <c r="K78" s="164">
        <f t="shared" si="19"/>
        <v>1952098.2379032071</v>
      </c>
      <c r="L78" s="164">
        <f t="shared" ref="L78:M141" si="22">S77</f>
        <v>1952098.2379032071</v>
      </c>
      <c r="M78" s="164">
        <f t="shared" si="22"/>
        <v>0</v>
      </c>
      <c r="N78" s="164">
        <f t="shared" si="20"/>
        <v>16402.435296714422</v>
      </c>
      <c r="O78" s="164">
        <f t="shared" si="12"/>
        <v>43597.56470328557</v>
      </c>
      <c r="P78" s="164">
        <f t="shared" si="13"/>
        <v>16402.435296714422</v>
      </c>
      <c r="Q78" s="164">
        <f t="shared" si="14"/>
        <v>0</v>
      </c>
      <c r="R78" s="164">
        <f t="shared" ref="R78:R141" si="23">MAX(N78-P78,0)</f>
        <v>0</v>
      </c>
      <c r="S78" s="164">
        <f t="shared" si="15"/>
        <v>1908500.6731999216</v>
      </c>
      <c r="T78" s="164">
        <f t="shared" si="16"/>
        <v>0</v>
      </c>
    </row>
    <row r="79" spans="2:20" x14ac:dyDescent="0.2">
      <c r="B79" s="171"/>
      <c r="D79" s="171"/>
      <c r="F79" s="158">
        <v>68</v>
      </c>
      <c r="G79" s="249">
        <f t="shared" si="17"/>
        <v>45716</v>
      </c>
      <c r="H79" s="158">
        <f t="shared" si="21"/>
        <v>28</v>
      </c>
      <c r="I79" s="254">
        <f>VLOOKUP(G79,'Прогноз переменной ставки'!$B$5:$E$304,4,1)</f>
        <v>9.9000000000000005E-2</v>
      </c>
      <c r="J79" s="164">
        <f t="shared" si="18"/>
        <v>59999.999999999993</v>
      </c>
      <c r="K79" s="164">
        <f t="shared" si="19"/>
        <v>1908500.6731999216</v>
      </c>
      <c r="L79" s="164">
        <f t="shared" si="22"/>
        <v>1908500.6731999216</v>
      </c>
      <c r="M79" s="164">
        <f t="shared" si="22"/>
        <v>0</v>
      </c>
      <c r="N79" s="164">
        <f t="shared" si="20"/>
        <v>14484.226875044991</v>
      </c>
      <c r="O79" s="164">
        <f t="shared" si="12"/>
        <v>45515.773124954998</v>
      </c>
      <c r="P79" s="164">
        <f t="shared" si="13"/>
        <v>14484.226875044991</v>
      </c>
      <c r="Q79" s="164">
        <f t="shared" si="14"/>
        <v>0</v>
      </c>
      <c r="R79" s="164">
        <f t="shared" si="23"/>
        <v>0</v>
      </c>
      <c r="S79" s="164">
        <f t="shared" si="15"/>
        <v>1862984.9000749667</v>
      </c>
      <c r="T79" s="164">
        <f t="shared" si="16"/>
        <v>0</v>
      </c>
    </row>
    <row r="80" spans="2:20" x14ac:dyDescent="0.2">
      <c r="B80" s="171"/>
      <c r="D80" s="171"/>
      <c r="F80" s="158">
        <v>69</v>
      </c>
      <c r="G80" s="249">
        <f t="shared" si="17"/>
        <v>45747</v>
      </c>
      <c r="H80" s="158">
        <f t="shared" si="21"/>
        <v>31</v>
      </c>
      <c r="I80" s="254">
        <f>VLOOKUP(G80,'Прогноз переменной ставки'!$B$5:$E$304,4,1)</f>
        <v>9.9000000000000005E-2</v>
      </c>
      <c r="J80" s="164">
        <f t="shared" si="18"/>
        <v>59999.999999999993</v>
      </c>
      <c r="K80" s="164">
        <f t="shared" si="19"/>
        <v>1862984.9000749667</v>
      </c>
      <c r="L80" s="164">
        <f t="shared" si="22"/>
        <v>1862984.9000749667</v>
      </c>
      <c r="M80" s="164">
        <f t="shared" si="22"/>
        <v>0</v>
      </c>
      <c r="N80" s="164">
        <f t="shared" si="20"/>
        <v>15653.663677837299</v>
      </c>
      <c r="O80" s="164">
        <f t="shared" si="12"/>
        <v>44346.336322162693</v>
      </c>
      <c r="P80" s="164">
        <f t="shared" si="13"/>
        <v>15653.663677837299</v>
      </c>
      <c r="Q80" s="164">
        <f t="shared" si="14"/>
        <v>0</v>
      </c>
      <c r="R80" s="164">
        <f t="shared" si="23"/>
        <v>0</v>
      </c>
      <c r="S80" s="164">
        <f t="shared" si="15"/>
        <v>1818638.563752804</v>
      </c>
      <c r="T80" s="164">
        <f t="shared" si="16"/>
        <v>0</v>
      </c>
    </row>
    <row r="81" spans="2:20" x14ac:dyDescent="0.2">
      <c r="B81" s="171"/>
      <c r="D81" s="171"/>
      <c r="F81" s="158">
        <v>70</v>
      </c>
      <c r="G81" s="249">
        <f t="shared" si="17"/>
        <v>45777</v>
      </c>
      <c r="H81" s="158">
        <f t="shared" si="21"/>
        <v>30</v>
      </c>
      <c r="I81" s="254">
        <f>VLOOKUP(G81,'Прогноз переменной ставки'!$B$5:$E$304,4,1)</f>
        <v>9.9000000000000005E-2</v>
      </c>
      <c r="J81" s="164">
        <f t="shared" si="18"/>
        <v>59999.999999999993</v>
      </c>
      <c r="K81" s="164">
        <f t="shared" si="19"/>
        <v>1818638.563752804</v>
      </c>
      <c r="L81" s="164">
        <f t="shared" si="22"/>
        <v>1818638.563752804</v>
      </c>
      <c r="M81" s="164">
        <f t="shared" si="22"/>
        <v>0</v>
      </c>
      <c r="N81" s="164">
        <f t="shared" si="20"/>
        <v>14788.108239139845</v>
      </c>
      <c r="O81" s="164">
        <f t="shared" si="12"/>
        <v>45211.891760860148</v>
      </c>
      <c r="P81" s="164">
        <f t="shared" si="13"/>
        <v>14788.108239139845</v>
      </c>
      <c r="Q81" s="164">
        <f t="shared" si="14"/>
        <v>0</v>
      </c>
      <c r="R81" s="164">
        <f t="shared" si="23"/>
        <v>0</v>
      </c>
      <c r="S81" s="164">
        <f t="shared" si="15"/>
        <v>1773426.6719919438</v>
      </c>
      <c r="T81" s="164">
        <f t="shared" si="16"/>
        <v>0</v>
      </c>
    </row>
    <row r="82" spans="2:20" x14ac:dyDescent="0.2">
      <c r="B82" s="171"/>
      <c r="D82" s="171"/>
      <c r="F82" s="158">
        <v>71</v>
      </c>
      <c r="G82" s="249">
        <f t="shared" si="17"/>
        <v>45808</v>
      </c>
      <c r="H82" s="158">
        <f t="shared" si="21"/>
        <v>31</v>
      </c>
      <c r="I82" s="254">
        <f>VLOOKUP(G82,'Прогноз переменной ставки'!$B$5:$E$304,4,1)</f>
        <v>9.9000000000000005E-2</v>
      </c>
      <c r="J82" s="164">
        <f t="shared" si="18"/>
        <v>59999.999999999993</v>
      </c>
      <c r="K82" s="164">
        <f t="shared" si="19"/>
        <v>1773426.6719919438</v>
      </c>
      <c r="L82" s="164">
        <f t="shared" si="22"/>
        <v>1773426.6719919438</v>
      </c>
      <c r="M82" s="164">
        <f t="shared" si="22"/>
        <v>0</v>
      </c>
      <c r="N82" s="164">
        <f t="shared" si="20"/>
        <v>14901.153884581181</v>
      </c>
      <c r="O82" s="164">
        <f t="shared" si="12"/>
        <v>45098.846115418812</v>
      </c>
      <c r="P82" s="164">
        <f t="shared" si="13"/>
        <v>14901.153884581181</v>
      </c>
      <c r="Q82" s="164">
        <f t="shared" si="14"/>
        <v>0</v>
      </c>
      <c r="R82" s="164">
        <f t="shared" si="23"/>
        <v>0</v>
      </c>
      <c r="S82" s="164">
        <f t="shared" si="15"/>
        <v>1728327.8258765251</v>
      </c>
      <c r="T82" s="164">
        <f t="shared" si="16"/>
        <v>0</v>
      </c>
    </row>
    <row r="83" spans="2:20" x14ac:dyDescent="0.2">
      <c r="B83" s="171"/>
      <c r="D83" s="171"/>
      <c r="F83" s="158">
        <v>72</v>
      </c>
      <c r="G83" s="249">
        <f t="shared" si="17"/>
        <v>45838</v>
      </c>
      <c r="H83" s="158">
        <f t="shared" si="21"/>
        <v>30</v>
      </c>
      <c r="I83" s="254">
        <f>VLOOKUP(G83,'Прогноз переменной ставки'!$B$5:$E$304,4,1)</f>
        <v>9.9000000000000005E-2</v>
      </c>
      <c r="J83" s="164">
        <f t="shared" si="18"/>
        <v>59999.999999999993</v>
      </c>
      <c r="K83" s="164">
        <f t="shared" si="19"/>
        <v>1728327.8258765251</v>
      </c>
      <c r="L83" s="164">
        <f t="shared" si="22"/>
        <v>1728327.8258765251</v>
      </c>
      <c r="M83" s="164">
        <f t="shared" si="22"/>
        <v>0</v>
      </c>
      <c r="N83" s="164">
        <f t="shared" si="20"/>
        <v>14053.753984540122</v>
      </c>
      <c r="O83" s="164">
        <f t="shared" si="12"/>
        <v>45946.246015459867</v>
      </c>
      <c r="P83" s="164">
        <f t="shared" si="13"/>
        <v>14053.753984540122</v>
      </c>
      <c r="Q83" s="164">
        <f t="shared" si="14"/>
        <v>0</v>
      </c>
      <c r="R83" s="164">
        <f t="shared" si="23"/>
        <v>0</v>
      </c>
      <c r="S83" s="164">
        <f t="shared" si="15"/>
        <v>1682381.5798610654</v>
      </c>
      <c r="T83" s="164">
        <f t="shared" si="16"/>
        <v>0</v>
      </c>
    </row>
    <row r="84" spans="2:20" x14ac:dyDescent="0.2">
      <c r="B84" s="171"/>
      <c r="D84" s="171"/>
      <c r="F84" s="158">
        <v>73</v>
      </c>
      <c r="G84" s="249">
        <f t="shared" si="17"/>
        <v>45869</v>
      </c>
      <c r="H84" s="158">
        <f t="shared" si="21"/>
        <v>31</v>
      </c>
      <c r="I84" s="254">
        <f>VLOOKUP(G84,'Прогноз переменной ставки'!$B$5:$E$304,4,1)</f>
        <v>9.9000000000000005E-2</v>
      </c>
      <c r="J84" s="164">
        <f t="shared" si="18"/>
        <v>59999.999999999993</v>
      </c>
      <c r="K84" s="164">
        <f t="shared" si="19"/>
        <v>1682381.5798610654</v>
      </c>
      <c r="L84" s="164">
        <f t="shared" si="22"/>
        <v>1682381.5798610654</v>
      </c>
      <c r="M84" s="164">
        <f t="shared" si="22"/>
        <v>0</v>
      </c>
      <c r="N84" s="164">
        <f t="shared" si="20"/>
        <v>14136.150769592361</v>
      </c>
      <c r="O84" s="164">
        <f t="shared" si="12"/>
        <v>45863.849230407635</v>
      </c>
      <c r="P84" s="164">
        <f t="shared" si="13"/>
        <v>14136.150769592361</v>
      </c>
      <c r="Q84" s="164">
        <f t="shared" si="14"/>
        <v>0</v>
      </c>
      <c r="R84" s="164">
        <f t="shared" si="23"/>
        <v>0</v>
      </c>
      <c r="S84" s="164">
        <f t="shared" si="15"/>
        <v>1636517.7306306576</v>
      </c>
      <c r="T84" s="164">
        <f t="shared" si="16"/>
        <v>0</v>
      </c>
    </row>
    <row r="85" spans="2:20" x14ac:dyDescent="0.2">
      <c r="B85" s="171"/>
      <c r="D85" s="171"/>
      <c r="F85" s="158">
        <v>74</v>
      </c>
      <c r="G85" s="249">
        <f t="shared" si="17"/>
        <v>45900</v>
      </c>
      <c r="H85" s="158">
        <f t="shared" si="21"/>
        <v>31</v>
      </c>
      <c r="I85" s="254">
        <f>VLOOKUP(G85,'Прогноз переменной ставки'!$B$5:$E$304,4,1)</f>
        <v>9.9000000000000005E-2</v>
      </c>
      <c r="J85" s="164">
        <f t="shared" si="18"/>
        <v>59999.999999999993</v>
      </c>
      <c r="K85" s="164">
        <f t="shared" si="19"/>
        <v>1636517.7306306576</v>
      </c>
      <c r="L85" s="164">
        <f t="shared" si="22"/>
        <v>1636517.7306306576</v>
      </c>
      <c r="M85" s="164">
        <f t="shared" si="22"/>
        <v>0</v>
      </c>
      <c r="N85" s="164">
        <f t="shared" si="20"/>
        <v>13750.781424518791</v>
      </c>
      <c r="O85" s="164">
        <f t="shared" si="12"/>
        <v>46249.218575481202</v>
      </c>
      <c r="P85" s="164">
        <f t="shared" si="13"/>
        <v>13750.781424518791</v>
      </c>
      <c r="Q85" s="164">
        <f t="shared" si="14"/>
        <v>0</v>
      </c>
      <c r="R85" s="164">
        <f t="shared" si="23"/>
        <v>0</v>
      </c>
      <c r="S85" s="164">
        <f t="shared" si="15"/>
        <v>1590268.5120551765</v>
      </c>
      <c r="T85" s="164">
        <f t="shared" si="16"/>
        <v>0</v>
      </c>
    </row>
    <row r="86" spans="2:20" x14ac:dyDescent="0.2">
      <c r="B86" s="171"/>
      <c r="D86" s="171"/>
      <c r="F86" s="158">
        <v>75</v>
      </c>
      <c r="G86" s="249">
        <f t="shared" si="17"/>
        <v>45930</v>
      </c>
      <c r="H86" s="158">
        <f t="shared" si="21"/>
        <v>30</v>
      </c>
      <c r="I86" s="254">
        <f>VLOOKUP(G86,'Прогноз переменной ставки'!$B$5:$E$304,4,1)</f>
        <v>9.9000000000000005E-2</v>
      </c>
      <c r="J86" s="164">
        <f t="shared" si="18"/>
        <v>59999.999999999993</v>
      </c>
      <c r="K86" s="164">
        <f t="shared" si="19"/>
        <v>1590268.5120551765</v>
      </c>
      <c r="L86" s="164">
        <f t="shared" si="22"/>
        <v>1590268.5120551765</v>
      </c>
      <c r="M86" s="164">
        <f t="shared" si="22"/>
        <v>0</v>
      </c>
      <c r="N86" s="164">
        <f t="shared" si="20"/>
        <v>12931.136155520533</v>
      </c>
      <c r="O86" s="164">
        <f t="shared" si="12"/>
        <v>47068.863844479463</v>
      </c>
      <c r="P86" s="164">
        <f t="shared" si="13"/>
        <v>12931.136155520533</v>
      </c>
      <c r="Q86" s="164">
        <f t="shared" si="14"/>
        <v>0</v>
      </c>
      <c r="R86" s="164">
        <f t="shared" si="23"/>
        <v>0</v>
      </c>
      <c r="S86" s="164">
        <f t="shared" si="15"/>
        <v>1543199.6482106971</v>
      </c>
      <c r="T86" s="164">
        <f t="shared" si="16"/>
        <v>0</v>
      </c>
    </row>
    <row r="87" spans="2:20" x14ac:dyDescent="0.2">
      <c r="B87" s="171"/>
      <c r="D87" s="171"/>
      <c r="F87" s="158">
        <v>76</v>
      </c>
      <c r="G87" s="249">
        <f t="shared" si="17"/>
        <v>45961</v>
      </c>
      <c r="H87" s="158">
        <f t="shared" si="21"/>
        <v>31</v>
      </c>
      <c r="I87" s="254">
        <f>VLOOKUP(G87,'Прогноз переменной ставки'!$B$5:$E$304,4,1)</f>
        <v>9.9000000000000005E-2</v>
      </c>
      <c r="J87" s="164">
        <f t="shared" si="18"/>
        <v>59999.999999999993</v>
      </c>
      <c r="K87" s="164">
        <f t="shared" si="19"/>
        <v>1543199.6482106971</v>
      </c>
      <c r="L87" s="164">
        <f t="shared" si="22"/>
        <v>1543199.6482106971</v>
      </c>
      <c r="M87" s="164">
        <f t="shared" si="22"/>
        <v>0</v>
      </c>
      <c r="N87" s="164">
        <f t="shared" si="20"/>
        <v>12966.679590304257</v>
      </c>
      <c r="O87" s="164">
        <f t="shared" si="12"/>
        <v>47033.320409695734</v>
      </c>
      <c r="P87" s="164">
        <f t="shared" si="13"/>
        <v>12966.679590304257</v>
      </c>
      <c r="Q87" s="164">
        <f t="shared" si="14"/>
        <v>0</v>
      </c>
      <c r="R87" s="164">
        <f t="shared" si="23"/>
        <v>0</v>
      </c>
      <c r="S87" s="164">
        <f t="shared" si="15"/>
        <v>1496166.3278010013</v>
      </c>
      <c r="T87" s="164">
        <f t="shared" si="16"/>
        <v>0</v>
      </c>
    </row>
    <row r="88" spans="2:20" x14ac:dyDescent="0.2">
      <c r="B88" s="171"/>
      <c r="D88" s="171"/>
      <c r="F88" s="158">
        <v>77</v>
      </c>
      <c r="G88" s="249">
        <f t="shared" si="17"/>
        <v>45991</v>
      </c>
      <c r="H88" s="158">
        <f t="shared" si="21"/>
        <v>30</v>
      </c>
      <c r="I88" s="254">
        <f>VLOOKUP(G88,'Прогноз переменной ставки'!$B$5:$E$304,4,1)</f>
        <v>9.9000000000000005E-2</v>
      </c>
      <c r="J88" s="164">
        <f t="shared" si="18"/>
        <v>59999.999999999993</v>
      </c>
      <c r="K88" s="164">
        <f t="shared" si="19"/>
        <v>1496166.3278010013</v>
      </c>
      <c r="L88" s="164">
        <f t="shared" si="22"/>
        <v>1496166.3278010013</v>
      </c>
      <c r="M88" s="164">
        <f t="shared" si="22"/>
        <v>0</v>
      </c>
      <c r="N88" s="164">
        <f t="shared" si="20"/>
        <v>12165.952070004036</v>
      </c>
      <c r="O88" s="164">
        <f t="shared" si="12"/>
        <v>47834.047929995955</v>
      </c>
      <c r="P88" s="164">
        <f t="shared" si="13"/>
        <v>12165.952070004036</v>
      </c>
      <c r="Q88" s="164">
        <f t="shared" si="14"/>
        <v>0</v>
      </c>
      <c r="R88" s="164">
        <f t="shared" si="23"/>
        <v>0</v>
      </c>
      <c r="S88" s="164">
        <f t="shared" si="15"/>
        <v>1448332.2798710053</v>
      </c>
      <c r="T88" s="164">
        <f t="shared" si="16"/>
        <v>0</v>
      </c>
    </row>
    <row r="89" spans="2:20" x14ac:dyDescent="0.2">
      <c r="B89" s="171"/>
      <c r="D89" s="171"/>
      <c r="F89" s="158">
        <v>78</v>
      </c>
      <c r="G89" s="249">
        <f t="shared" si="17"/>
        <v>46022</v>
      </c>
      <c r="H89" s="158">
        <f t="shared" si="21"/>
        <v>31</v>
      </c>
      <c r="I89" s="254">
        <f>VLOOKUP(G89,'Прогноз переменной ставки'!$B$5:$E$304,4,1)</f>
        <v>9.9000000000000005E-2</v>
      </c>
      <c r="J89" s="164">
        <f t="shared" si="18"/>
        <v>59999.999999999993</v>
      </c>
      <c r="K89" s="164">
        <f t="shared" si="19"/>
        <v>1448332.2798710053</v>
      </c>
      <c r="L89" s="164">
        <f t="shared" si="22"/>
        <v>1448332.2798710053</v>
      </c>
      <c r="M89" s="164">
        <f t="shared" si="22"/>
        <v>0</v>
      </c>
      <c r="N89" s="164">
        <f t="shared" si="20"/>
        <v>12169.55993682167</v>
      </c>
      <c r="O89" s="164">
        <f t="shared" si="12"/>
        <v>47830.440063178321</v>
      </c>
      <c r="P89" s="164">
        <f t="shared" si="13"/>
        <v>12169.55993682167</v>
      </c>
      <c r="Q89" s="164">
        <f t="shared" si="14"/>
        <v>0</v>
      </c>
      <c r="R89" s="164">
        <f t="shared" si="23"/>
        <v>0</v>
      </c>
      <c r="S89" s="164">
        <f t="shared" si="15"/>
        <v>1400501.839807827</v>
      </c>
      <c r="T89" s="164">
        <f t="shared" si="16"/>
        <v>0</v>
      </c>
    </row>
    <row r="90" spans="2:20" x14ac:dyDescent="0.2">
      <c r="B90" s="171"/>
      <c r="D90" s="171"/>
      <c r="F90" s="158">
        <v>79</v>
      </c>
      <c r="G90" s="249">
        <f t="shared" si="17"/>
        <v>46053</v>
      </c>
      <c r="H90" s="158">
        <f t="shared" si="21"/>
        <v>31</v>
      </c>
      <c r="I90" s="254">
        <f>VLOOKUP(G90,'Прогноз переменной ставки'!$B$5:$E$304,4,1)</f>
        <v>9.9000000000000005E-2</v>
      </c>
      <c r="J90" s="164">
        <f t="shared" si="18"/>
        <v>59999.999999999993</v>
      </c>
      <c r="K90" s="164">
        <f t="shared" si="19"/>
        <v>1400501.839807827</v>
      </c>
      <c r="L90" s="164">
        <f t="shared" si="22"/>
        <v>1400501.839807827</v>
      </c>
      <c r="M90" s="164">
        <f t="shared" si="22"/>
        <v>0</v>
      </c>
      <c r="N90" s="164">
        <f t="shared" si="20"/>
        <v>11767.666382943797</v>
      </c>
      <c r="O90" s="164">
        <f t="shared" si="12"/>
        <v>48232.333617056196</v>
      </c>
      <c r="P90" s="164">
        <f t="shared" si="13"/>
        <v>11767.666382943797</v>
      </c>
      <c r="Q90" s="164">
        <f t="shared" si="14"/>
        <v>0</v>
      </c>
      <c r="R90" s="164">
        <f t="shared" si="23"/>
        <v>0</v>
      </c>
      <c r="S90" s="164">
        <f t="shared" si="15"/>
        <v>1352269.5061907708</v>
      </c>
      <c r="T90" s="164">
        <f t="shared" si="16"/>
        <v>0</v>
      </c>
    </row>
    <row r="91" spans="2:20" x14ac:dyDescent="0.2">
      <c r="B91" s="171"/>
      <c r="D91" s="171"/>
      <c r="F91" s="158">
        <v>80</v>
      </c>
      <c r="G91" s="249">
        <f t="shared" si="17"/>
        <v>46081</v>
      </c>
      <c r="H91" s="158">
        <f t="shared" si="21"/>
        <v>28</v>
      </c>
      <c r="I91" s="254">
        <f>VLOOKUP(G91,'Прогноз переменной ставки'!$B$5:$E$304,4,1)</f>
        <v>9.9000000000000005E-2</v>
      </c>
      <c r="J91" s="164">
        <f t="shared" si="18"/>
        <v>59999.999999999993</v>
      </c>
      <c r="K91" s="164">
        <f t="shared" si="19"/>
        <v>1352269.5061907708</v>
      </c>
      <c r="L91" s="164">
        <f t="shared" si="22"/>
        <v>1352269.5061907708</v>
      </c>
      <c r="M91" s="164">
        <f t="shared" si="22"/>
        <v>0</v>
      </c>
      <c r="N91" s="164">
        <f t="shared" si="20"/>
        <v>10262.809229735296</v>
      </c>
      <c r="O91" s="164">
        <f t="shared" si="12"/>
        <v>49737.1907702647</v>
      </c>
      <c r="P91" s="164">
        <f t="shared" si="13"/>
        <v>10262.809229735296</v>
      </c>
      <c r="Q91" s="164">
        <f t="shared" si="14"/>
        <v>0</v>
      </c>
      <c r="R91" s="164">
        <f t="shared" si="23"/>
        <v>0</v>
      </c>
      <c r="S91" s="164">
        <f t="shared" si="15"/>
        <v>1302532.3154205061</v>
      </c>
      <c r="T91" s="164">
        <f t="shared" si="16"/>
        <v>0</v>
      </c>
    </row>
    <row r="92" spans="2:20" x14ac:dyDescent="0.2">
      <c r="B92" s="171"/>
      <c r="D92" s="171"/>
      <c r="F92" s="158">
        <v>81</v>
      </c>
      <c r="G92" s="249">
        <f t="shared" si="17"/>
        <v>46112</v>
      </c>
      <c r="H92" s="158">
        <f t="shared" si="21"/>
        <v>31</v>
      </c>
      <c r="I92" s="254">
        <f>VLOOKUP(G92,'Прогноз переменной ставки'!$B$5:$E$304,4,1)</f>
        <v>9.9000000000000005E-2</v>
      </c>
      <c r="J92" s="164">
        <f t="shared" si="18"/>
        <v>59999.999999999993</v>
      </c>
      <c r="K92" s="164">
        <f t="shared" si="19"/>
        <v>1302532.3154205061</v>
      </c>
      <c r="L92" s="164">
        <f t="shared" si="22"/>
        <v>1302532.3154205061</v>
      </c>
      <c r="M92" s="164">
        <f t="shared" si="22"/>
        <v>0</v>
      </c>
      <c r="N92" s="164">
        <f t="shared" si="20"/>
        <v>10944.480974744785</v>
      </c>
      <c r="O92" s="164">
        <f t="shared" si="12"/>
        <v>49055.519025255206</v>
      </c>
      <c r="P92" s="164">
        <f t="shared" si="13"/>
        <v>10944.480974744785</v>
      </c>
      <c r="Q92" s="164">
        <f t="shared" si="14"/>
        <v>0</v>
      </c>
      <c r="R92" s="164">
        <f t="shared" si="23"/>
        <v>0</v>
      </c>
      <c r="S92" s="164">
        <f t="shared" si="15"/>
        <v>1253476.7963952508</v>
      </c>
      <c r="T92" s="164">
        <f t="shared" si="16"/>
        <v>0</v>
      </c>
    </row>
    <row r="93" spans="2:20" x14ac:dyDescent="0.2">
      <c r="B93" s="171"/>
      <c r="D93" s="171"/>
      <c r="F93" s="158">
        <v>82</v>
      </c>
      <c r="G93" s="249">
        <f t="shared" si="17"/>
        <v>46142</v>
      </c>
      <c r="H93" s="158">
        <f t="shared" si="21"/>
        <v>30</v>
      </c>
      <c r="I93" s="254">
        <f>VLOOKUP(G93,'Прогноз переменной ставки'!$B$5:$E$304,4,1)</f>
        <v>9.9000000000000005E-2</v>
      </c>
      <c r="J93" s="164">
        <f t="shared" si="18"/>
        <v>59999.999999999993</v>
      </c>
      <c r="K93" s="164">
        <f t="shared" si="19"/>
        <v>1253476.7963952508</v>
      </c>
      <c r="L93" s="164">
        <f t="shared" si="22"/>
        <v>1253476.7963952508</v>
      </c>
      <c r="M93" s="164">
        <f t="shared" si="22"/>
        <v>0</v>
      </c>
      <c r="N93" s="164">
        <f t="shared" si="20"/>
        <v>10192.54232797781</v>
      </c>
      <c r="O93" s="164">
        <f t="shared" si="12"/>
        <v>49807.457672022181</v>
      </c>
      <c r="P93" s="164">
        <f t="shared" si="13"/>
        <v>10192.54232797781</v>
      </c>
      <c r="Q93" s="164">
        <f t="shared" si="14"/>
        <v>0</v>
      </c>
      <c r="R93" s="164">
        <f t="shared" si="23"/>
        <v>0</v>
      </c>
      <c r="S93" s="164">
        <f t="shared" si="15"/>
        <v>1203669.3387232285</v>
      </c>
      <c r="T93" s="164">
        <f t="shared" si="16"/>
        <v>0</v>
      </c>
    </row>
    <row r="94" spans="2:20" x14ac:dyDescent="0.2">
      <c r="B94" s="171"/>
      <c r="D94" s="171"/>
      <c r="F94" s="158">
        <v>83</v>
      </c>
      <c r="G94" s="249">
        <f t="shared" si="17"/>
        <v>46173</v>
      </c>
      <c r="H94" s="158">
        <f t="shared" si="21"/>
        <v>31</v>
      </c>
      <c r="I94" s="254">
        <f>VLOOKUP(G94,'Прогноз переменной ставки'!$B$5:$E$304,4,1)</f>
        <v>9.9000000000000005E-2</v>
      </c>
      <c r="J94" s="164">
        <f t="shared" si="18"/>
        <v>59999.999999999993</v>
      </c>
      <c r="K94" s="164">
        <f t="shared" si="19"/>
        <v>1203669.3387232285</v>
      </c>
      <c r="L94" s="164">
        <f t="shared" si="22"/>
        <v>1203669.3387232285</v>
      </c>
      <c r="M94" s="164">
        <f t="shared" si="22"/>
        <v>0</v>
      </c>
      <c r="N94" s="164">
        <f t="shared" si="20"/>
        <v>10113.788365616943</v>
      </c>
      <c r="O94" s="164">
        <f t="shared" si="12"/>
        <v>49886.211634383049</v>
      </c>
      <c r="P94" s="164">
        <f t="shared" si="13"/>
        <v>10113.788365616943</v>
      </c>
      <c r="Q94" s="164">
        <f t="shared" si="14"/>
        <v>0</v>
      </c>
      <c r="R94" s="164">
        <f t="shared" si="23"/>
        <v>0</v>
      </c>
      <c r="S94" s="164">
        <f t="shared" si="15"/>
        <v>1153783.1270888455</v>
      </c>
      <c r="T94" s="164">
        <f t="shared" si="16"/>
        <v>0</v>
      </c>
    </row>
    <row r="95" spans="2:20" x14ac:dyDescent="0.2">
      <c r="B95" s="171"/>
      <c r="D95" s="171"/>
      <c r="F95" s="158">
        <v>84</v>
      </c>
      <c r="G95" s="249">
        <f t="shared" si="17"/>
        <v>46203</v>
      </c>
      <c r="H95" s="158">
        <f t="shared" si="21"/>
        <v>30</v>
      </c>
      <c r="I95" s="254">
        <f>VLOOKUP(G95,'Прогноз переменной ставки'!$B$5:$E$304,4,1)</f>
        <v>9.9000000000000005E-2</v>
      </c>
      <c r="J95" s="164">
        <f t="shared" si="18"/>
        <v>59999.999999999993</v>
      </c>
      <c r="K95" s="164">
        <f t="shared" si="19"/>
        <v>1153783.1270888455</v>
      </c>
      <c r="L95" s="164">
        <f t="shared" si="22"/>
        <v>1153783.1270888455</v>
      </c>
      <c r="M95" s="164">
        <f t="shared" si="22"/>
        <v>0</v>
      </c>
      <c r="N95" s="164">
        <f t="shared" si="20"/>
        <v>9381.8915467594015</v>
      </c>
      <c r="O95" s="164">
        <f t="shared" si="12"/>
        <v>50618.108453240595</v>
      </c>
      <c r="P95" s="164">
        <f t="shared" si="13"/>
        <v>9381.8915467594015</v>
      </c>
      <c r="Q95" s="164">
        <f t="shared" si="14"/>
        <v>0</v>
      </c>
      <c r="R95" s="164">
        <f t="shared" si="23"/>
        <v>0</v>
      </c>
      <c r="S95" s="164">
        <f t="shared" si="15"/>
        <v>1103165.018635605</v>
      </c>
      <c r="T95" s="164">
        <f t="shared" si="16"/>
        <v>0</v>
      </c>
    </row>
    <row r="96" spans="2:20" x14ac:dyDescent="0.2">
      <c r="B96" s="171"/>
      <c r="D96" s="171"/>
      <c r="F96" s="158">
        <v>85</v>
      </c>
      <c r="G96" s="249">
        <f t="shared" si="17"/>
        <v>46234</v>
      </c>
      <c r="H96" s="158">
        <f t="shared" si="21"/>
        <v>31</v>
      </c>
      <c r="I96" s="254">
        <f>VLOOKUP(G96,'Прогноз переменной ставки'!$B$5:$E$304,4,1)</f>
        <v>9.9000000000000005E-2</v>
      </c>
      <c r="J96" s="164">
        <f t="shared" si="18"/>
        <v>59999.999999999993</v>
      </c>
      <c r="K96" s="164">
        <f t="shared" si="19"/>
        <v>1103165.018635605</v>
      </c>
      <c r="L96" s="164">
        <f t="shared" si="22"/>
        <v>1103165.018635605</v>
      </c>
      <c r="M96" s="164">
        <f t="shared" si="22"/>
        <v>0</v>
      </c>
      <c r="N96" s="164">
        <f t="shared" si="20"/>
        <v>9269.3044276322289</v>
      </c>
      <c r="O96" s="164">
        <f t="shared" si="12"/>
        <v>50730.695572367767</v>
      </c>
      <c r="P96" s="164">
        <f t="shared" si="13"/>
        <v>9269.3044276322289</v>
      </c>
      <c r="Q96" s="164">
        <f t="shared" si="14"/>
        <v>0</v>
      </c>
      <c r="R96" s="164">
        <f t="shared" si="23"/>
        <v>0</v>
      </c>
      <c r="S96" s="164">
        <f t="shared" si="15"/>
        <v>1052434.3230632371</v>
      </c>
      <c r="T96" s="164">
        <f t="shared" si="16"/>
        <v>0</v>
      </c>
    </row>
    <row r="97" spans="2:20" x14ac:dyDescent="0.2">
      <c r="B97" s="171"/>
      <c r="D97" s="171"/>
      <c r="F97" s="158">
        <v>86</v>
      </c>
      <c r="G97" s="249">
        <f t="shared" si="17"/>
        <v>46265</v>
      </c>
      <c r="H97" s="158">
        <f t="shared" si="21"/>
        <v>31</v>
      </c>
      <c r="I97" s="254">
        <f>VLOOKUP(G97,'Прогноз переменной ставки'!$B$5:$E$304,4,1)</f>
        <v>9.9000000000000005E-2</v>
      </c>
      <c r="J97" s="164">
        <f t="shared" si="18"/>
        <v>59999.999999999993</v>
      </c>
      <c r="K97" s="164">
        <f t="shared" si="19"/>
        <v>1052434.3230632371</v>
      </c>
      <c r="L97" s="164">
        <f t="shared" si="22"/>
        <v>1052434.3230632371</v>
      </c>
      <c r="M97" s="164">
        <f t="shared" si="22"/>
        <v>0</v>
      </c>
      <c r="N97" s="164">
        <f t="shared" si="20"/>
        <v>8843.0415810570157</v>
      </c>
      <c r="O97" s="164">
        <f t="shared" si="12"/>
        <v>51156.958418942973</v>
      </c>
      <c r="P97" s="164">
        <f t="shared" si="13"/>
        <v>8843.0415810570157</v>
      </c>
      <c r="Q97" s="164">
        <f t="shared" si="14"/>
        <v>0</v>
      </c>
      <c r="R97" s="164">
        <f t="shared" si="23"/>
        <v>0</v>
      </c>
      <c r="S97" s="164">
        <f t="shared" si="15"/>
        <v>1001277.3646442941</v>
      </c>
      <c r="T97" s="164">
        <f t="shared" si="16"/>
        <v>0</v>
      </c>
    </row>
    <row r="98" spans="2:20" x14ac:dyDescent="0.2">
      <c r="B98" s="171"/>
      <c r="D98" s="171"/>
      <c r="F98" s="158">
        <v>87</v>
      </c>
      <c r="G98" s="249">
        <f t="shared" si="17"/>
        <v>46295</v>
      </c>
      <c r="H98" s="158">
        <f t="shared" si="21"/>
        <v>30</v>
      </c>
      <c r="I98" s="254">
        <f>VLOOKUP(G98,'Прогноз переменной ставки'!$B$5:$E$304,4,1)</f>
        <v>9.9000000000000005E-2</v>
      </c>
      <c r="J98" s="164">
        <f t="shared" si="18"/>
        <v>59999.999999999993</v>
      </c>
      <c r="K98" s="164">
        <f t="shared" si="19"/>
        <v>1001277.3646442941</v>
      </c>
      <c r="L98" s="164">
        <f t="shared" si="22"/>
        <v>1001277.3646442941</v>
      </c>
      <c r="M98" s="164">
        <f t="shared" si="22"/>
        <v>0</v>
      </c>
      <c r="N98" s="164">
        <f t="shared" si="20"/>
        <v>8141.8036221589427</v>
      </c>
      <c r="O98" s="164">
        <f t="shared" si="12"/>
        <v>51858.19637784105</v>
      </c>
      <c r="P98" s="164">
        <f t="shared" si="13"/>
        <v>8141.8036221589427</v>
      </c>
      <c r="Q98" s="164">
        <f t="shared" si="14"/>
        <v>0</v>
      </c>
      <c r="R98" s="164">
        <f t="shared" si="23"/>
        <v>0</v>
      </c>
      <c r="S98" s="164">
        <f t="shared" si="15"/>
        <v>949419.16826645308</v>
      </c>
      <c r="T98" s="164">
        <f t="shared" si="16"/>
        <v>0</v>
      </c>
    </row>
    <row r="99" spans="2:20" x14ac:dyDescent="0.2">
      <c r="B99" s="171"/>
      <c r="D99" s="171"/>
      <c r="F99" s="158">
        <v>88</v>
      </c>
      <c r="G99" s="249">
        <f t="shared" si="17"/>
        <v>46326</v>
      </c>
      <c r="H99" s="158">
        <f t="shared" si="21"/>
        <v>31</v>
      </c>
      <c r="I99" s="254">
        <f>VLOOKUP(G99,'Прогноз переменной ставки'!$B$5:$E$304,4,1)</f>
        <v>9.9000000000000005E-2</v>
      </c>
      <c r="J99" s="164">
        <f t="shared" si="18"/>
        <v>59999.999999999993</v>
      </c>
      <c r="K99" s="164">
        <f t="shared" si="19"/>
        <v>949419.16826645308</v>
      </c>
      <c r="L99" s="164">
        <f t="shared" si="22"/>
        <v>949419.16826645308</v>
      </c>
      <c r="M99" s="164">
        <f t="shared" si="22"/>
        <v>0</v>
      </c>
      <c r="N99" s="164">
        <f t="shared" si="20"/>
        <v>7977.4604446536478</v>
      </c>
      <c r="O99" s="164">
        <f t="shared" si="12"/>
        <v>52022.539555346346</v>
      </c>
      <c r="P99" s="164">
        <f t="shared" si="13"/>
        <v>7977.4604446536478</v>
      </c>
      <c r="Q99" s="164">
        <f t="shared" si="14"/>
        <v>0</v>
      </c>
      <c r="R99" s="164">
        <f t="shared" si="23"/>
        <v>0</v>
      </c>
      <c r="S99" s="164">
        <f t="shared" si="15"/>
        <v>897396.62871110672</v>
      </c>
      <c r="T99" s="164">
        <f t="shared" si="16"/>
        <v>0</v>
      </c>
    </row>
    <row r="100" spans="2:20" x14ac:dyDescent="0.2">
      <c r="B100" s="171"/>
      <c r="D100" s="171"/>
      <c r="F100" s="158">
        <v>89</v>
      </c>
      <c r="G100" s="249">
        <f t="shared" si="17"/>
        <v>46356</v>
      </c>
      <c r="H100" s="158">
        <f t="shared" si="21"/>
        <v>30</v>
      </c>
      <c r="I100" s="254">
        <f>VLOOKUP(G100,'Прогноз переменной ставки'!$B$5:$E$304,4,1)</f>
        <v>9.9000000000000005E-2</v>
      </c>
      <c r="J100" s="164">
        <f t="shared" si="18"/>
        <v>59999.999999999993</v>
      </c>
      <c r="K100" s="164">
        <f t="shared" si="19"/>
        <v>897396.62871110672</v>
      </c>
      <c r="L100" s="164">
        <f t="shared" si="22"/>
        <v>897396.62871110672</v>
      </c>
      <c r="M100" s="164">
        <f t="shared" si="22"/>
        <v>0</v>
      </c>
      <c r="N100" s="164">
        <f t="shared" si="20"/>
        <v>7297.1060568706007</v>
      </c>
      <c r="O100" s="164">
        <f t="shared" si="12"/>
        <v>52702.893943129391</v>
      </c>
      <c r="P100" s="164">
        <f t="shared" si="13"/>
        <v>7297.1060568706007</v>
      </c>
      <c r="Q100" s="164">
        <f t="shared" si="14"/>
        <v>0</v>
      </c>
      <c r="R100" s="164">
        <f t="shared" si="23"/>
        <v>0</v>
      </c>
      <c r="S100" s="164">
        <f t="shared" si="15"/>
        <v>844693.73476797738</v>
      </c>
      <c r="T100" s="164">
        <f t="shared" si="16"/>
        <v>0</v>
      </c>
    </row>
    <row r="101" spans="2:20" x14ac:dyDescent="0.2">
      <c r="B101" s="171"/>
      <c r="D101" s="171"/>
      <c r="F101" s="158">
        <v>90</v>
      </c>
      <c r="G101" s="249">
        <f t="shared" si="17"/>
        <v>46387</v>
      </c>
      <c r="H101" s="158">
        <f t="shared" si="21"/>
        <v>31</v>
      </c>
      <c r="I101" s="254">
        <f>VLOOKUP(G101,'Прогноз переменной ставки'!$B$5:$E$304,4,1)</f>
        <v>9.9000000000000005E-2</v>
      </c>
      <c r="J101" s="164">
        <f t="shared" si="18"/>
        <v>59999.999999999993</v>
      </c>
      <c r="K101" s="164">
        <f t="shared" si="19"/>
        <v>844693.73476797738</v>
      </c>
      <c r="L101" s="164">
        <f t="shared" si="22"/>
        <v>844693.73476797738</v>
      </c>
      <c r="M101" s="164">
        <f t="shared" si="22"/>
        <v>0</v>
      </c>
      <c r="N101" s="164">
        <f t="shared" si="20"/>
        <v>7097.5087529169687</v>
      </c>
      <c r="O101" s="164">
        <f t="shared" si="12"/>
        <v>52902.491247083024</v>
      </c>
      <c r="P101" s="164">
        <f t="shared" si="13"/>
        <v>7097.5087529169687</v>
      </c>
      <c r="Q101" s="164">
        <f t="shared" si="14"/>
        <v>0</v>
      </c>
      <c r="R101" s="164">
        <f t="shared" si="23"/>
        <v>0</v>
      </c>
      <c r="S101" s="164">
        <f t="shared" si="15"/>
        <v>791791.24352089432</v>
      </c>
      <c r="T101" s="164">
        <f t="shared" si="16"/>
        <v>0</v>
      </c>
    </row>
    <row r="102" spans="2:20" x14ac:dyDescent="0.2">
      <c r="B102" s="171"/>
      <c r="D102" s="171"/>
      <c r="F102" s="158">
        <v>91</v>
      </c>
      <c r="G102" s="249">
        <f t="shared" si="17"/>
        <v>46418</v>
      </c>
      <c r="H102" s="158">
        <f t="shared" si="21"/>
        <v>31</v>
      </c>
      <c r="I102" s="254">
        <f>VLOOKUP(G102,'Прогноз переменной ставки'!$B$5:$E$304,4,1)</f>
        <v>9.9000000000000005E-2</v>
      </c>
      <c r="J102" s="164">
        <f t="shared" si="18"/>
        <v>59999.999999999993</v>
      </c>
      <c r="K102" s="164">
        <f t="shared" si="19"/>
        <v>791791.24352089432</v>
      </c>
      <c r="L102" s="164">
        <f t="shared" si="22"/>
        <v>791791.24352089432</v>
      </c>
      <c r="M102" s="164">
        <f t="shared" si="22"/>
        <v>0</v>
      </c>
      <c r="N102" s="164">
        <f t="shared" si="20"/>
        <v>6652.9974712268986</v>
      </c>
      <c r="O102" s="164">
        <f t="shared" si="12"/>
        <v>53347.002528773097</v>
      </c>
      <c r="P102" s="164">
        <f t="shared" si="13"/>
        <v>6652.9974712268986</v>
      </c>
      <c r="Q102" s="164">
        <f t="shared" si="14"/>
        <v>0</v>
      </c>
      <c r="R102" s="164">
        <f t="shared" si="23"/>
        <v>0</v>
      </c>
      <c r="S102" s="164">
        <f t="shared" si="15"/>
        <v>738444.24099212117</v>
      </c>
      <c r="T102" s="164">
        <f t="shared" si="16"/>
        <v>0</v>
      </c>
    </row>
    <row r="103" spans="2:20" x14ac:dyDescent="0.2">
      <c r="B103" s="171"/>
      <c r="D103" s="171"/>
      <c r="F103" s="158">
        <v>92</v>
      </c>
      <c r="G103" s="249">
        <f t="shared" si="17"/>
        <v>46446</v>
      </c>
      <c r="H103" s="158">
        <f t="shared" si="21"/>
        <v>28</v>
      </c>
      <c r="I103" s="254">
        <f>VLOOKUP(G103,'Прогноз переменной ставки'!$B$5:$E$304,4,1)</f>
        <v>9.9000000000000005E-2</v>
      </c>
      <c r="J103" s="164">
        <f t="shared" si="18"/>
        <v>59999.999999999993</v>
      </c>
      <c r="K103" s="164">
        <f t="shared" si="19"/>
        <v>738444.24099212117</v>
      </c>
      <c r="L103" s="164">
        <f t="shared" si="22"/>
        <v>738444.24099212117</v>
      </c>
      <c r="M103" s="164">
        <f t="shared" si="22"/>
        <v>0</v>
      </c>
      <c r="N103" s="164">
        <f t="shared" si="20"/>
        <v>5604.2914059689538</v>
      </c>
      <c r="O103" s="164">
        <f t="shared" si="12"/>
        <v>54395.708594031035</v>
      </c>
      <c r="P103" s="164">
        <f t="shared" si="13"/>
        <v>5604.2914059689538</v>
      </c>
      <c r="Q103" s="164">
        <f t="shared" si="14"/>
        <v>0</v>
      </c>
      <c r="R103" s="164">
        <f t="shared" si="23"/>
        <v>0</v>
      </c>
      <c r="S103" s="164">
        <f t="shared" si="15"/>
        <v>684048.53239809012</v>
      </c>
      <c r="T103" s="164">
        <f t="shared" si="16"/>
        <v>0</v>
      </c>
    </row>
    <row r="104" spans="2:20" x14ac:dyDescent="0.2">
      <c r="B104" s="171"/>
      <c r="D104" s="171"/>
      <c r="F104" s="158">
        <v>93</v>
      </c>
      <c r="G104" s="249">
        <f t="shared" si="17"/>
        <v>46477</v>
      </c>
      <c r="H104" s="158">
        <f t="shared" si="21"/>
        <v>31</v>
      </c>
      <c r="I104" s="254">
        <f>VLOOKUP(G104,'Прогноз переменной ставки'!$B$5:$E$304,4,1)</f>
        <v>9.9000000000000005E-2</v>
      </c>
      <c r="J104" s="164">
        <f t="shared" si="18"/>
        <v>59999.999999999993</v>
      </c>
      <c r="K104" s="164">
        <f t="shared" si="19"/>
        <v>684048.53239809012</v>
      </c>
      <c r="L104" s="164">
        <f t="shared" si="22"/>
        <v>684048.53239809012</v>
      </c>
      <c r="M104" s="164">
        <f t="shared" si="22"/>
        <v>0</v>
      </c>
      <c r="N104" s="164">
        <f t="shared" si="20"/>
        <v>5747.6932126755337</v>
      </c>
      <c r="O104" s="164">
        <f t="shared" si="12"/>
        <v>54252.306787324458</v>
      </c>
      <c r="P104" s="164">
        <f t="shared" si="13"/>
        <v>5747.6932126755337</v>
      </c>
      <c r="Q104" s="164">
        <f t="shared" si="14"/>
        <v>0</v>
      </c>
      <c r="R104" s="164">
        <f t="shared" si="23"/>
        <v>0</v>
      </c>
      <c r="S104" s="164">
        <f t="shared" si="15"/>
        <v>629796.22561076563</v>
      </c>
      <c r="T104" s="164">
        <f t="shared" si="16"/>
        <v>0</v>
      </c>
    </row>
    <row r="105" spans="2:20" x14ac:dyDescent="0.2">
      <c r="B105" s="171"/>
      <c r="D105" s="171"/>
      <c r="F105" s="158">
        <v>94</v>
      </c>
      <c r="G105" s="249">
        <f t="shared" si="17"/>
        <v>46507</v>
      </c>
      <c r="H105" s="158">
        <f t="shared" si="21"/>
        <v>30</v>
      </c>
      <c r="I105" s="254">
        <f>VLOOKUP(G105,'Прогноз переменной ставки'!$B$5:$E$304,4,1)</f>
        <v>9.9000000000000005E-2</v>
      </c>
      <c r="J105" s="164">
        <f t="shared" si="18"/>
        <v>59999.999999999993</v>
      </c>
      <c r="K105" s="164">
        <f t="shared" si="19"/>
        <v>629796.22561076563</v>
      </c>
      <c r="L105" s="164">
        <f t="shared" si="22"/>
        <v>629796.22561076563</v>
      </c>
      <c r="M105" s="164">
        <f t="shared" si="22"/>
        <v>0</v>
      </c>
      <c r="N105" s="164">
        <f t="shared" si="20"/>
        <v>5121.1356333031454</v>
      </c>
      <c r="O105" s="164">
        <f t="shared" si="12"/>
        <v>54878.864366696849</v>
      </c>
      <c r="P105" s="164">
        <f t="shared" si="13"/>
        <v>5121.1356333031454</v>
      </c>
      <c r="Q105" s="164">
        <f t="shared" si="14"/>
        <v>0</v>
      </c>
      <c r="R105" s="164">
        <f t="shared" si="23"/>
        <v>0</v>
      </c>
      <c r="S105" s="164">
        <f t="shared" si="15"/>
        <v>574917.36124406883</v>
      </c>
      <c r="T105" s="164">
        <f t="shared" si="16"/>
        <v>0</v>
      </c>
    </row>
    <row r="106" spans="2:20" x14ac:dyDescent="0.2">
      <c r="B106" s="171"/>
      <c r="D106" s="171"/>
      <c r="F106" s="158">
        <v>95</v>
      </c>
      <c r="G106" s="249">
        <f t="shared" si="17"/>
        <v>46538</v>
      </c>
      <c r="H106" s="158">
        <f t="shared" si="21"/>
        <v>31</v>
      </c>
      <c r="I106" s="254">
        <f>VLOOKUP(G106,'Прогноз переменной ставки'!$B$5:$E$304,4,1)</f>
        <v>9.9000000000000005E-2</v>
      </c>
      <c r="J106" s="164">
        <f t="shared" si="18"/>
        <v>59999.999999999993</v>
      </c>
      <c r="K106" s="164">
        <f t="shared" si="19"/>
        <v>574917.36124406883</v>
      </c>
      <c r="L106" s="164">
        <f t="shared" si="22"/>
        <v>574917.36124406883</v>
      </c>
      <c r="M106" s="164">
        <f t="shared" si="22"/>
        <v>0</v>
      </c>
      <c r="N106" s="164">
        <f t="shared" si="20"/>
        <v>4830.7224686051941</v>
      </c>
      <c r="O106" s="164">
        <f t="shared" si="12"/>
        <v>55169.2775313948</v>
      </c>
      <c r="P106" s="164">
        <f t="shared" si="13"/>
        <v>4830.7224686051941</v>
      </c>
      <c r="Q106" s="164">
        <f t="shared" si="14"/>
        <v>0</v>
      </c>
      <c r="R106" s="164">
        <f t="shared" si="23"/>
        <v>0</v>
      </c>
      <c r="S106" s="164">
        <f t="shared" si="15"/>
        <v>519748.08371267404</v>
      </c>
      <c r="T106" s="164">
        <f t="shared" si="16"/>
        <v>0</v>
      </c>
    </row>
    <row r="107" spans="2:20" x14ac:dyDescent="0.2">
      <c r="B107" s="171"/>
      <c r="D107" s="171"/>
      <c r="F107" s="158">
        <v>96</v>
      </c>
      <c r="G107" s="249">
        <f t="shared" si="17"/>
        <v>46568</v>
      </c>
      <c r="H107" s="158">
        <f t="shared" si="21"/>
        <v>30</v>
      </c>
      <c r="I107" s="254">
        <f>VLOOKUP(G107,'Прогноз переменной ставки'!$B$5:$E$304,4,1)</f>
        <v>9.9000000000000005E-2</v>
      </c>
      <c r="J107" s="164">
        <f t="shared" si="18"/>
        <v>59999.999999999993</v>
      </c>
      <c r="K107" s="164">
        <f t="shared" si="19"/>
        <v>519748.08371267404</v>
      </c>
      <c r="L107" s="164">
        <f t="shared" si="22"/>
        <v>519748.08371267404</v>
      </c>
      <c r="M107" s="164">
        <f t="shared" si="22"/>
        <v>0</v>
      </c>
      <c r="N107" s="164">
        <f t="shared" si="20"/>
        <v>4226.2883193063435</v>
      </c>
      <c r="O107" s="164">
        <f t="shared" si="12"/>
        <v>55773.711680693646</v>
      </c>
      <c r="P107" s="164">
        <f t="shared" si="13"/>
        <v>4226.2883193063435</v>
      </c>
      <c r="Q107" s="164">
        <f t="shared" si="14"/>
        <v>0</v>
      </c>
      <c r="R107" s="164">
        <f t="shared" si="23"/>
        <v>0</v>
      </c>
      <c r="S107" s="164">
        <f t="shared" si="15"/>
        <v>463974.37203198037</v>
      </c>
      <c r="T107" s="164">
        <f t="shared" si="16"/>
        <v>0</v>
      </c>
    </row>
    <row r="108" spans="2:20" x14ac:dyDescent="0.2">
      <c r="B108" s="171"/>
      <c r="D108" s="171"/>
      <c r="F108" s="158">
        <v>97</v>
      </c>
      <c r="G108" s="249">
        <f t="shared" si="17"/>
        <v>46599</v>
      </c>
      <c r="H108" s="158">
        <f t="shared" si="21"/>
        <v>31</v>
      </c>
      <c r="I108" s="254">
        <f>VLOOKUP(G108,'Прогноз переменной ставки'!$B$5:$E$304,4,1)</f>
        <v>9.9000000000000005E-2</v>
      </c>
      <c r="J108" s="164">
        <f t="shared" si="18"/>
        <v>59999.999999999993</v>
      </c>
      <c r="K108" s="164">
        <f t="shared" si="19"/>
        <v>463974.37203198037</v>
      </c>
      <c r="L108" s="164">
        <f t="shared" si="22"/>
        <v>463974.37203198037</v>
      </c>
      <c r="M108" s="164">
        <f t="shared" si="22"/>
        <v>0</v>
      </c>
      <c r="N108" s="164">
        <f t="shared" si="20"/>
        <v>3898.5279884083438</v>
      </c>
      <c r="O108" s="164">
        <f t="shared" si="12"/>
        <v>56101.47201159165</v>
      </c>
      <c r="P108" s="164">
        <f t="shared" si="13"/>
        <v>3898.5279884083438</v>
      </c>
      <c r="Q108" s="164">
        <f t="shared" si="14"/>
        <v>0</v>
      </c>
      <c r="R108" s="164">
        <f t="shared" si="23"/>
        <v>0</v>
      </c>
      <c r="S108" s="164">
        <f t="shared" si="15"/>
        <v>407872.90002038871</v>
      </c>
      <c r="T108" s="164">
        <f t="shared" si="16"/>
        <v>0</v>
      </c>
    </row>
    <row r="109" spans="2:20" x14ac:dyDescent="0.2">
      <c r="B109" s="171"/>
      <c r="D109" s="171"/>
      <c r="F109" s="158">
        <v>98</v>
      </c>
      <c r="G109" s="249">
        <f t="shared" si="17"/>
        <v>46630</v>
      </c>
      <c r="H109" s="158">
        <f t="shared" si="21"/>
        <v>31</v>
      </c>
      <c r="I109" s="254">
        <f>VLOOKUP(G109,'Прогноз переменной ставки'!$B$5:$E$304,4,1)</f>
        <v>9.9000000000000005E-2</v>
      </c>
      <c r="J109" s="164">
        <f t="shared" si="18"/>
        <v>59999.999999999993</v>
      </c>
      <c r="K109" s="164">
        <f t="shared" si="19"/>
        <v>407872.90002038871</v>
      </c>
      <c r="L109" s="164">
        <f t="shared" si="22"/>
        <v>407872.90002038871</v>
      </c>
      <c r="M109" s="164">
        <f t="shared" si="22"/>
        <v>0</v>
      </c>
      <c r="N109" s="164">
        <f t="shared" si="20"/>
        <v>3427.1373857975991</v>
      </c>
      <c r="O109" s="164">
        <f t="shared" si="12"/>
        <v>56572.862614202393</v>
      </c>
      <c r="P109" s="164">
        <f t="shared" si="13"/>
        <v>3427.1373857975991</v>
      </c>
      <c r="Q109" s="164">
        <f t="shared" si="14"/>
        <v>0</v>
      </c>
      <c r="R109" s="164">
        <f t="shared" si="23"/>
        <v>0</v>
      </c>
      <c r="S109" s="164">
        <f t="shared" si="15"/>
        <v>351300.03740618634</v>
      </c>
      <c r="T109" s="164">
        <f t="shared" si="16"/>
        <v>0</v>
      </c>
    </row>
    <row r="110" spans="2:20" x14ac:dyDescent="0.2">
      <c r="B110" s="171"/>
      <c r="D110" s="171"/>
      <c r="F110" s="158">
        <v>99</v>
      </c>
      <c r="G110" s="249">
        <f t="shared" si="17"/>
        <v>46660</v>
      </c>
      <c r="H110" s="158">
        <f t="shared" si="21"/>
        <v>30</v>
      </c>
      <c r="I110" s="254">
        <f>VLOOKUP(G110,'Прогноз переменной ставки'!$B$5:$E$304,4,1)</f>
        <v>9.9000000000000005E-2</v>
      </c>
      <c r="J110" s="164">
        <f t="shared" si="18"/>
        <v>59999.999999999993</v>
      </c>
      <c r="K110" s="164">
        <f t="shared" si="19"/>
        <v>351300.03740618634</v>
      </c>
      <c r="L110" s="164">
        <f t="shared" si="22"/>
        <v>351300.03740618634</v>
      </c>
      <c r="M110" s="164">
        <f t="shared" si="22"/>
        <v>0</v>
      </c>
      <c r="N110" s="164">
        <f t="shared" si="20"/>
        <v>2856.5670392782299</v>
      </c>
      <c r="O110" s="164">
        <f t="shared" si="12"/>
        <v>57143.432960721766</v>
      </c>
      <c r="P110" s="164">
        <f t="shared" si="13"/>
        <v>2856.5670392782299</v>
      </c>
      <c r="Q110" s="164">
        <f t="shared" si="14"/>
        <v>0</v>
      </c>
      <c r="R110" s="164">
        <f t="shared" si="23"/>
        <v>0</v>
      </c>
      <c r="S110" s="164">
        <f t="shared" si="15"/>
        <v>294156.60444546456</v>
      </c>
      <c r="T110" s="164">
        <f t="shared" si="16"/>
        <v>0</v>
      </c>
    </row>
    <row r="111" spans="2:20" x14ac:dyDescent="0.2">
      <c r="B111" s="171"/>
      <c r="D111" s="171"/>
      <c r="F111" s="158">
        <v>100</v>
      </c>
      <c r="G111" s="249">
        <f t="shared" si="17"/>
        <v>46691</v>
      </c>
      <c r="H111" s="158">
        <f t="shared" si="21"/>
        <v>31</v>
      </c>
      <c r="I111" s="254">
        <f>VLOOKUP(G111,'Прогноз переменной ставки'!$B$5:$E$304,4,1)</f>
        <v>9.9000000000000005E-2</v>
      </c>
      <c r="J111" s="164">
        <f t="shared" si="18"/>
        <v>59999.999999999993</v>
      </c>
      <c r="K111" s="164">
        <f t="shared" si="19"/>
        <v>294156.60444546456</v>
      </c>
      <c r="L111" s="164">
        <f t="shared" si="22"/>
        <v>294156.60444546456</v>
      </c>
      <c r="M111" s="164">
        <f t="shared" si="22"/>
        <v>0</v>
      </c>
      <c r="N111" s="164">
        <f t="shared" si="20"/>
        <v>2471.6402985438212</v>
      </c>
      <c r="O111" s="164">
        <f t="shared" si="12"/>
        <v>57528.359701456175</v>
      </c>
      <c r="P111" s="164">
        <f t="shared" si="13"/>
        <v>2471.6402985438212</v>
      </c>
      <c r="Q111" s="164">
        <f t="shared" si="14"/>
        <v>0</v>
      </c>
      <c r="R111" s="164">
        <f t="shared" si="23"/>
        <v>0</v>
      </c>
      <c r="S111" s="164">
        <f t="shared" si="15"/>
        <v>236628.24474400838</v>
      </c>
      <c r="T111" s="164">
        <f t="shared" si="16"/>
        <v>0</v>
      </c>
    </row>
    <row r="112" spans="2:20" x14ac:dyDescent="0.2">
      <c r="B112" s="171"/>
      <c r="D112" s="171"/>
      <c r="F112" s="158">
        <v>101</v>
      </c>
      <c r="G112" s="249">
        <f t="shared" si="17"/>
        <v>46721</v>
      </c>
      <c r="H112" s="158">
        <f t="shared" si="21"/>
        <v>30</v>
      </c>
      <c r="I112" s="254">
        <f>VLOOKUP(G112,'Прогноз переменной ставки'!$B$5:$E$304,4,1)</f>
        <v>9.9000000000000005E-2</v>
      </c>
      <c r="J112" s="164">
        <f t="shared" si="18"/>
        <v>59999.999999999993</v>
      </c>
      <c r="K112" s="164">
        <f t="shared" si="19"/>
        <v>236628.24474400838</v>
      </c>
      <c r="L112" s="164">
        <f t="shared" si="22"/>
        <v>236628.24474400838</v>
      </c>
      <c r="M112" s="164">
        <f t="shared" si="22"/>
        <v>0</v>
      </c>
      <c r="N112" s="164">
        <f t="shared" si="20"/>
        <v>1924.1228936063108</v>
      </c>
      <c r="O112" s="164">
        <f t="shared" si="12"/>
        <v>58075.87710639368</v>
      </c>
      <c r="P112" s="164">
        <f t="shared" si="13"/>
        <v>1924.1228936063108</v>
      </c>
      <c r="Q112" s="164">
        <f t="shared" si="14"/>
        <v>0</v>
      </c>
      <c r="R112" s="164">
        <f t="shared" si="23"/>
        <v>0</v>
      </c>
      <c r="S112" s="164">
        <f t="shared" si="15"/>
        <v>178552.36763761469</v>
      </c>
      <c r="T112" s="164">
        <f t="shared" si="16"/>
        <v>0</v>
      </c>
    </row>
    <row r="113" spans="2:20" x14ac:dyDescent="0.2">
      <c r="B113" s="171"/>
      <c r="D113" s="171"/>
      <c r="F113" s="158">
        <v>102</v>
      </c>
      <c r="G113" s="249">
        <f t="shared" si="17"/>
        <v>46752</v>
      </c>
      <c r="H113" s="158">
        <f t="shared" si="21"/>
        <v>31</v>
      </c>
      <c r="I113" s="254">
        <f>VLOOKUP(G113,'Прогноз переменной ставки'!$B$5:$E$304,4,1)</f>
        <v>9.9000000000000005E-2</v>
      </c>
      <c r="J113" s="164">
        <f t="shared" si="18"/>
        <v>59999.999999999993</v>
      </c>
      <c r="K113" s="164">
        <f t="shared" si="19"/>
        <v>178552.36763761469</v>
      </c>
      <c r="L113" s="164">
        <f t="shared" si="22"/>
        <v>178552.36763761469</v>
      </c>
      <c r="M113" s="164">
        <f t="shared" si="22"/>
        <v>0</v>
      </c>
      <c r="N113" s="164">
        <f t="shared" si="20"/>
        <v>1500.2798529222164</v>
      </c>
      <c r="O113" s="164">
        <f t="shared" si="12"/>
        <v>58499.72014707778</v>
      </c>
      <c r="P113" s="164">
        <f t="shared" si="13"/>
        <v>1500.2798529222164</v>
      </c>
      <c r="Q113" s="164">
        <f t="shared" si="14"/>
        <v>0</v>
      </c>
      <c r="R113" s="164">
        <f t="shared" si="23"/>
        <v>0</v>
      </c>
      <c r="S113" s="164">
        <f t="shared" si="15"/>
        <v>120052.64749053691</v>
      </c>
      <c r="T113" s="164">
        <f t="shared" si="16"/>
        <v>0</v>
      </c>
    </row>
    <row r="114" spans="2:20" x14ac:dyDescent="0.2">
      <c r="B114" s="171"/>
      <c r="D114" s="171"/>
      <c r="F114" s="158">
        <v>103</v>
      </c>
      <c r="G114" s="249">
        <f t="shared" si="17"/>
        <v>46783</v>
      </c>
      <c r="H114" s="158">
        <f t="shared" si="21"/>
        <v>31</v>
      </c>
      <c r="I114" s="254">
        <f>VLOOKUP(G114,'Прогноз переменной ставки'!$B$5:$E$304,4,1)</f>
        <v>9.9000000000000005E-2</v>
      </c>
      <c r="J114" s="164">
        <f t="shared" si="18"/>
        <v>59999.999999999993</v>
      </c>
      <c r="K114" s="164">
        <f t="shared" si="19"/>
        <v>120052.64749053691</v>
      </c>
      <c r="L114" s="164">
        <f t="shared" si="22"/>
        <v>120052.64749053691</v>
      </c>
      <c r="M114" s="164">
        <f t="shared" si="22"/>
        <v>0</v>
      </c>
      <c r="N114" s="164">
        <f t="shared" si="20"/>
        <v>1008.7380565323964</v>
      </c>
      <c r="O114" s="164">
        <f t="shared" si="12"/>
        <v>58991.261943467594</v>
      </c>
      <c r="P114" s="164">
        <f t="shared" si="13"/>
        <v>1008.7380565323964</v>
      </c>
      <c r="Q114" s="164">
        <f t="shared" si="14"/>
        <v>0</v>
      </c>
      <c r="R114" s="164">
        <f t="shared" si="23"/>
        <v>0</v>
      </c>
      <c r="S114" s="164">
        <f t="shared" si="15"/>
        <v>61061.385547069316</v>
      </c>
      <c r="T114" s="164">
        <f t="shared" si="16"/>
        <v>0</v>
      </c>
    </row>
    <row r="115" spans="2:20" x14ac:dyDescent="0.2">
      <c r="B115" s="171"/>
      <c r="D115" s="171"/>
      <c r="F115" s="158">
        <v>104</v>
      </c>
      <c r="G115" s="249">
        <f t="shared" si="17"/>
        <v>46812</v>
      </c>
      <c r="H115" s="158">
        <f t="shared" si="21"/>
        <v>29</v>
      </c>
      <c r="I115" s="254">
        <f>VLOOKUP(G115,'Прогноз переменной ставки'!$B$5:$E$304,4,1)</f>
        <v>9.9000000000000005E-2</v>
      </c>
      <c r="J115" s="164">
        <f t="shared" si="18"/>
        <v>59999.999999999993</v>
      </c>
      <c r="K115" s="164">
        <f t="shared" si="19"/>
        <v>61061.385547069316</v>
      </c>
      <c r="L115" s="164">
        <f t="shared" si="22"/>
        <v>61061.385547069316</v>
      </c>
      <c r="M115" s="164">
        <f t="shared" si="22"/>
        <v>0</v>
      </c>
      <c r="N115" s="164">
        <f t="shared" si="20"/>
        <v>479.96505928990018</v>
      </c>
      <c r="O115" s="164">
        <f t="shared" si="12"/>
        <v>59520.034940710095</v>
      </c>
      <c r="P115" s="164">
        <f t="shared" si="13"/>
        <v>479.96505928990018</v>
      </c>
      <c r="Q115" s="164">
        <f t="shared" si="14"/>
        <v>0</v>
      </c>
      <c r="R115" s="164">
        <f t="shared" si="23"/>
        <v>0</v>
      </c>
      <c r="S115" s="164">
        <f t="shared" si="15"/>
        <v>1541.3506063592213</v>
      </c>
      <c r="T115" s="164">
        <f t="shared" si="16"/>
        <v>0</v>
      </c>
    </row>
    <row r="116" spans="2:20" x14ac:dyDescent="0.2">
      <c r="B116" s="171"/>
      <c r="D116" s="171"/>
      <c r="F116" s="158">
        <v>105</v>
      </c>
      <c r="G116" s="249">
        <f t="shared" si="17"/>
        <v>46843</v>
      </c>
      <c r="H116" s="158">
        <f t="shared" si="21"/>
        <v>31</v>
      </c>
      <c r="I116" s="254">
        <f>VLOOKUP(G116,'Прогноз переменной ставки'!$B$5:$E$304,4,1)</f>
        <v>9.9000000000000005E-2</v>
      </c>
      <c r="J116" s="164">
        <f t="shared" si="18"/>
        <v>1554.3017494418125</v>
      </c>
      <c r="K116" s="164">
        <f t="shared" si="19"/>
        <v>1541.3506063592213</v>
      </c>
      <c r="L116" s="164">
        <f t="shared" si="22"/>
        <v>1541.3506063592213</v>
      </c>
      <c r="M116" s="164">
        <f t="shared" si="22"/>
        <v>0</v>
      </c>
      <c r="N116" s="164">
        <f t="shared" si="20"/>
        <v>12.951143082591239</v>
      </c>
      <c r="O116" s="164">
        <f t="shared" si="12"/>
        <v>1541.3506063592213</v>
      </c>
      <c r="P116" s="164">
        <f t="shared" si="13"/>
        <v>12.951143082591239</v>
      </c>
      <c r="Q116" s="164">
        <f t="shared" si="14"/>
        <v>0</v>
      </c>
      <c r="R116" s="164">
        <f t="shared" si="23"/>
        <v>0</v>
      </c>
      <c r="S116" s="164">
        <f t="shared" si="15"/>
        <v>0</v>
      </c>
      <c r="T116" s="164">
        <f t="shared" si="16"/>
        <v>0</v>
      </c>
    </row>
    <row r="117" spans="2:20" x14ac:dyDescent="0.2">
      <c r="B117" s="171"/>
      <c r="D117" s="171"/>
      <c r="F117" s="158">
        <v>106</v>
      </c>
      <c r="G117" s="249">
        <f t="shared" si="17"/>
        <v>46873</v>
      </c>
      <c r="H117" s="158">
        <f t="shared" si="21"/>
        <v>30</v>
      </c>
      <c r="I117" s="254">
        <f>VLOOKUP(G117,'Прогноз переменной ставки'!$B$5:$E$304,4,1)</f>
        <v>9.9000000000000005E-2</v>
      </c>
      <c r="J117" s="164">
        <f t="shared" si="18"/>
        <v>0</v>
      </c>
      <c r="K117" s="164">
        <f t="shared" si="19"/>
        <v>0</v>
      </c>
      <c r="L117" s="164">
        <f t="shared" si="22"/>
        <v>0</v>
      </c>
      <c r="M117" s="164">
        <f t="shared" si="22"/>
        <v>0</v>
      </c>
      <c r="N117" s="164">
        <f t="shared" si="20"/>
        <v>0</v>
      </c>
      <c r="O117" s="164">
        <f t="shared" si="12"/>
        <v>0</v>
      </c>
      <c r="P117" s="164">
        <f t="shared" si="13"/>
        <v>0</v>
      </c>
      <c r="Q117" s="164">
        <f t="shared" si="14"/>
        <v>0</v>
      </c>
      <c r="R117" s="164">
        <f t="shared" si="23"/>
        <v>0</v>
      </c>
      <c r="S117" s="164">
        <f t="shared" si="15"/>
        <v>0</v>
      </c>
      <c r="T117" s="164">
        <f t="shared" si="16"/>
        <v>0</v>
      </c>
    </row>
    <row r="118" spans="2:20" x14ac:dyDescent="0.2">
      <c r="B118" s="171"/>
      <c r="D118" s="171"/>
      <c r="F118" s="158">
        <v>107</v>
      </c>
      <c r="G118" s="249">
        <f t="shared" si="17"/>
        <v>46904</v>
      </c>
      <c r="H118" s="158">
        <f t="shared" si="21"/>
        <v>31</v>
      </c>
      <c r="I118" s="254">
        <f>VLOOKUP(G118,'Прогноз переменной ставки'!$B$5:$E$304,4,1)</f>
        <v>9.9000000000000005E-2</v>
      </c>
      <c r="J118" s="164">
        <f t="shared" si="18"/>
        <v>0</v>
      </c>
      <c r="K118" s="164">
        <f t="shared" si="19"/>
        <v>0</v>
      </c>
      <c r="L118" s="164">
        <f t="shared" si="22"/>
        <v>0</v>
      </c>
      <c r="M118" s="164">
        <f t="shared" si="22"/>
        <v>0</v>
      </c>
      <c r="N118" s="164">
        <f t="shared" si="20"/>
        <v>0</v>
      </c>
      <c r="O118" s="164">
        <f t="shared" si="12"/>
        <v>0</v>
      </c>
      <c r="P118" s="164">
        <f t="shared" si="13"/>
        <v>0</v>
      </c>
      <c r="Q118" s="164">
        <f t="shared" si="14"/>
        <v>0</v>
      </c>
      <c r="R118" s="164">
        <f t="shared" si="23"/>
        <v>0</v>
      </c>
      <c r="S118" s="164">
        <f t="shared" si="15"/>
        <v>0</v>
      </c>
      <c r="T118" s="164">
        <f t="shared" si="16"/>
        <v>0</v>
      </c>
    </row>
    <row r="119" spans="2:20" x14ac:dyDescent="0.2">
      <c r="B119" s="171"/>
      <c r="D119" s="171"/>
      <c r="F119" s="158">
        <v>108</v>
      </c>
      <c r="G119" s="249">
        <f t="shared" si="17"/>
        <v>46934</v>
      </c>
      <c r="H119" s="158">
        <f t="shared" si="21"/>
        <v>30</v>
      </c>
      <c r="I119" s="254">
        <f>VLOOKUP(G119,'Прогноз переменной ставки'!$B$5:$E$304,4,1)</f>
        <v>9.9000000000000005E-2</v>
      </c>
      <c r="J119" s="164">
        <f t="shared" si="18"/>
        <v>0</v>
      </c>
      <c r="K119" s="164">
        <f t="shared" si="19"/>
        <v>0</v>
      </c>
      <c r="L119" s="164">
        <f t="shared" si="22"/>
        <v>0</v>
      </c>
      <c r="M119" s="164">
        <f t="shared" si="22"/>
        <v>0</v>
      </c>
      <c r="N119" s="164">
        <f t="shared" si="20"/>
        <v>0</v>
      </c>
      <c r="O119" s="164">
        <f t="shared" si="12"/>
        <v>0</v>
      </c>
      <c r="P119" s="164">
        <f t="shared" si="13"/>
        <v>0</v>
      </c>
      <c r="Q119" s="164">
        <f t="shared" si="14"/>
        <v>0</v>
      </c>
      <c r="R119" s="164">
        <f t="shared" si="23"/>
        <v>0</v>
      </c>
      <c r="S119" s="164">
        <f t="shared" si="15"/>
        <v>0</v>
      </c>
      <c r="T119" s="164">
        <f t="shared" si="16"/>
        <v>0</v>
      </c>
    </row>
    <row r="120" spans="2:20" x14ac:dyDescent="0.2">
      <c r="B120" s="171"/>
      <c r="D120" s="171"/>
      <c r="F120" s="158">
        <v>109</v>
      </c>
      <c r="G120" s="249">
        <f t="shared" si="17"/>
        <v>46965</v>
      </c>
      <c r="H120" s="158">
        <f t="shared" si="21"/>
        <v>31</v>
      </c>
      <c r="I120" s="254">
        <f>VLOOKUP(G120,'Прогноз переменной ставки'!$B$5:$E$304,4,1)</f>
        <v>9.9000000000000005E-2</v>
      </c>
      <c r="J120" s="164">
        <f t="shared" si="18"/>
        <v>0</v>
      </c>
      <c r="K120" s="164">
        <f t="shared" si="19"/>
        <v>0</v>
      </c>
      <c r="L120" s="164">
        <f t="shared" si="22"/>
        <v>0</v>
      </c>
      <c r="M120" s="164">
        <f t="shared" si="22"/>
        <v>0</v>
      </c>
      <c r="N120" s="164">
        <f t="shared" si="20"/>
        <v>0</v>
      </c>
      <c r="O120" s="164">
        <f t="shared" si="12"/>
        <v>0</v>
      </c>
      <c r="P120" s="164">
        <f t="shared" si="13"/>
        <v>0</v>
      </c>
      <c r="Q120" s="164">
        <f t="shared" si="14"/>
        <v>0</v>
      </c>
      <c r="R120" s="164">
        <f t="shared" si="23"/>
        <v>0</v>
      </c>
      <c r="S120" s="164">
        <f t="shared" si="15"/>
        <v>0</v>
      </c>
      <c r="T120" s="164">
        <f t="shared" si="16"/>
        <v>0</v>
      </c>
    </row>
    <row r="121" spans="2:20" x14ac:dyDescent="0.2">
      <c r="B121" s="171"/>
      <c r="D121" s="171"/>
      <c r="F121" s="158">
        <v>110</v>
      </c>
      <c r="G121" s="249">
        <f t="shared" si="17"/>
        <v>46996</v>
      </c>
      <c r="H121" s="158">
        <f t="shared" si="21"/>
        <v>31</v>
      </c>
      <c r="I121" s="254">
        <f>VLOOKUP(G121,'Прогноз переменной ставки'!$B$5:$E$304,4,1)</f>
        <v>9.9000000000000005E-2</v>
      </c>
      <c r="J121" s="164">
        <f t="shared" si="18"/>
        <v>0</v>
      </c>
      <c r="K121" s="164">
        <f t="shared" si="19"/>
        <v>0</v>
      </c>
      <c r="L121" s="164">
        <f t="shared" si="22"/>
        <v>0</v>
      </c>
      <c r="M121" s="164">
        <f t="shared" si="22"/>
        <v>0</v>
      </c>
      <c r="N121" s="164">
        <f t="shared" si="20"/>
        <v>0</v>
      </c>
      <c r="O121" s="164">
        <f t="shared" si="12"/>
        <v>0</v>
      </c>
      <c r="P121" s="164">
        <f t="shared" si="13"/>
        <v>0</v>
      </c>
      <c r="Q121" s="164">
        <f t="shared" si="14"/>
        <v>0</v>
      </c>
      <c r="R121" s="164">
        <f t="shared" si="23"/>
        <v>0</v>
      </c>
      <c r="S121" s="164">
        <f t="shared" si="15"/>
        <v>0</v>
      </c>
      <c r="T121" s="164">
        <f t="shared" si="16"/>
        <v>0</v>
      </c>
    </row>
    <row r="122" spans="2:20" x14ac:dyDescent="0.2">
      <c r="B122" s="171"/>
      <c r="D122" s="171"/>
      <c r="F122" s="158">
        <v>111</v>
      </c>
      <c r="G122" s="249">
        <f t="shared" si="17"/>
        <v>47026</v>
      </c>
      <c r="H122" s="158">
        <f t="shared" si="21"/>
        <v>30</v>
      </c>
      <c r="I122" s="254">
        <f>VLOOKUP(G122,'Прогноз переменной ставки'!$B$5:$E$304,4,1)</f>
        <v>9.9000000000000005E-2</v>
      </c>
      <c r="J122" s="164">
        <f t="shared" si="18"/>
        <v>0</v>
      </c>
      <c r="K122" s="164">
        <f t="shared" si="19"/>
        <v>0</v>
      </c>
      <c r="L122" s="164">
        <f t="shared" si="22"/>
        <v>0</v>
      </c>
      <c r="M122" s="164">
        <f t="shared" si="22"/>
        <v>0</v>
      </c>
      <c r="N122" s="164">
        <f t="shared" si="20"/>
        <v>0</v>
      </c>
      <c r="O122" s="164">
        <f t="shared" si="12"/>
        <v>0</v>
      </c>
      <c r="P122" s="164">
        <f t="shared" si="13"/>
        <v>0</v>
      </c>
      <c r="Q122" s="164">
        <f t="shared" si="14"/>
        <v>0</v>
      </c>
      <c r="R122" s="164">
        <f t="shared" si="23"/>
        <v>0</v>
      </c>
      <c r="S122" s="164">
        <f t="shared" si="15"/>
        <v>0</v>
      </c>
      <c r="T122" s="164">
        <f t="shared" si="16"/>
        <v>0</v>
      </c>
    </row>
    <row r="123" spans="2:20" x14ac:dyDescent="0.2">
      <c r="B123" s="171"/>
      <c r="D123" s="171"/>
      <c r="F123" s="158">
        <v>112</v>
      </c>
      <c r="G123" s="249">
        <f t="shared" si="17"/>
        <v>47057</v>
      </c>
      <c r="H123" s="158">
        <f t="shared" si="21"/>
        <v>31</v>
      </c>
      <c r="I123" s="254">
        <f>VLOOKUP(G123,'Прогноз переменной ставки'!$B$5:$E$304,4,1)</f>
        <v>9.9000000000000005E-2</v>
      </c>
      <c r="J123" s="164">
        <f t="shared" si="18"/>
        <v>0</v>
      </c>
      <c r="K123" s="164">
        <f t="shared" si="19"/>
        <v>0</v>
      </c>
      <c r="L123" s="164">
        <f t="shared" si="22"/>
        <v>0</v>
      </c>
      <c r="M123" s="164">
        <f t="shared" si="22"/>
        <v>0</v>
      </c>
      <c r="N123" s="164">
        <f t="shared" si="20"/>
        <v>0</v>
      </c>
      <c r="O123" s="164">
        <f t="shared" si="12"/>
        <v>0</v>
      </c>
      <c r="P123" s="164">
        <f t="shared" si="13"/>
        <v>0</v>
      </c>
      <c r="Q123" s="164">
        <f t="shared" si="14"/>
        <v>0</v>
      </c>
      <c r="R123" s="164">
        <f t="shared" si="23"/>
        <v>0</v>
      </c>
      <c r="S123" s="164">
        <f t="shared" si="15"/>
        <v>0</v>
      </c>
      <c r="T123" s="164">
        <f t="shared" si="16"/>
        <v>0</v>
      </c>
    </row>
    <row r="124" spans="2:20" x14ac:dyDescent="0.2">
      <c r="B124" s="171"/>
      <c r="D124" s="171"/>
      <c r="F124" s="158">
        <v>113</v>
      </c>
      <c r="G124" s="249">
        <f t="shared" si="17"/>
        <v>47087</v>
      </c>
      <c r="H124" s="158">
        <f t="shared" si="21"/>
        <v>30</v>
      </c>
      <c r="I124" s="254">
        <f>VLOOKUP(G124,'Прогноз переменной ставки'!$B$5:$E$304,4,1)</f>
        <v>9.9000000000000005E-2</v>
      </c>
      <c r="J124" s="164">
        <f t="shared" si="18"/>
        <v>0</v>
      </c>
      <c r="K124" s="164">
        <f t="shared" si="19"/>
        <v>0</v>
      </c>
      <c r="L124" s="164">
        <f t="shared" si="22"/>
        <v>0</v>
      </c>
      <c r="M124" s="164">
        <f t="shared" si="22"/>
        <v>0</v>
      </c>
      <c r="N124" s="164">
        <f t="shared" si="20"/>
        <v>0</v>
      </c>
      <c r="O124" s="164">
        <f t="shared" si="12"/>
        <v>0</v>
      </c>
      <c r="P124" s="164">
        <f t="shared" si="13"/>
        <v>0</v>
      </c>
      <c r="Q124" s="164">
        <f t="shared" si="14"/>
        <v>0</v>
      </c>
      <c r="R124" s="164">
        <f t="shared" si="23"/>
        <v>0</v>
      </c>
      <c r="S124" s="164">
        <f t="shared" si="15"/>
        <v>0</v>
      </c>
      <c r="T124" s="164">
        <f t="shared" si="16"/>
        <v>0</v>
      </c>
    </row>
    <row r="125" spans="2:20" x14ac:dyDescent="0.2">
      <c r="B125" s="171"/>
      <c r="D125" s="171"/>
      <c r="F125" s="158">
        <v>114</v>
      </c>
      <c r="G125" s="249">
        <f t="shared" si="17"/>
        <v>47118</v>
      </c>
      <c r="H125" s="158">
        <f t="shared" si="21"/>
        <v>31</v>
      </c>
      <c r="I125" s="254">
        <f>VLOOKUP(G125,'Прогноз переменной ставки'!$B$5:$E$304,4,1)</f>
        <v>9.9000000000000005E-2</v>
      </c>
      <c r="J125" s="164">
        <f t="shared" si="18"/>
        <v>0</v>
      </c>
      <c r="K125" s="164">
        <f t="shared" si="19"/>
        <v>0</v>
      </c>
      <c r="L125" s="164">
        <f t="shared" si="22"/>
        <v>0</v>
      </c>
      <c r="M125" s="164">
        <f t="shared" si="22"/>
        <v>0</v>
      </c>
      <c r="N125" s="164">
        <f t="shared" si="20"/>
        <v>0</v>
      </c>
      <c r="O125" s="164">
        <f t="shared" si="12"/>
        <v>0</v>
      </c>
      <c r="P125" s="164">
        <f t="shared" si="13"/>
        <v>0</v>
      </c>
      <c r="Q125" s="164">
        <f t="shared" si="14"/>
        <v>0</v>
      </c>
      <c r="R125" s="164">
        <f t="shared" si="23"/>
        <v>0</v>
      </c>
      <c r="S125" s="164">
        <f t="shared" si="15"/>
        <v>0</v>
      </c>
      <c r="T125" s="164">
        <f t="shared" si="16"/>
        <v>0</v>
      </c>
    </row>
    <row r="126" spans="2:20" x14ac:dyDescent="0.2">
      <c r="B126" s="171"/>
      <c r="D126" s="171"/>
      <c r="F126" s="158">
        <v>115</v>
      </c>
      <c r="G126" s="249">
        <f t="shared" si="17"/>
        <v>47149</v>
      </c>
      <c r="H126" s="158">
        <f t="shared" si="21"/>
        <v>31</v>
      </c>
      <c r="I126" s="254">
        <f>VLOOKUP(G126,'Прогноз переменной ставки'!$B$5:$E$304,4,1)</f>
        <v>9.9000000000000005E-2</v>
      </c>
      <c r="J126" s="164">
        <f t="shared" si="18"/>
        <v>0</v>
      </c>
      <c r="K126" s="164">
        <f t="shared" si="19"/>
        <v>0</v>
      </c>
      <c r="L126" s="164">
        <f t="shared" si="22"/>
        <v>0</v>
      </c>
      <c r="M126" s="164">
        <f t="shared" si="22"/>
        <v>0</v>
      </c>
      <c r="N126" s="164">
        <f t="shared" si="20"/>
        <v>0</v>
      </c>
      <c r="O126" s="164">
        <f t="shared" si="12"/>
        <v>0</v>
      </c>
      <c r="P126" s="164">
        <f t="shared" si="13"/>
        <v>0</v>
      </c>
      <c r="Q126" s="164">
        <f t="shared" si="14"/>
        <v>0</v>
      </c>
      <c r="R126" s="164">
        <f t="shared" si="23"/>
        <v>0</v>
      </c>
      <c r="S126" s="164">
        <f t="shared" si="15"/>
        <v>0</v>
      </c>
      <c r="T126" s="164">
        <f t="shared" si="16"/>
        <v>0</v>
      </c>
    </row>
    <row r="127" spans="2:20" x14ac:dyDescent="0.2">
      <c r="B127" s="171"/>
      <c r="D127" s="171"/>
      <c r="F127" s="158">
        <v>116</v>
      </c>
      <c r="G127" s="249">
        <f t="shared" si="17"/>
        <v>47177</v>
      </c>
      <c r="H127" s="158">
        <f t="shared" si="21"/>
        <v>28</v>
      </c>
      <c r="I127" s="254">
        <f>VLOOKUP(G127,'Прогноз переменной ставки'!$B$5:$E$304,4,1)</f>
        <v>9.9000000000000005E-2</v>
      </c>
      <c r="J127" s="164">
        <f t="shared" si="18"/>
        <v>0</v>
      </c>
      <c r="K127" s="164">
        <f t="shared" si="19"/>
        <v>0</v>
      </c>
      <c r="L127" s="164">
        <f t="shared" si="22"/>
        <v>0</v>
      </c>
      <c r="M127" s="164">
        <f t="shared" si="22"/>
        <v>0</v>
      </c>
      <c r="N127" s="164">
        <f t="shared" si="20"/>
        <v>0</v>
      </c>
      <c r="O127" s="164">
        <f t="shared" si="12"/>
        <v>0</v>
      </c>
      <c r="P127" s="164">
        <f t="shared" si="13"/>
        <v>0</v>
      </c>
      <c r="Q127" s="164">
        <f t="shared" si="14"/>
        <v>0</v>
      </c>
      <c r="R127" s="164">
        <f t="shared" si="23"/>
        <v>0</v>
      </c>
      <c r="S127" s="164">
        <f t="shared" si="15"/>
        <v>0</v>
      </c>
      <c r="T127" s="164">
        <f t="shared" si="16"/>
        <v>0</v>
      </c>
    </row>
    <row r="128" spans="2:20" x14ac:dyDescent="0.2">
      <c r="B128" s="171"/>
      <c r="D128" s="171"/>
      <c r="F128" s="158">
        <v>117</v>
      </c>
      <c r="G128" s="249">
        <f t="shared" si="17"/>
        <v>47208</v>
      </c>
      <c r="H128" s="158">
        <f t="shared" si="21"/>
        <v>31</v>
      </c>
      <c r="I128" s="254">
        <f>VLOOKUP(G128,'Прогноз переменной ставки'!$B$5:$E$304,4,1)</f>
        <v>9.9000000000000005E-2</v>
      </c>
      <c r="J128" s="164">
        <f t="shared" si="18"/>
        <v>0</v>
      </c>
      <c r="K128" s="164">
        <f t="shared" si="19"/>
        <v>0</v>
      </c>
      <c r="L128" s="164">
        <f t="shared" si="22"/>
        <v>0</v>
      </c>
      <c r="M128" s="164">
        <f t="shared" si="22"/>
        <v>0</v>
      </c>
      <c r="N128" s="164">
        <f t="shared" si="20"/>
        <v>0</v>
      </c>
      <c r="O128" s="164">
        <f t="shared" si="12"/>
        <v>0</v>
      </c>
      <c r="P128" s="164">
        <f t="shared" si="13"/>
        <v>0</v>
      </c>
      <c r="Q128" s="164">
        <f t="shared" si="14"/>
        <v>0</v>
      </c>
      <c r="R128" s="164">
        <f t="shared" si="23"/>
        <v>0</v>
      </c>
      <c r="S128" s="164">
        <f t="shared" si="15"/>
        <v>0</v>
      </c>
      <c r="T128" s="164">
        <f t="shared" si="16"/>
        <v>0</v>
      </c>
    </row>
    <row r="129" spans="2:20" x14ac:dyDescent="0.2">
      <c r="B129" s="171"/>
      <c r="D129" s="171"/>
      <c r="F129" s="158">
        <v>118</v>
      </c>
      <c r="G129" s="249">
        <f t="shared" si="17"/>
        <v>47238</v>
      </c>
      <c r="H129" s="158">
        <f t="shared" si="21"/>
        <v>30</v>
      </c>
      <c r="I129" s="254">
        <f>VLOOKUP(G129,'Прогноз переменной ставки'!$B$5:$E$304,4,1)</f>
        <v>9.9000000000000005E-2</v>
      </c>
      <c r="J129" s="164">
        <f t="shared" si="18"/>
        <v>0</v>
      </c>
      <c r="K129" s="164">
        <f t="shared" si="19"/>
        <v>0</v>
      </c>
      <c r="L129" s="164">
        <f t="shared" si="22"/>
        <v>0</v>
      </c>
      <c r="M129" s="164">
        <f t="shared" si="22"/>
        <v>0</v>
      </c>
      <c r="N129" s="164">
        <f t="shared" si="20"/>
        <v>0</v>
      </c>
      <c r="O129" s="164">
        <f t="shared" si="12"/>
        <v>0</v>
      </c>
      <c r="P129" s="164">
        <f t="shared" si="13"/>
        <v>0</v>
      </c>
      <c r="Q129" s="164">
        <f t="shared" si="14"/>
        <v>0</v>
      </c>
      <c r="R129" s="164">
        <f t="shared" si="23"/>
        <v>0</v>
      </c>
      <c r="S129" s="164">
        <f t="shared" si="15"/>
        <v>0</v>
      </c>
      <c r="T129" s="164">
        <f t="shared" si="16"/>
        <v>0</v>
      </c>
    </row>
    <row r="130" spans="2:20" x14ac:dyDescent="0.2">
      <c r="B130" s="171"/>
      <c r="D130" s="171"/>
      <c r="F130" s="158">
        <v>119</v>
      </c>
      <c r="G130" s="249">
        <f t="shared" si="17"/>
        <v>47269</v>
      </c>
      <c r="H130" s="158">
        <f t="shared" si="21"/>
        <v>31</v>
      </c>
      <c r="I130" s="254">
        <f>VLOOKUP(G130,'Прогноз переменной ставки'!$B$5:$E$304,4,1)</f>
        <v>9.9000000000000005E-2</v>
      </c>
      <c r="J130" s="164">
        <f t="shared" si="18"/>
        <v>0</v>
      </c>
      <c r="K130" s="164">
        <f t="shared" si="19"/>
        <v>0</v>
      </c>
      <c r="L130" s="164">
        <f t="shared" si="22"/>
        <v>0</v>
      </c>
      <c r="M130" s="164">
        <f t="shared" si="22"/>
        <v>0</v>
      </c>
      <c r="N130" s="164">
        <f t="shared" si="20"/>
        <v>0</v>
      </c>
      <c r="O130" s="164">
        <f t="shared" si="12"/>
        <v>0</v>
      </c>
      <c r="P130" s="164">
        <f t="shared" si="13"/>
        <v>0</v>
      </c>
      <c r="Q130" s="164">
        <f t="shared" si="14"/>
        <v>0</v>
      </c>
      <c r="R130" s="164">
        <f t="shared" si="23"/>
        <v>0</v>
      </c>
      <c r="S130" s="164">
        <f t="shared" si="15"/>
        <v>0</v>
      </c>
      <c r="T130" s="164">
        <f t="shared" si="16"/>
        <v>0</v>
      </c>
    </row>
    <row r="131" spans="2:20" x14ac:dyDescent="0.2">
      <c r="B131" s="171"/>
      <c r="D131" s="171"/>
      <c r="F131" s="158">
        <v>120</v>
      </c>
      <c r="G131" s="249">
        <f t="shared" si="17"/>
        <v>47299</v>
      </c>
      <c r="H131" s="158">
        <f t="shared" si="21"/>
        <v>30</v>
      </c>
      <c r="I131" s="254">
        <f>VLOOKUP(G131,'Прогноз переменной ставки'!$B$5:$E$304,4,1)</f>
        <v>9.9000000000000005E-2</v>
      </c>
      <c r="J131" s="164">
        <f t="shared" si="18"/>
        <v>0</v>
      </c>
      <c r="K131" s="164">
        <f t="shared" si="19"/>
        <v>0</v>
      </c>
      <c r="L131" s="164">
        <f t="shared" si="22"/>
        <v>0</v>
      </c>
      <c r="M131" s="164">
        <f t="shared" si="22"/>
        <v>0</v>
      </c>
      <c r="N131" s="164">
        <f t="shared" si="20"/>
        <v>0</v>
      </c>
      <c r="O131" s="164">
        <f t="shared" si="12"/>
        <v>0</v>
      </c>
      <c r="P131" s="164">
        <f t="shared" si="13"/>
        <v>0</v>
      </c>
      <c r="Q131" s="164">
        <f t="shared" si="14"/>
        <v>0</v>
      </c>
      <c r="R131" s="164">
        <f t="shared" si="23"/>
        <v>0</v>
      </c>
      <c r="S131" s="164">
        <f t="shared" si="15"/>
        <v>0</v>
      </c>
      <c r="T131" s="164">
        <f t="shared" si="16"/>
        <v>0</v>
      </c>
    </row>
    <row r="132" spans="2:20" x14ac:dyDescent="0.2">
      <c r="B132" s="171"/>
      <c r="D132" s="171"/>
      <c r="F132" s="158">
        <v>121</v>
      </c>
      <c r="G132" s="249">
        <f t="shared" si="17"/>
        <v>47330</v>
      </c>
      <c r="H132" s="158">
        <f t="shared" si="21"/>
        <v>31</v>
      </c>
      <c r="I132" s="254">
        <f>VLOOKUP(G132,'Прогноз переменной ставки'!$B$5:$E$304,4,1)</f>
        <v>9.9000000000000005E-2</v>
      </c>
      <c r="J132" s="164">
        <f t="shared" si="18"/>
        <v>0</v>
      </c>
      <c r="K132" s="164">
        <f t="shared" si="19"/>
        <v>0</v>
      </c>
      <c r="L132" s="164">
        <f t="shared" si="22"/>
        <v>0</v>
      </c>
      <c r="M132" s="164">
        <f t="shared" si="22"/>
        <v>0</v>
      </c>
      <c r="N132" s="164">
        <f t="shared" si="20"/>
        <v>0</v>
      </c>
      <c r="O132" s="164">
        <f t="shared" si="12"/>
        <v>0</v>
      </c>
      <c r="P132" s="164">
        <f t="shared" si="13"/>
        <v>0</v>
      </c>
      <c r="Q132" s="164">
        <f t="shared" si="14"/>
        <v>0</v>
      </c>
      <c r="R132" s="164">
        <f t="shared" si="23"/>
        <v>0</v>
      </c>
      <c r="S132" s="164">
        <f t="shared" si="15"/>
        <v>0</v>
      </c>
      <c r="T132" s="164">
        <f t="shared" si="16"/>
        <v>0</v>
      </c>
    </row>
    <row r="133" spans="2:20" x14ac:dyDescent="0.2">
      <c r="B133" s="171"/>
      <c r="D133" s="171"/>
      <c r="F133" s="158">
        <v>122</v>
      </c>
      <c r="G133" s="249">
        <f t="shared" si="17"/>
        <v>47361</v>
      </c>
      <c r="H133" s="158">
        <f t="shared" si="21"/>
        <v>31</v>
      </c>
      <c r="I133" s="254">
        <f>VLOOKUP(G133,'Прогноз переменной ставки'!$B$5:$E$304,4,1)</f>
        <v>9.9000000000000005E-2</v>
      </c>
      <c r="J133" s="164">
        <f t="shared" si="18"/>
        <v>0</v>
      </c>
      <c r="K133" s="164">
        <f t="shared" si="19"/>
        <v>0</v>
      </c>
      <c r="L133" s="164">
        <f t="shared" si="22"/>
        <v>0</v>
      </c>
      <c r="M133" s="164">
        <f t="shared" si="22"/>
        <v>0</v>
      </c>
      <c r="N133" s="164">
        <f t="shared" si="20"/>
        <v>0</v>
      </c>
      <c r="O133" s="164">
        <f t="shared" si="12"/>
        <v>0</v>
      </c>
      <c r="P133" s="164">
        <f t="shared" si="13"/>
        <v>0</v>
      </c>
      <c r="Q133" s="164">
        <f t="shared" si="14"/>
        <v>0</v>
      </c>
      <c r="R133" s="164">
        <f t="shared" si="23"/>
        <v>0</v>
      </c>
      <c r="S133" s="164">
        <f t="shared" si="15"/>
        <v>0</v>
      </c>
      <c r="T133" s="164">
        <f t="shared" si="16"/>
        <v>0</v>
      </c>
    </row>
    <row r="134" spans="2:20" x14ac:dyDescent="0.2">
      <c r="B134" s="171"/>
      <c r="D134" s="171"/>
      <c r="F134" s="158">
        <v>123</v>
      </c>
      <c r="G134" s="249">
        <f t="shared" si="17"/>
        <v>47391</v>
      </c>
      <c r="H134" s="158">
        <f t="shared" si="21"/>
        <v>30</v>
      </c>
      <c r="I134" s="254">
        <f>VLOOKUP(G134,'Прогноз переменной ставки'!$B$5:$E$304,4,1)</f>
        <v>9.9000000000000005E-2</v>
      </c>
      <c r="J134" s="164">
        <f t="shared" si="18"/>
        <v>0</v>
      </c>
      <c r="K134" s="164">
        <f t="shared" si="19"/>
        <v>0</v>
      </c>
      <c r="L134" s="164">
        <f t="shared" si="22"/>
        <v>0</v>
      </c>
      <c r="M134" s="164">
        <f t="shared" si="22"/>
        <v>0</v>
      </c>
      <c r="N134" s="164">
        <f t="shared" si="20"/>
        <v>0</v>
      </c>
      <c r="O134" s="164">
        <f t="shared" si="12"/>
        <v>0</v>
      </c>
      <c r="P134" s="164">
        <f t="shared" si="13"/>
        <v>0</v>
      </c>
      <c r="Q134" s="164">
        <f t="shared" si="14"/>
        <v>0</v>
      </c>
      <c r="R134" s="164">
        <f t="shared" si="23"/>
        <v>0</v>
      </c>
      <c r="S134" s="164">
        <f t="shared" si="15"/>
        <v>0</v>
      </c>
      <c r="T134" s="164">
        <f t="shared" si="16"/>
        <v>0</v>
      </c>
    </row>
    <row r="135" spans="2:20" x14ac:dyDescent="0.2">
      <c r="B135" s="171"/>
      <c r="D135" s="171"/>
      <c r="F135" s="158">
        <v>124</v>
      </c>
      <c r="G135" s="249">
        <f t="shared" si="17"/>
        <v>47422</v>
      </c>
      <c r="H135" s="158">
        <f t="shared" si="21"/>
        <v>31</v>
      </c>
      <c r="I135" s="254">
        <f>VLOOKUP(G135,'Прогноз переменной ставки'!$B$5:$E$304,4,1)</f>
        <v>9.9000000000000005E-2</v>
      </c>
      <c r="J135" s="164">
        <f t="shared" si="18"/>
        <v>0</v>
      </c>
      <c r="K135" s="164">
        <f t="shared" si="19"/>
        <v>0</v>
      </c>
      <c r="L135" s="164">
        <f t="shared" si="22"/>
        <v>0</v>
      </c>
      <c r="M135" s="164">
        <f t="shared" si="22"/>
        <v>0</v>
      </c>
      <c r="N135" s="164">
        <f t="shared" si="20"/>
        <v>0</v>
      </c>
      <c r="O135" s="164">
        <f t="shared" si="12"/>
        <v>0</v>
      </c>
      <c r="P135" s="164">
        <f t="shared" si="13"/>
        <v>0</v>
      </c>
      <c r="Q135" s="164">
        <f t="shared" si="14"/>
        <v>0</v>
      </c>
      <c r="R135" s="164">
        <f t="shared" si="23"/>
        <v>0</v>
      </c>
      <c r="S135" s="164">
        <f t="shared" si="15"/>
        <v>0</v>
      </c>
      <c r="T135" s="164">
        <f t="shared" si="16"/>
        <v>0</v>
      </c>
    </row>
    <row r="136" spans="2:20" x14ac:dyDescent="0.2">
      <c r="B136" s="171"/>
      <c r="D136" s="171"/>
      <c r="F136" s="158">
        <v>125</v>
      </c>
      <c r="G136" s="249">
        <f t="shared" si="17"/>
        <v>47452</v>
      </c>
      <c r="H136" s="158">
        <f t="shared" si="21"/>
        <v>30</v>
      </c>
      <c r="I136" s="254">
        <f>VLOOKUP(G136,'Прогноз переменной ставки'!$B$5:$E$304,4,1)</f>
        <v>9.9000000000000005E-2</v>
      </c>
      <c r="J136" s="164">
        <f t="shared" si="18"/>
        <v>0</v>
      </c>
      <c r="K136" s="164">
        <f t="shared" si="19"/>
        <v>0</v>
      </c>
      <c r="L136" s="164">
        <f t="shared" si="22"/>
        <v>0</v>
      </c>
      <c r="M136" s="164">
        <f t="shared" si="22"/>
        <v>0</v>
      </c>
      <c r="N136" s="164">
        <f t="shared" si="20"/>
        <v>0</v>
      </c>
      <c r="O136" s="164">
        <f t="shared" si="12"/>
        <v>0</v>
      </c>
      <c r="P136" s="164">
        <f t="shared" si="13"/>
        <v>0</v>
      </c>
      <c r="Q136" s="164">
        <f t="shared" si="14"/>
        <v>0</v>
      </c>
      <c r="R136" s="164">
        <f t="shared" si="23"/>
        <v>0</v>
      </c>
      <c r="S136" s="164">
        <f t="shared" si="15"/>
        <v>0</v>
      </c>
      <c r="T136" s="164">
        <f t="shared" si="16"/>
        <v>0</v>
      </c>
    </row>
    <row r="137" spans="2:20" x14ac:dyDescent="0.2">
      <c r="B137" s="171"/>
      <c r="D137" s="171"/>
      <c r="F137" s="158">
        <v>126</v>
      </c>
      <c r="G137" s="249">
        <f t="shared" si="17"/>
        <v>47483</v>
      </c>
      <c r="H137" s="158">
        <f t="shared" si="21"/>
        <v>31</v>
      </c>
      <c r="I137" s="254">
        <f>VLOOKUP(G137,'Прогноз переменной ставки'!$B$5:$E$304,4,1)</f>
        <v>9.9000000000000005E-2</v>
      </c>
      <c r="J137" s="164">
        <f t="shared" si="18"/>
        <v>0</v>
      </c>
      <c r="K137" s="164">
        <f t="shared" si="19"/>
        <v>0</v>
      </c>
      <c r="L137" s="164">
        <f t="shared" si="22"/>
        <v>0</v>
      </c>
      <c r="M137" s="164">
        <f t="shared" si="22"/>
        <v>0</v>
      </c>
      <c r="N137" s="164">
        <f t="shared" si="20"/>
        <v>0</v>
      </c>
      <c r="O137" s="164">
        <f t="shared" si="12"/>
        <v>0</v>
      </c>
      <c r="P137" s="164">
        <f t="shared" si="13"/>
        <v>0</v>
      </c>
      <c r="Q137" s="164">
        <f t="shared" si="14"/>
        <v>0</v>
      </c>
      <c r="R137" s="164">
        <f t="shared" si="23"/>
        <v>0</v>
      </c>
      <c r="S137" s="164">
        <f t="shared" si="15"/>
        <v>0</v>
      </c>
      <c r="T137" s="164">
        <f t="shared" si="16"/>
        <v>0</v>
      </c>
    </row>
    <row r="138" spans="2:20" x14ac:dyDescent="0.2">
      <c r="B138" s="171"/>
      <c r="D138" s="171"/>
      <c r="F138" s="158">
        <v>127</v>
      </c>
      <c r="G138" s="249">
        <f t="shared" si="17"/>
        <v>47514</v>
      </c>
      <c r="H138" s="158">
        <f t="shared" si="21"/>
        <v>31</v>
      </c>
      <c r="I138" s="254">
        <f>VLOOKUP(G138,'Прогноз переменной ставки'!$B$5:$E$304,4,1)</f>
        <v>9.9000000000000005E-2</v>
      </c>
      <c r="J138" s="164">
        <f t="shared" si="18"/>
        <v>0</v>
      </c>
      <c r="K138" s="164">
        <f t="shared" si="19"/>
        <v>0</v>
      </c>
      <c r="L138" s="164">
        <f t="shared" si="22"/>
        <v>0</v>
      </c>
      <c r="M138" s="164">
        <f t="shared" si="22"/>
        <v>0</v>
      </c>
      <c r="N138" s="164">
        <f t="shared" si="20"/>
        <v>0</v>
      </c>
      <c r="O138" s="164">
        <f t="shared" si="12"/>
        <v>0</v>
      </c>
      <c r="P138" s="164">
        <f t="shared" si="13"/>
        <v>0</v>
      </c>
      <c r="Q138" s="164">
        <f t="shared" si="14"/>
        <v>0</v>
      </c>
      <c r="R138" s="164">
        <f t="shared" si="23"/>
        <v>0</v>
      </c>
      <c r="S138" s="164">
        <f t="shared" si="15"/>
        <v>0</v>
      </c>
      <c r="T138" s="164">
        <f t="shared" si="16"/>
        <v>0</v>
      </c>
    </row>
    <row r="139" spans="2:20" x14ac:dyDescent="0.2">
      <c r="B139" s="171"/>
      <c r="D139" s="171"/>
      <c r="F139" s="158">
        <v>128</v>
      </c>
      <c r="G139" s="249">
        <f t="shared" si="17"/>
        <v>47542</v>
      </c>
      <c r="H139" s="158">
        <f t="shared" si="21"/>
        <v>28</v>
      </c>
      <c r="I139" s="254">
        <f>VLOOKUP(G139,'Прогноз переменной ставки'!$B$5:$E$304,4,1)</f>
        <v>9.9000000000000005E-2</v>
      </c>
      <c r="J139" s="164">
        <f t="shared" si="18"/>
        <v>0</v>
      </c>
      <c r="K139" s="164">
        <f t="shared" si="19"/>
        <v>0</v>
      </c>
      <c r="L139" s="164">
        <f t="shared" si="22"/>
        <v>0</v>
      </c>
      <c r="M139" s="164">
        <f t="shared" si="22"/>
        <v>0</v>
      </c>
      <c r="N139" s="164">
        <f t="shared" si="20"/>
        <v>0</v>
      </c>
      <c r="O139" s="164">
        <f t="shared" si="12"/>
        <v>0</v>
      </c>
      <c r="P139" s="164">
        <f t="shared" si="13"/>
        <v>0</v>
      </c>
      <c r="Q139" s="164">
        <f t="shared" si="14"/>
        <v>0</v>
      </c>
      <c r="R139" s="164">
        <f t="shared" si="23"/>
        <v>0</v>
      </c>
      <c r="S139" s="164">
        <f t="shared" si="15"/>
        <v>0</v>
      </c>
      <c r="T139" s="164">
        <f t="shared" si="16"/>
        <v>0</v>
      </c>
    </row>
    <row r="140" spans="2:20" x14ac:dyDescent="0.2">
      <c r="B140" s="171"/>
      <c r="D140" s="171"/>
      <c r="F140" s="158">
        <v>129</v>
      </c>
      <c r="G140" s="249">
        <f t="shared" si="17"/>
        <v>47573</v>
      </c>
      <c r="H140" s="158">
        <f t="shared" si="21"/>
        <v>31</v>
      </c>
      <c r="I140" s="254">
        <f>VLOOKUP(G140,'Прогноз переменной ставки'!$B$5:$E$304,4,1)</f>
        <v>9.9000000000000005E-2</v>
      </c>
      <c r="J140" s="164">
        <f t="shared" si="18"/>
        <v>0</v>
      </c>
      <c r="K140" s="164">
        <f t="shared" si="19"/>
        <v>0</v>
      </c>
      <c r="L140" s="164">
        <f t="shared" si="22"/>
        <v>0</v>
      </c>
      <c r="M140" s="164">
        <f t="shared" si="22"/>
        <v>0</v>
      </c>
      <c r="N140" s="164">
        <f t="shared" si="20"/>
        <v>0</v>
      </c>
      <c r="O140" s="164">
        <f t="shared" ref="O140:O203" si="24">MIN(J140-Q140-P140,L140)</f>
        <v>0</v>
      </c>
      <c r="P140" s="164">
        <f t="shared" ref="P140:P203" si="25">MIN(J140-Q140,N140)</f>
        <v>0</v>
      </c>
      <c r="Q140" s="164">
        <f t="shared" ref="Q140:Q203" si="26">MIN(J140,M140)</f>
        <v>0</v>
      </c>
      <c r="R140" s="164">
        <f t="shared" si="23"/>
        <v>0</v>
      </c>
      <c r="S140" s="164">
        <f t="shared" ref="S140:S203" si="27">L140-O140</f>
        <v>0</v>
      </c>
      <c r="T140" s="164">
        <f t="shared" ref="T140:T203" si="28">M140+R140-Q140</f>
        <v>0</v>
      </c>
    </row>
    <row r="141" spans="2:20" x14ac:dyDescent="0.2">
      <c r="B141" s="171"/>
      <c r="D141" s="171"/>
      <c r="F141" s="158">
        <v>130</v>
      </c>
      <c r="G141" s="249">
        <f t="shared" ref="G141:G204" si="29">EOMONTH($D$9,F141-1)</f>
        <v>47603</v>
      </c>
      <c r="H141" s="158">
        <f t="shared" si="21"/>
        <v>30</v>
      </c>
      <c r="I141" s="254">
        <f>VLOOKUP(G141,'Прогноз переменной ставки'!$B$5:$E$304,4,1)</f>
        <v>9.9000000000000005E-2</v>
      </c>
      <c r="J141" s="164">
        <f t="shared" ref="J141:J204" si="30">IF(F141=$D$4,K141+N141,MIN($D$5,K141+N141))</f>
        <v>0</v>
      </c>
      <c r="K141" s="164">
        <f t="shared" ref="K141:K204" si="31">L141+M141</f>
        <v>0</v>
      </c>
      <c r="L141" s="164">
        <f t="shared" si="22"/>
        <v>0</v>
      </c>
      <c r="M141" s="164">
        <f t="shared" si="22"/>
        <v>0</v>
      </c>
      <c r="N141" s="164">
        <f t="shared" ref="N141:N204" si="32">L141*I141/365.25*H141</f>
        <v>0</v>
      </c>
      <c r="O141" s="164">
        <f t="shared" si="24"/>
        <v>0</v>
      </c>
      <c r="P141" s="164">
        <f t="shared" si="25"/>
        <v>0</v>
      </c>
      <c r="Q141" s="164">
        <f t="shared" si="26"/>
        <v>0</v>
      </c>
      <c r="R141" s="164">
        <f t="shared" si="23"/>
        <v>0</v>
      </c>
      <c r="S141" s="164">
        <f t="shared" si="27"/>
        <v>0</v>
      </c>
      <c r="T141" s="164">
        <f t="shared" si="28"/>
        <v>0</v>
      </c>
    </row>
    <row r="142" spans="2:20" x14ac:dyDescent="0.2">
      <c r="B142" s="171"/>
      <c r="D142" s="171"/>
      <c r="F142" s="158">
        <v>131</v>
      </c>
      <c r="G142" s="249">
        <f t="shared" si="29"/>
        <v>47634</v>
      </c>
      <c r="H142" s="158">
        <f t="shared" ref="H142:H205" si="33">G142-G141</f>
        <v>31</v>
      </c>
      <c r="I142" s="254">
        <f>VLOOKUP(G142,'Прогноз переменной ставки'!$B$5:$E$304,4,1)</f>
        <v>9.9000000000000005E-2</v>
      </c>
      <c r="J142" s="164">
        <f t="shared" si="30"/>
        <v>0</v>
      </c>
      <c r="K142" s="164">
        <f t="shared" si="31"/>
        <v>0</v>
      </c>
      <c r="L142" s="164">
        <f t="shared" ref="L142:M205" si="34">S141</f>
        <v>0</v>
      </c>
      <c r="M142" s="164">
        <f t="shared" si="34"/>
        <v>0</v>
      </c>
      <c r="N142" s="164">
        <f t="shared" si="32"/>
        <v>0</v>
      </c>
      <c r="O142" s="164">
        <f t="shared" si="24"/>
        <v>0</v>
      </c>
      <c r="P142" s="164">
        <f t="shared" si="25"/>
        <v>0</v>
      </c>
      <c r="Q142" s="164">
        <f t="shared" si="26"/>
        <v>0</v>
      </c>
      <c r="R142" s="164">
        <f t="shared" ref="R142:R205" si="35">MAX(N142-P142,0)</f>
        <v>0</v>
      </c>
      <c r="S142" s="164">
        <f t="shared" si="27"/>
        <v>0</v>
      </c>
      <c r="T142" s="164">
        <f t="shared" si="28"/>
        <v>0</v>
      </c>
    </row>
    <row r="143" spans="2:20" x14ac:dyDescent="0.2">
      <c r="B143" s="171"/>
      <c r="D143" s="171"/>
      <c r="F143" s="158">
        <v>132</v>
      </c>
      <c r="G143" s="249">
        <f t="shared" si="29"/>
        <v>47664</v>
      </c>
      <c r="H143" s="158">
        <f t="shared" si="33"/>
        <v>30</v>
      </c>
      <c r="I143" s="254">
        <f>VLOOKUP(G143,'Прогноз переменной ставки'!$B$5:$E$304,4,1)</f>
        <v>9.9000000000000005E-2</v>
      </c>
      <c r="J143" s="164">
        <f t="shared" si="30"/>
        <v>0</v>
      </c>
      <c r="K143" s="164">
        <f t="shared" si="31"/>
        <v>0</v>
      </c>
      <c r="L143" s="164">
        <f t="shared" si="34"/>
        <v>0</v>
      </c>
      <c r="M143" s="164">
        <f t="shared" si="34"/>
        <v>0</v>
      </c>
      <c r="N143" s="164">
        <f t="shared" si="32"/>
        <v>0</v>
      </c>
      <c r="O143" s="164">
        <f t="shared" si="24"/>
        <v>0</v>
      </c>
      <c r="P143" s="164">
        <f t="shared" si="25"/>
        <v>0</v>
      </c>
      <c r="Q143" s="164">
        <f t="shared" si="26"/>
        <v>0</v>
      </c>
      <c r="R143" s="164">
        <f t="shared" si="35"/>
        <v>0</v>
      </c>
      <c r="S143" s="164">
        <f t="shared" si="27"/>
        <v>0</v>
      </c>
      <c r="T143" s="164">
        <f t="shared" si="28"/>
        <v>0</v>
      </c>
    </row>
    <row r="144" spans="2:20" x14ac:dyDescent="0.2">
      <c r="B144" s="171"/>
      <c r="D144" s="171"/>
      <c r="F144" s="158">
        <v>133</v>
      </c>
      <c r="G144" s="249">
        <f t="shared" si="29"/>
        <v>47695</v>
      </c>
      <c r="H144" s="158">
        <f t="shared" si="33"/>
        <v>31</v>
      </c>
      <c r="I144" s="254">
        <f>VLOOKUP(G144,'Прогноз переменной ставки'!$B$5:$E$304,4,1)</f>
        <v>9.9000000000000005E-2</v>
      </c>
      <c r="J144" s="164">
        <f t="shared" si="30"/>
        <v>0</v>
      </c>
      <c r="K144" s="164">
        <f t="shared" si="31"/>
        <v>0</v>
      </c>
      <c r="L144" s="164">
        <f t="shared" si="34"/>
        <v>0</v>
      </c>
      <c r="M144" s="164">
        <f t="shared" si="34"/>
        <v>0</v>
      </c>
      <c r="N144" s="164">
        <f t="shared" si="32"/>
        <v>0</v>
      </c>
      <c r="O144" s="164">
        <f t="shared" si="24"/>
        <v>0</v>
      </c>
      <c r="P144" s="164">
        <f t="shared" si="25"/>
        <v>0</v>
      </c>
      <c r="Q144" s="164">
        <f t="shared" si="26"/>
        <v>0</v>
      </c>
      <c r="R144" s="164">
        <f t="shared" si="35"/>
        <v>0</v>
      </c>
      <c r="S144" s="164">
        <f t="shared" si="27"/>
        <v>0</v>
      </c>
      <c r="T144" s="164">
        <f t="shared" si="28"/>
        <v>0</v>
      </c>
    </row>
    <row r="145" spans="2:20" x14ac:dyDescent="0.2">
      <c r="B145" s="171"/>
      <c r="D145" s="171"/>
      <c r="F145" s="158">
        <v>134</v>
      </c>
      <c r="G145" s="249">
        <f t="shared" si="29"/>
        <v>47726</v>
      </c>
      <c r="H145" s="158">
        <f t="shared" si="33"/>
        <v>31</v>
      </c>
      <c r="I145" s="254">
        <f>VLOOKUP(G145,'Прогноз переменной ставки'!$B$5:$E$304,4,1)</f>
        <v>9.9000000000000005E-2</v>
      </c>
      <c r="J145" s="164">
        <f t="shared" si="30"/>
        <v>0</v>
      </c>
      <c r="K145" s="164">
        <f t="shared" si="31"/>
        <v>0</v>
      </c>
      <c r="L145" s="164">
        <f t="shared" si="34"/>
        <v>0</v>
      </c>
      <c r="M145" s="164">
        <f t="shared" si="34"/>
        <v>0</v>
      </c>
      <c r="N145" s="164">
        <f t="shared" si="32"/>
        <v>0</v>
      </c>
      <c r="O145" s="164">
        <f t="shared" si="24"/>
        <v>0</v>
      </c>
      <c r="P145" s="164">
        <f t="shared" si="25"/>
        <v>0</v>
      </c>
      <c r="Q145" s="164">
        <f t="shared" si="26"/>
        <v>0</v>
      </c>
      <c r="R145" s="164">
        <f t="shared" si="35"/>
        <v>0</v>
      </c>
      <c r="S145" s="164">
        <f t="shared" si="27"/>
        <v>0</v>
      </c>
      <c r="T145" s="164">
        <f t="shared" si="28"/>
        <v>0</v>
      </c>
    </row>
    <row r="146" spans="2:20" x14ac:dyDescent="0.2">
      <c r="B146" s="171"/>
      <c r="D146" s="171"/>
      <c r="F146" s="158">
        <v>135</v>
      </c>
      <c r="G146" s="249">
        <f t="shared" si="29"/>
        <v>47756</v>
      </c>
      <c r="H146" s="158">
        <f t="shared" si="33"/>
        <v>30</v>
      </c>
      <c r="I146" s="254">
        <f>VLOOKUP(G146,'Прогноз переменной ставки'!$B$5:$E$304,4,1)</f>
        <v>9.9000000000000005E-2</v>
      </c>
      <c r="J146" s="164">
        <f t="shared" si="30"/>
        <v>0</v>
      </c>
      <c r="K146" s="164">
        <f t="shared" si="31"/>
        <v>0</v>
      </c>
      <c r="L146" s="164">
        <f t="shared" si="34"/>
        <v>0</v>
      </c>
      <c r="M146" s="164">
        <f t="shared" si="34"/>
        <v>0</v>
      </c>
      <c r="N146" s="164">
        <f t="shared" si="32"/>
        <v>0</v>
      </c>
      <c r="O146" s="164">
        <f t="shared" si="24"/>
        <v>0</v>
      </c>
      <c r="P146" s="164">
        <f t="shared" si="25"/>
        <v>0</v>
      </c>
      <c r="Q146" s="164">
        <f t="shared" si="26"/>
        <v>0</v>
      </c>
      <c r="R146" s="164">
        <f t="shared" si="35"/>
        <v>0</v>
      </c>
      <c r="S146" s="164">
        <f t="shared" si="27"/>
        <v>0</v>
      </c>
      <c r="T146" s="164">
        <f t="shared" si="28"/>
        <v>0</v>
      </c>
    </row>
    <row r="147" spans="2:20" x14ac:dyDescent="0.2">
      <c r="B147" s="171"/>
      <c r="D147" s="171"/>
      <c r="F147" s="158">
        <v>136</v>
      </c>
      <c r="G147" s="249">
        <f t="shared" si="29"/>
        <v>47787</v>
      </c>
      <c r="H147" s="158">
        <f t="shared" si="33"/>
        <v>31</v>
      </c>
      <c r="I147" s="254">
        <f>VLOOKUP(G147,'Прогноз переменной ставки'!$B$5:$E$304,4,1)</f>
        <v>9.9000000000000005E-2</v>
      </c>
      <c r="J147" s="164">
        <f t="shared" si="30"/>
        <v>0</v>
      </c>
      <c r="K147" s="164">
        <f t="shared" si="31"/>
        <v>0</v>
      </c>
      <c r="L147" s="164">
        <f t="shared" si="34"/>
        <v>0</v>
      </c>
      <c r="M147" s="164">
        <f t="shared" si="34"/>
        <v>0</v>
      </c>
      <c r="N147" s="164">
        <f t="shared" si="32"/>
        <v>0</v>
      </c>
      <c r="O147" s="164">
        <f t="shared" si="24"/>
        <v>0</v>
      </c>
      <c r="P147" s="164">
        <f t="shared" si="25"/>
        <v>0</v>
      </c>
      <c r="Q147" s="164">
        <f t="shared" si="26"/>
        <v>0</v>
      </c>
      <c r="R147" s="164">
        <f t="shared" si="35"/>
        <v>0</v>
      </c>
      <c r="S147" s="164">
        <f t="shared" si="27"/>
        <v>0</v>
      </c>
      <c r="T147" s="164">
        <f t="shared" si="28"/>
        <v>0</v>
      </c>
    </row>
    <row r="148" spans="2:20" x14ac:dyDescent="0.2">
      <c r="B148" s="171"/>
      <c r="D148" s="171"/>
      <c r="F148" s="158">
        <v>137</v>
      </c>
      <c r="G148" s="249">
        <f t="shared" si="29"/>
        <v>47817</v>
      </c>
      <c r="H148" s="158">
        <f t="shared" si="33"/>
        <v>30</v>
      </c>
      <c r="I148" s="254">
        <f>VLOOKUP(G148,'Прогноз переменной ставки'!$B$5:$E$304,4,1)</f>
        <v>9.9000000000000005E-2</v>
      </c>
      <c r="J148" s="164">
        <f t="shared" si="30"/>
        <v>0</v>
      </c>
      <c r="K148" s="164">
        <f t="shared" si="31"/>
        <v>0</v>
      </c>
      <c r="L148" s="164">
        <f t="shared" si="34"/>
        <v>0</v>
      </c>
      <c r="M148" s="164">
        <f t="shared" si="34"/>
        <v>0</v>
      </c>
      <c r="N148" s="164">
        <f t="shared" si="32"/>
        <v>0</v>
      </c>
      <c r="O148" s="164">
        <f t="shared" si="24"/>
        <v>0</v>
      </c>
      <c r="P148" s="164">
        <f t="shared" si="25"/>
        <v>0</v>
      </c>
      <c r="Q148" s="164">
        <f t="shared" si="26"/>
        <v>0</v>
      </c>
      <c r="R148" s="164">
        <f t="shared" si="35"/>
        <v>0</v>
      </c>
      <c r="S148" s="164">
        <f t="shared" si="27"/>
        <v>0</v>
      </c>
      <c r="T148" s="164">
        <f t="shared" si="28"/>
        <v>0</v>
      </c>
    </row>
    <row r="149" spans="2:20" x14ac:dyDescent="0.2">
      <c r="B149" s="171"/>
      <c r="D149" s="171"/>
      <c r="F149" s="158">
        <v>138</v>
      </c>
      <c r="G149" s="249">
        <f t="shared" si="29"/>
        <v>47848</v>
      </c>
      <c r="H149" s="158">
        <f t="shared" si="33"/>
        <v>31</v>
      </c>
      <c r="I149" s="254">
        <f>VLOOKUP(G149,'Прогноз переменной ставки'!$B$5:$E$304,4,1)</f>
        <v>9.9000000000000005E-2</v>
      </c>
      <c r="J149" s="164">
        <f t="shared" si="30"/>
        <v>0</v>
      </c>
      <c r="K149" s="164">
        <f t="shared" si="31"/>
        <v>0</v>
      </c>
      <c r="L149" s="164">
        <f t="shared" si="34"/>
        <v>0</v>
      </c>
      <c r="M149" s="164">
        <f t="shared" si="34"/>
        <v>0</v>
      </c>
      <c r="N149" s="164">
        <f t="shared" si="32"/>
        <v>0</v>
      </c>
      <c r="O149" s="164">
        <f t="shared" si="24"/>
        <v>0</v>
      </c>
      <c r="P149" s="164">
        <f t="shared" si="25"/>
        <v>0</v>
      </c>
      <c r="Q149" s="164">
        <f t="shared" si="26"/>
        <v>0</v>
      </c>
      <c r="R149" s="164">
        <f t="shared" si="35"/>
        <v>0</v>
      </c>
      <c r="S149" s="164">
        <f t="shared" si="27"/>
        <v>0</v>
      </c>
      <c r="T149" s="164">
        <f t="shared" si="28"/>
        <v>0</v>
      </c>
    </row>
    <row r="150" spans="2:20" x14ac:dyDescent="0.2">
      <c r="B150" s="171"/>
      <c r="D150" s="171"/>
      <c r="F150" s="158">
        <v>139</v>
      </c>
      <c r="G150" s="249">
        <f t="shared" si="29"/>
        <v>47879</v>
      </c>
      <c r="H150" s="158">
        <f t="shared" si="33"/>
        <v>31</v>
      </c>
      <c r="I150" s="254">
        <f>VLOOKUP(G150,'Прогноз переменной ставки'!$B$5:$E$304,4,1)</f>
        <v>9.9000000000000005E-2</v>
      </c>
      <c r="J150" s="164">
        <f t="shared" si="30"/>
        <v>0</v>
      </c>
      <c r="K150" s="164">
        <f t="shared" si="31"/>
        <v>0</v>
      </c>
      <c r="L150" s="164">
        <f t="shared" si="34"/>
        <v>0</v>
      </c>
      <c r="M150" s="164">
        <f t="shared" si="34"/>
        <v>0</v>
      </c>
      <c r="N150" s="164">
        <f t="shared" si="32"/>
        <v>0</v>
      </c>
      <c r="O150" s="164">
        <f t="shared" si="24"/>
        <v>0</v>
      </c>
      <c r="P150" s="164">
        <f t="shared" si="25"/>
        <v>0</v>
      </c>
      <c r="Q150" s="164">
        <f t="shared" si="26"/>
        <v>0</v>
      </c>
      <c r="R150" s="164">
        <f t="shared" si="35"/>
        <v>0</v>
      </c>
      <c r="S150" s="164">
        <f t="shared" si="27"/>
        <v>0</v>
      </c>
      <c r="T150" s="164">
        <f t="shared" si="28"/>
        <v>0</v>
      </c>
    </row>
    <row r="151" spans="2:20" x14ac:dyDescent="0.2">
      <c r="B151" s="171"/>
      <c r="D151" s="171"/>
      <c r="F151" s="158">
        <v>140</v>
      </c>
      <c r="G151" s="249">
        <f t="shared" si="29"/>
        <v>47907</v>
      </c>
      <c r="H151" s="158">
        <f t="shared" si="33"/>
        <v>28</v>
      </c>
      <c r="I151" s="254">
        <f>VLOOKUP(G151,'Прогноз переменной ставки'!$B$5:$E$304,4,1)</f>
        <v>9.9000000000000005E-2</v>
      </c>
      <c r="J151" s="164">
        <f t="shared" si="30"/>
        <v>0</v>
      </c>
      <c r="K151" s="164">
        <f t="shared" si="31"/>
        <v>0</v>
      </c>
      <c r="L151" s="164">
        <f t="shared" si="34"/>
        <v>0</v>
      </c>
      <c r="M151" s="164">
        <f t="shared" si="34"/>
        <v>0</v>
      </c>
      <c r="N151" s="164">
        <f t="shared" si="32"/>
        <v>0</v>
      </c>
      <c r="O151" s="164">
        <f t="shared" si="24"/>
        <v>0</v>
      </c>
      <c r="P151" s="164">
        <f t="shared" si="25"/>
        <v>0</v>
      </c>
      <c r="Q151" s="164">
        <f t="shared" si="26"/>
        <v>0</v>
      </c>
      <c r="R151" s="164">
        <f t="shared" si="35"/>
        <v>0</v>
      </c>
      <c r="S151" s="164">
        <f t="shared" si="27"/>
        <v>0</v>
      </c>
      <c r="T151" s="164">
        <f t="shared" si="28"/>
        <v>0</v>
      </c>
    </row>
    <row r="152" spans="2:20" x14ac:dyDescent="0.2">
      <c r="B152" s="171"/>
      <c r="D152" s="171"/>
      <c r="F152" s="158">
        <v>141</v>
      </c>
      <c r="G152" s="249">
        <f t="shared" si="29"/>
        <v>47938</v>
      </c>
      <c r="H152" s="158">
        <f t="shared" si="33"/>
        <v>31</v>
      </c>
      <c r="I152" s="254">
        <f>VLOOKUP(G152,'Прогноз переменной ставки'!$B$5:$E$304,4,1)</f>
        <v>9.9000000000000005E-2</v>
      </c>
      <c r="J152" s="164">
        <f t="shared" si="30"/>
        <v>0</v>
      </c>
      <c r="K152" s="164">
        <f t="shared" si="31"/>
        <v>0</v>
      </c>
      <c r="L152" s="164">
        <f t="shared" si="34"/>
        <v>0</v>
      </c>
      <c r="M152" s="164">
        <f t="shared" si="34"/>
        <v>0</v>
      </c>
      <c r="N152" s="164">
        <f t="shared" si="32"/>
        <v>0</v>
      </c>
      <c r="O152" s="164">
        <f t="shared" si="24"/>
        <v>0</v>
      </c>
      <c r="P152" s="164">
        <f t="shared" si="25"/>
        <v>0</v>
      </c>
      <c r="Q152" s="164">
        <f t="shared" si="26"/>
        <v>0</v>
      </c>
      <c r="R152" s="164">
        <f t="shared" si="35"/>
        <v>0</v>
      </c>
      <c r="S152" s="164">
        <f t="shared" si="27"/>
        <v>0</v>
      </c>
      <c r="T152" s="164">
        <f t="shared" si="28"/>
        <v>0</v>
      </c>
    </row>
    <row r="153" spans="2:20" x14ac:dyDescent="0.2">
      <c r="B153" s="171"/>
      <c r="D153" s="171"/>
      <c r="F153" s="158">
        <v>142</v>
      </c>
      <c r="G153" s="249">
        <f t="shared" si="29"/>
        <v>47968</v>
      </c>
      <c r="H153" s="158">
        <f t="shared" si="33"/>
        <v>30</v>
      </c>
      <c r="I153" s="254">
        <f>VLOOKUP(G153,'Прогноз переменной ставки'!$B$5:$E$304,4,1)</f>
        <v>9.9000000000000005E-2</v>
      </c>
      <c r="J153" s="164">
        <f t="shared" si="30"/>
        <v>0</v>
      </c>
      <c r="K153" s="164">
        <f t="shared" si="31"/>
        <v>0</v>
      </c>
      <c r="L153" s="164">
        <f t="shared" si="34"/>
        <v>0</v>
      </c>
      <c r="M153" s="164">
        <f t="shared" si="34"/>
        <v>0</v>
      </c>
      <c r="N153" s="164">
        <f t="shared" si="32"/>
        <v>0</v>
      </c>
      <c r="O153" s="164">
        <f t="shared" si="24"/>
        <v>0</v>
      </c>
      <c r="P153" s="164">
        <f t="shared" si="25"/>
        <v>0</v>
      </c>
      <c r="Q153" s="164">
        <f t="shared" si="26"/>
        <v>0</v>
      </c>
      <c r="R153" s="164">
        <f t="shared" si="35"/>
        <v>0</v>
      </c>
      <c r="S153" s="164">
        <f t="shared" si="27"/>
        <v>0</v>
      </c>
      <c r="T153" s="164">
        <f t="shared" si="28"/>
        <v>0</v>
      </c>
    </row>
    <row r="154" spans="2:20" x14ac:dyDescent="0.2">
      <c r="B154" s="171"/>
      <c r="D154" s="171"/>
      <c r="F154" s="158">
        <v>143</v>
      </c>
      <c r="G154" s="249">
        <f t="shared" si="29"/>
        <v>47999</v>
      </c>
      <c r="H154" s="158">
        <f t="shared" si="33"/>
        <v>31</v>
      </c>
      <c r="I154" s="254">
        <f>VLOOKUP(G154,'Прогноз переменной ставки'!$B$5:$E$304,4,1)</f>
        <v>9.9000000000000005E-2</v>
      </c>
      <c r="J154" s="164">
        <f t="shared" si="30"/>
        <v>0</v>
      </c>
      <c r="K154" s="164">
        <f t="shared" si="31"/>
        <v>0</v>
      </c>
      <c r="L154" s="164">
        <f t="shared" si="34"/>
        <v>0</v>
      </c>
      <c r="M154" s="164">
        <f t="shared" si="34"/>
        <v>0</v>
      </c>
      <c r="N154" s="164">
        <f t="shared" si="32"/>
        <v>0</v>
      </c>
      <c r="O154" s="164">
        <f t="shared" si="24"/>
        <v>0</v>
      </c>
      <c r="P154" s="164">
        <f t="shared" si="25"/>
        <v>0</v>
      </c>
      <c r="Q154" s="164">
        <f t="shared" si="26"/>
        <v>0</v>
      </c>
      <c r="R154" s="164">
        <f t="shared" si="35"/>
        <v>0</v>
      </c>
      <c r="S154" s="164">
        <f t="shared" si="27"/>
        <v>0</v>
      </c>
      <c r="T154" s="164">
        <f t="shared" si="28"/>
        <v>0</v>
      </c>
    </row>
    <row r="155" spans="2:20" x14ac:dyDescent="0.2">
      <c r="B155" s="171"/>
      <c r="D155" s="171"/>
      <c r="F155" s="158">
        <v>144</v>
      </c>
      <c r="G155" s="249">
        <f t="shared" si="29"/>
        <v>48029</v>
      </c>
      <c r="H155" s="158">
        <f t="shared" si="33"/>
        <v>30</v>
      </c>
      <c r="I155" s="254">
        <f>VLOOKUP(G155,'Прогноз переменной ставки'!$B$5:$E$304,4,1)</f>
        <v>9.9000000000000005E-2</v>
      </c>
      <c r="J155" s="164">
        <f t="shared" si="30"/>
        <v>0</v>
      </c>
      <c r="K155" s="164">
        <f t="shared" si="31"/>
        <v>0</v>
      </c>
      <c r="L155" s="164">
        <f t="shared" si="34"/>
        <v>0</v>
      </c>
      <c r="M155" s="164">
        <f t="shared" si="34"/>
        <v>0</v>
      </c>
      <c r="N155" s="164">
        <f t="shared" si="32"/>
        <v>0</v>
      </c>
      <c r="O155" s="164">
        <f t="shared" si="24"/>
        <v>0</v>
      </c>
      <c r="P155" s="164">
        <f t="shared" si="25"/>
        <v>0</v>
      </c>
      <c r="Q155" s="164">
        <f t="shared" si="26"/>
        <v>0</v>
      </c>
      <c r="R155" s="164">
        <f t="shared" si="35"/>
        <v>0</v>
      </c>
      <c r="S155" s="164">
        <f t="shared" si="27"/>
        <v>0</v>
      </c>
      <c r="T155" s="164">
        <f t="shared" si="28"/>
        <v>0</v>
      </c>
    </row>
    <row r="156" spans="2:20" x14ac:dyDescent="0.2">
      <c r="B156" s="171"/>
      <c r="D156" s="171"/>
      <c r="F156" s="158">
        <v>145</v>
      </c>
      <c r="G156" s="249">
        <f t="shared" si="29"/>
        <v>48060</v>
      </c>
      <c r="H156" s="158">
        <f t="shared" si="33"/>
        <v>31</v>
      </c>
      <c r="I156" s="254">
        <f>VLOOKUP(G156,'Прогноз переменной ставки'!$B$5:$E$304,4,1)</f>
        <v>9.9000000000000005E-2</v>
      </c>
      <c r="J156" s="164">
        <f t="shared" si="30"/>
        <v>0</v>
      </c>
      <c r="K156" s="164">
        <f t="shared" si="31"/>
        <v>0</v>
      </c>
      <c r="L156" s="164">
        <f t="shared" si="34"/>
        <v>0</v>
      </c>
      <c r="M156" s="164">
        <f t="shared" si="34"/>
        <v>0</v>
      </c>
      <c r="N156" s="164">
        <f t="shared" si="32"/>
        <v>0</v>
      </c>
      <c r="O156" s="164">
        <f t="shared" si="24"/>
        <v>0</v>
      </c>
      <c r="P156" s="164">
        <f t="shared" si="25"/>
        <v>0</v>
      </c>
      <c r="Q156" s="164">
        <f t="shared" si="26"/>
        <v>0</v>
      </c>
      <c r="R156" s="164">
        <f t="shared" si="35"/>
        <v>0</v>
      </c>
      <c r="S156" s="164">
        <f t="shared" si="27"/>
        <v>0</v>
      </c>
      <c r="T156" s="164">
        <f t="shared" si="28"/>
        <v>0</v>
      </c>
    </row>
    <row r="157" spans="2:20" x14ac:dyDescent="0.2">
      <c r="B157" s="171"/>
      <c r="D157" s="171"/>
      <c r="F157" s="158">
        <v>146</v>
      </c>
      <c r="G157" s="249">
        <f t="shared" si="29"/>
        <v>48091</v>
      </c>
      <c r="H157" s="158">
        <f t="shared" si="33"/>
        <v>31</v>
      </c>
      <c r="I157" s="254">
        <f>VLOOKUP(G157,'Прогноз переменной ставки'!$B$5:$E$304,4,1)</f>
        <v>9.9000000000000005E-2</v>
      </c>
      <c r="J157" s="164">
        <f t="shared" si="30"/>
        <v>0</v>
      </c>
      <c r="K157" s="164">
        <f t="shared" si="31"/>
        <v>0</v>
      </c>
      <c r="L157" s="164">
        <f t="shared" si="34"/>
        <v>0</v>
      </c>
      <c r="M157" s="164">
        <f t="shared" si="34"/>
        <v>0</v>
      </c>
      <c r="N157" s="164">
        <f t="shared" si="32"/>
        <v>0</v>
      </c>
      <c r="O157" s="164">
        <f t="shared" si="24"/>
        <v>0</v>
      </c>
      <c r="P157" s="164">
        <f t="shared" si="25"/>
        <v>0</v>
      </c>
      <c r="Q157" s="164">
        <f t="shared" si="26"/>
        <v>0</v>
      </c>
      <c r="R157" s="164">
        <f t="shared" si="35"/>
        <v>0</v>
      </c>
      <c r="S157" s="164">
        <f t="shared" si="27"/>
        <v>0</v>
      </c>
      <c r="T157" s="164">
        <f t="shared" si="28"/>
        <v>0</v>
      </c>
    </row>
    <row r="158" spans="2:20" x14ac:dyDescent="0.2">
      <c r="B158" s="171"/>
      <c r="D158" s="171"/>
      <c r="F158" s="158">
        <v>147</v>
      </c>
      <c r="G158" s="249">
        <f t="shared" si="29"/>
        <v>48121</v>
      </c>
      <c r="H158" s="158">
        <f t="shared" si="33"/>
        <v>30</v>
      </c>
      <c r="I158" s="254">
        <f>VLOOKUP(G158,'Прогноз переменной ставки'!$B$5:$E$304,4,1)</f>
        <v>9.9000000000000005E-2</v>
      </c>
      <c r="J158" s="164">
        <f t="shared" si="30"/>
        <v>0</v>
      </c>
      <c r="K158" s="164">
        <f t="shared" si="31"/>
        <v>0</v>
      </c>
      <c r="L158" s="164">
        <f t="shared" si="34"/>
        <v>0</v>
      </c>
      <c r="M158" s="164">
        <f t="shared" si="34"/>
        <v>0</v>
      </c>
      <c r="N158" s="164">
        <f t="shared" si="32"/>
        <v>0</v>
      </c>
      <c r="O158" s="164">
        <f t="shared" si="24"/>
        <v>0</v>
      </c>
      <c r="P158" s="164">
        <f t="shared" si="25"/>
        <v>0</v>
      </c>
      <c r="Q158" s="164">
        <f t="shared" si="26"/>
        <v>0</v>
      </c>
      <c r="R158" s="164">
        <f t="shared" si="35"/>
        <v>0</v>
      </c>
      <c r="S158" s="164">
        <f t="shared" si="27"/>
        <v>0</v>
      </c>
      <c r="T158" s="164">
        <f t="shared" si="28"/>
        <v>0</v>
      </c>
    </row>
    <row r="159" spans="2:20" x14ac:dyDescent="0.2">
      <c r="B159" s="171"/>
      <c r="D159" s="171"/>
      <c r="F159" s="158">
        <v>148</v>
      </c>
      <c r="G159" s="249">
        <f t="shared" si="29"/>
        <v>48152</v>
      </c>
      <c r="H159" s="158">
        <f t="shared" si="33"/>
        <v>31</v>
      </c>
      <c r="I159" s="254">
        <f>VLOOKUP(G159,'Прогноз переменной ставки'!$B$5:$E$304,4,1)</f>
        <v>9.9000000000000005E-2</v>
      </c>
      <c r="J159" s="164">
        <f t="shared" si="30"/>
        <v>0</v>
      </c>
      <c r="K159" s="164">
        <f t="shared" si="31"/>
        <v>0</v>
      </c>
      <c r="L159" s="164">
        <f t="shared" si="34"/>
        <v>0</v>
      </c>
      <c r="M159" s="164">
        <f t="shared" si="34"/>
        <v>0</v>
      </c>
      <c r="N159" s="164">
        <f t="shared" si="32"/>
        <v>0</v>
      </c>
      <c r="O159" s="164">
        <f t="shared" si="24"/>
        <v>0</v>
      </c>
      <c r="P159" s="164">
        <f t="shared" si="25"/>
        <v>0</v>
      </c>
      <c r="Q159" s="164">
        <f t="shared" si="26"/>
        <v>0</v>
      </c>
      <c r="R159" s="164">
        <f t="shared" si="35"/>
        <v>0</v>
      </c>
      <c r="S159" s="164">
        <f t="shared" si="27"/>
        <v>0</v>
      </c>
      <c r="T159" s="164">
        <f t="shared" si="28"/>
        <v>0</v>
      </c>
    </row>
    <row r="160" spans="2:20" x14ac:dyDescent="0.2">
      <c r="B160" s="171"/>
      <c r="D160" s="171"/>
      <c r="F160" s="158">
        <v>149</v>
      </c>
      <c r="G160" s="249">
        <f t="shared" si="29"/>
        <v>48182</v>
      </c>
      <c r="H160" s="158">
        <f t="shared" si="33"/>
        <v>30</v>
      </c>
      <c r="I160" s="254">
        <f>VLOOKUP(G160,'Прогноз переменной ставки'!$B$5:$E$304,4,1)</f>
        <v>9.9000000000000005E-2</v>
      </c>
      <c r="J160" s="164">
        <f t="shared" si="30"/>
        <v>0</v>
      </c>
      <c r="K160" s="164">
        <f t="shared" si="31"/>
        <v>0</v>
      </c>
      <c r="L160" s="164">
        <f t="shared" si="34"/>
        <v>0</v>
      </c>
      <c r="M160" s="164">
        <f t="shared" si="34"/>
        <v>0</v>
      </c>
      <c r="N160" s="164">
        <f t="shared" si="32"/>
        <v>0</v>
      </c>
      <c r="O160" s="164">
        <f t="shared" si="24"/>
        <v>0</v>
      </c>
      <c r="P160" s="164">
        <f t="shared" si="25"/>
        <v>0</v>
      </c>
      <c r="Q160" s="164">
        <f t="shared" si="26"/>
        <v>0</v>
      </c>
      <c r="R160" s="164">
        <f t="shared" si="35"/>
        <v>0</v>
      </c>
      <c r="S160" s="164">
        <f t="shared" si="27"/>
        <v>0</v>
      </c>
      <c r="T160" s="164">
        <f t="shared" si="28"/>
        <v>0</v>
      </c>
    </row>
    <row r="161" spans="2:20" x14ac:dyDescent="0.2">
      <c r="B161" s="171"/>
      <c r="D161" s="171"/>
      <c r="F161" s="158">
        <v>150</v>
      </c>
      <c r="G161" s="249">
        <f t="shared" si="29"/>
        <v>48213</v>
      </c>
      <c r="H161" s="158">
        <f t="shared" si="33"/>
        <v>31</v>
      </c>
      <c r="I161" s="254">
        <f>VLOOKUP(G161,'Прогноз переменной ставки'!$B$5:$E$304,4,1)</f>
        <v>9.9000000000000005E-2</v>
      </c>
      <c r="J161" s="164">
        <f t="shared" si="30"/>
        <v>0</v>
      </c>
      <c r="K161" s="164">
        <f t="shared" si="31"/>
        <v>0</v>
      </c>
      <c r="L161" s="164">
        <f t="shared" si="34"/>
        <v>0</v>
      </c>
      <c r="M161" s="164">
        <f t="shared" si="34"/>
        <v>0</v>
      </c>
      <c r="N161" s="164">
        <f t="shared" si="32"/>
        <v>0</v>
      </c>
      <c r="O161" s="164">
        <f t="shared" si="24"/>
        <v>0</v>
      </c>
      <c r="P161" s="164">
        <f t="shared" si="25"/>
        <v>0</v>
      </c>
      <c r="Q161" s="164">
        <f t="shared" si="26"/>
        <v>0</v>
      </c>
      <c r="R161" s="164">
        <f t="shared" si="35"/>
        <v>0</v>
      </c>
      <c r="S161" s="164">
        <f t="shared" si="27"/>
        <v>0</v>
      </c>
      <c r="T161" s="164">
        <f t="shared" si="28"/>
        <v>0</v>
      </c>
    </row>
    <row r="162" spans="2:20" x14ac:dyDescent="0.2">
      <c r="B162" s="171"/>
      <c r="D162" s="171"/>
      <c r="F162" s="158">
        <v>151</v>
      </c>
      <c r="G162" s="249">
        <f t="shared" si="29"/>
        <v>48244</v>
      </c>
      <c r="H162" s="158">
        <f t="shared" si="33"/>
        <v>31</v>
      </c>
      <c r="I162" s="254">
        <f>VLOOKUP(G162,'Прогноз переменной ставки'!$B$5:$E$304,4,1)</f>
        <v>9.9000000000000005E-2</v>
      </c>
      <c r="J162" s="164">
        <f t="shared" si="30"/>
        <v>0</v>
      </c>
      <c r="K162" s="164">
        <f t="shared" si="31"/>
        <v>0</v>
      </c>
      <c r="L162" s="164">
        <f t="shared" si="34"/>
        <v>0</v>
      </c>
      <c r="M162" s="164">
        <f t="shared" si="34"/>
        <v>0</v>
      </c>
      <c r="N162" s="164">
        <f t="shared" si="32"/>
        <v>0</v>
      </c>
      <c r="O162" s="164">
        <f t="shared" si="24"/>
        <v>0</v>
      </c>
      <c r="P162" s="164">
        <f t="shared" si="25"/>
        <v>0</v>
      </c>
      <c r="Q162" s="164">
        <f t="shared" si="26"/>
        <v>0</v>
      </c>
      <c r="R162" s="164">
        <f t="shared" si="35"/>
        <v>0</v>
      </c>
      <c r="S162" s="164">
        <f t="shared" si="27"/>
        <v>0</v>
      </c>
      <c r="T162" s="164">
        <f t="shared" si="28"/>
        <v>0</v>
      </c>
    </row>
    <row r="163" spans="2:20" x14ac:dyDescent="0.2">
      <c r="B163" s="171"/>
      <c r="D163" s="171"/>
      <c r="F163" s="158">
        <v>152</v>
      </c>
      <c r="G163" s="249">
        <f t="shared" si="29"/>
        <v>48273</v>
      </c>
      <c r="H163" s="158">
        <f t="shared" si="33"/>
        <v>29</v>
      </c>
      <c r="I163" s="254">
        <f>VLOOKUP(G163,'Прогноз переменной ставки'!$B$5:$E$304,4,1)</f>
        <v>9.9000000000000005E-2</v>
      </c>
      <c r="J163" s="164">
        <f t="shared" si="30"/>
        <v>0</v>
      </c>
      <c r="K163" s="164">
        <f t="shared" si="31"/>
        <v>0</v>
      </c>
      <c r="L163" s="164">
        <f t="shared" si="34"/>
        <v>0</v>
      </c>
      <c r="M163" s="164">
        <f t="shared" si="34"/>
        <v>0</v>
      </c>
      <c r="N163" s="164">
        <f t="shared" si="32"/>
        <v>0</v>
      </c>
      <c r="O163" s="164">
        <f t="shared" si="24"/>
        <v>0</v>
      </c>
      <c r="P163" s="164">
        <f t="shared" si="25"/>
        <v>0</v>
      </c>
      <c r="Q163" s="164">
        <f t="shared" si="26"/>
        <v>0</v>
      </c>
      <c r="R163" s="164">
        <f t="shared" si="35"/>
        <v>0</v>
      </c>
      <c r="S163" s="164">
        <f t="shared" si="27"/>
        <v>0</v>
      </c>
      <c r="T163" s="164">
        <f t="shared" si="28"/>
        <v>0</v>
      </c>
    </row>
    <row r="164" spans="2:20" x14ac:dyDescent="0.2">
      <c r="B164" s="171"/>
      <c r="D164" s="171"/>
      <c r="F164" s="158">
        <v>153</v>
      </c>
      <c r="G164" s="249">
        <f t="shared" si="29"/>
        <v>48304</v>
      </c>
      <c r="H164" s="158">
        <f t="shared" si="33"/>
        <v>31</v>
      </c>
      <c r="I164" s="254">
        <f>VLOOKUP(G164,'Прогноз переменной ставки'!$B$5:$E$304,4,1)</f>
        <v>9.9000000000000005E-2</v>
      </c>
      <c r="J164" s="164">
        <f t="shared" si="30"/>
        <v>0</v>
      </c>
      <c r="K164" s="164">
        <f t="shared" si="31"/>
        <v>0</v>
      </c>
      <c r="L164" s="164">
        <f t="shared" si="34"/>
        <v>0</v>
      </c>
      <c r="M164" s="164">
        <f t="shared" si="34"/>
        <v>0</v>
      </c>
      <c r="N164" s="164">
        <f t="shared" si="32"/>
        <v>0</v>
      </c>
      <c r="O164" s="164">
        <f t="shared" si="24"/>
        <v>0</v>
      </c>
      <c r="P164" s="164">
        <f t="shared" si="25"/>
        <v>0</v>
      </c>
      <c r="Q164" s="164">
        <f t="shared" si="26"/>
        <v>0</v>
      </c>
      <c r="R164" s="164">
        <f t="shared" si="35"/>
        <v>0</v>
      </c>
      <c r="S164" s="164">
        <f t="shared" si="27"/>
        <v>0</v>
      </c>
      <c r="T164" s="164">
        <f t="shared" si="28"/>
        <v>0</v>
      </c>
    </row>
    <row r="165" spans="2:20" x14ac:dyDescent="0.2">
      <c r="B165" s="171"/>
      <c r="D165" s="171"/>
      <c r="F165" s="158">
        <v>154</v>
      </c>
      <c r="G165" s="249">
        <f t="shared" si="29"/>
        <v>48334</v>
      </c>
      <c r="H165" s="158">
        <f t="shared" si="33"/>
        <v>30</v>
      </c>
      <c r="I165" s="254">
        <f>VLOOKUP(G165,'Прогноз переменной ставки'!$B$5:$E$304,4,1)</f>
        <v>9.9000000000000005E-2</v>
      </c>
      <c r="J165" s="164">
        <f t="shared" si="30"/>
        <v>0</v>
      </c>
      <c r="K165" s="164">
        <f t="shared" si="31"/>
        <v>0</v>
      </c>
      <c r="L165" s="164">
        <f t="shared" si="34"/>
        <v>0</v>
      </c>
      <c r="M165" s="164">
        <f t="shared" si="34"/>
        <v>0</v>
      </c>
      <c r="N165" s="164">
        <f t="shared" si="32"/>
        <v>0</v>
      </c>
      <c r="O165" s="164">
        <f t="shared" si="24"/>
        <v>0</v>
      </c>
      <c r="P165" s="164">
        <f t="shared" si="25"/>
        <v>0</v>
      </c>
      <c r="Q165" s="164">
        <f t="shared" si="26"/>
        <v>0</v>
      </c>
      <c r="R165" s="164">
        <f t="shared" si="35"/>
        <v>0</v>
      </c>
      <c r="S165" s="164">
        <f t="shared" si="27"/>
        <v>0</v>
      </c>
      <c r="T165" s="164">
        <f t="shared" si="28"/>
        <v>0</v>
      </c>
    </row>
    <row r="166" spans="2:20" x14ac:dyDescent="0.2">
      <c r="B166" s="171"/>
      <c r="D166" s="171"/>
      <c r="F166" s="158">
        <v>155</v>
      </c>
      <c r="G166" s="249">
        <f t="shared" si="29"/>
        <v>48365</v>
      </c>
      <c r="H166" s="158">
        <f t="shared" si="33"/>
        <v>31</v>
      </c>
      <c r="I166" s="254">
        <f>VLOOKUP(G166,'Прогноз переменной ставки'!$B$5:$E$304,4,1)</f>
        <v>9.9000000000000005E-2</v>
      </c>
      <c r="J166" s="164">
        <f t="shared" si="30"/>
        <v>0</v>
      </c>
      <c r="K166" s="164">
        <f t="shared" si="31"/>
        <v>0</v>
      </c>
      <c r="L166" s="164">
        <f t="shared" si="34"/>
        <v>0</v>
      </c>
      <c r="M166" s="164">
        <f t="shared" si="34"/>
        <v>0</v>
      </c>
      <c r="N166" s="164">
        <f t="shared" si="32"/>
        <v>0</v>
      </c>
      <c r="O166" s="164">
        <f t="shared" si="24"/>
        <v>0</v>
      </c>
      <c r="P166" s="164">
        <f t="shared" si="25"/>
        <v>0</v>
      </c>
      <c r="Q166" s="164">
        <f t="shared" si="26"/>
        <v>0</v>
      </c>
      <c r="R166" s="164">
        <f t="shared" si="35"/>
        <v>0</v>
      </c>
      <c r="S166" s="164">
        <f t="shared" si="27"/>
        <v>0</v>
      </c>
      <c r="T166" s="164">
        <f t="shared" si="28"/>
        <v>0</v>
      </c>
    </row>
    <row r="167" spans="2:20" x14ac:dyDescent="0.2">
      <c r="B167" s="171"/>
      <c r="D167" s="171"/>
      <c r="F167" s="158">
        <v>156</v>
      </c>
      <c r="G167" s="249">
        <f t="shared" si="29"/>
        <v>48395</v>
      </c>
      <c r="H167" s="158">
        <f t="shared" si="33"/>
        <v>30</v>
      </c>
      <c r="I167" s="254">
        <f>VLOOKUP(G167,'Прогноз переменной ставки'!$B$5:$E$304,4,1)</f>
        <v>9.9000000000000005E-2</v>
      </c>
      <c r="J167" s="164">
        <f t="shared" si="30"/>
        <v>0</v>
      </c>
      <c r="K167" s="164">
        <f t="shared" si="31"/>
        <v>0</v>
      </c>
      <c r="L167" s="164">
        <f t="shared" si="34"/>
        <v>0</v>
      </c>
      <c r="M167" s="164">
        <f t="shared" si="34"/>
        <v>0</v>
      </c>
      <c r="N167" s="164">
        <f t="shared" si="32"/>
        <v>0</v>
      </c>
      <c r="O167" s="164">
        <f t="shared" si="24"/>
        <v>0</v>
      </c>
      <c r="P167" s="164">
        <f t="shared" si="25"/>
        <v>0</v>
      </c>
      <c r="Q167" s="164">
        <f t="shared" si="26"/>
        <v>0</v>
      </c>
      <c r="R167" s="164">
        <f t="shared" si="35"/>
        <v>0</v>
      </c>
      <c r="S167" s="164">
        <f t="shared" si="27"/>
        <v>0</v>
      </c>
      <c r="T167" s="164">
        <f t="shared" si="28"/>
        <v>0</v>
      </c>
    </row>
    <row r="168" spans="2:20" x14ac:dyDescent="0.2">
      <c r="B168" s="171"/>
      <c r="D168" s="171"/>
      <c r="F168" s="158">
        <v>157</v>
      </c>
      <c r="G168" s="249">
        <f t="shared" si="29"/>
        <v>48426</v>
      </c>
      <c r="H168" s="158">
        <f t="shared" si="33"/>
        <v>31</v>
      </c>
      <c r="I168" s="254">
        <f>VLOOKUP(G168,'Прогноз переменной ставки'!$B$5:$E$304,4,1)</f>
        <v>9.9000000000000005E-2</v>
      </c>
      <c r="J168" s="164">
        <f t="shared" si="30"/>
        <v>0</v>
      </c>
      <c r="K168" s="164">
        <f t="shared" si="31"/>
        <v>0</v>
      </c>
      <c r="L168" s="164">
        <f t="shared" si="34"/>
        <v>0</v>
      </c>
      <c r="M168" s="164">
        <f t="shared" si="34"/>
        <v>0</v>
      </c>
      <c r="N168" s="164">
        <f t="shared" si="32"/>
        <v>0</v>
      </c>
      <c r="O168" s="164">
        <f t="shared" si="24"/>
        <v>0</v>
      </c>
      <c r="P168" s="164">
        <f t="shared" si="25"/>
        <v>0</v>
      </c>
      <c r="Q168" s="164">
        <f t="shared" si="26"/>
        <v>0</v>
      </c>
      <c r="R168" s="164">
        <f t="shared" si="35"/>
        <v>0</v>
      </c>
      <c r="S168" s="164">
        <f t="shared" si="27"/>
        <v>0</v>
      </c>
      <c r="T168" s="164">
        <f t="shared" si="28"/>
        <v>0</v>
      </c>
    </row>
    <row r="169" spans="2:20" x14ac:dyDescent="0.2">
      <c r="B169" s="171"/>
      <c r="D169" s="171"/>
      <c r="F169" s="158">
        <v>158</v>
      </c>
      <c r="G169" s="249">
        <f t="shared" si="29"/>
        <v>48457</v>
      </c>
      <c r="H169" s="158">
        <f t="shared" si="33"/>
        <v>31</v>
      </c>
      <c r="I169" s="254">
        <f>VLOOKUP(G169,'Прогноз переменной ставки'!$B$5:$E$304,4,1)</f>
        <v>9.9000000000000005E-2</v>
      </c>
      <c r="J169" s="164">
        <f t="shared" si="30"/>
        <v>0</v>
      </c>
      <c r="K169" s="164">
        <f t="shared" si="31"/>
        <v>0</v>
      </c>
      <c r="L169" s="164">
        <f t="shared" si="34"/>
        <v>0</v>
      </c>
      <c r="M169" s="164">
        <f t="shared" si="34"/>
        <v>0</v>
      </c>
      <c r="N169" s="164">
        <f t="shared" si="32"/>
        <v>0</v>
      </c>
      <c r="O169" s="164">
        <f t="shared" si="24"/>
        <v>0</v>
      </c>
      <c r="P169" s="164">
        <f t="shared" si="25"/>
        <v>0</v>
      </c>
      <c r="Q169" s="164">
        <f t="shared" si="26"/>
        <v>0</v>
      </c>
      <c r="R169" s="164">
        <f t="shared" si="35"/>
        <v>0</v>
      </c>
      <c r="S169" s="164">
        <f t="shared" si="27"/>
        <v>0</v>
      </c>
      <c r="T169" s="164">
        <f t="shared" si="28"/>
        <v>0</v>
      </c>
    </row>
    <row r="170" spans="2:20" x14ac:dyDescent="0.2">
      <c r="B170" s="171"/>
      <c r="D170" s="171"/>
      <c r="F170" s="158">
        <v>159</v>
      </c>
      <c r="G170" s="249">
        <f t="shared" si="29"/>
        <v>48487</v>
      </c>
      <c r="H170" s="158">
        <f t="shared" si="33"/>
        <v>30</v>
      </c>
      <c r="I170" s="254">
        <f>VLOOKUP(G170,'Прогноз переменной ставки'!$B$5:$E$304,4,1)</f>
        <v>9.9000000000000005E-2</v>
      </c>
      <c r="J170" s="164">
        <f t="shared" si="30"/>
        <v>0</v>
      </c>
      <c r="K170" s="164">
        <f t="shared" si="31"/>
        <v>0</v>
      </c>
      <c r="L170" s="164">
        <f t="shared" si="34"/>
        <v>0</v>
      </c>
      <c r="M170" s="164">
        <f t="shared" si="34"/>
        <v>0</v>
      </c>
      <c r="N170" s="164">
        <f t="shared" si="32"/>
        <v>0</v>
      </c>
      <c r="O170" s="164">
        <f t="shared" si="24"/>
        <v>0</v>
      </c>
      <c r="P170" s="164">
        <f t="shared" si="25"/>
        <v>0</v>
      </c>
      <c r="Q170" s="164">
        <f t="shared" si="26"/>
        <v>0</v>
      </c>
      <c r="R170" s="164">
        <f t="shared" si="35"/>
        <v>0</v>
      </c>
      <c r="S170" s="164">
        <f t="shared" si="27"/>
        <v>0</v>
      </c>
      <c r="T170" s="164">
        <f t="shared" si="28"/>
        <v>0</v>
      </c>
    </row>
    <row r="171" spans="2:20" x14ac:dyDescent="0.2">
      <c r="B171" s="171"/>
      <c r="D171" s="171"/>
      <c r="F171" s="158">
        <v>160</v>
      </c>
      <c r="G171" s="249">
        <f t="shared" si="29"/>
        <v>48518</v>
      </c>
      <c r="H171" s="158">
        <f t="shared" si="33"/>
        <v>31</v>
      </c>
      <c r="I171" s="254">
        <f>VLOOKUP(G171,'Прогноз переменной ставки'!$B$5:$E$304,4,1)</f>
        <v>9.9000000000000005E-2</v>
      </c>
      <c r="J171" s="164">
        <f t="shared" si="30"/>
        <v>0</v>
      </c>
      <c r="K171" s="164">
        <f t="shared" si="31"/>
        <v>0</v>
      </c>
      <c r="L171" s="164">
        <f t="shared" si="34"/>
        <v>0</v>
      </c>
      <c r="M171" s="164">
        <f t="shared" si="34"/>
        <v>0</v>
      </c>
      <c r="N171" s="164">
        <f t="shared" si="32"/>
        <v>0</v>
      </c>
      <c r="O171" s="164">
        <f t="shared" si="24"/>
        <v>0</v>
      </c>
      <c r="P171" s="164">
        <f t="shared" si="25"/>
        <v>0</v>
      </c>
      <c r="Q171" s="164">
        <f t="shared" si="26"/>
        <v>0</v>
      </c>
      <c r="R171" s="164">
        <f t="shared" si="35"/>
        <v>0</v>
      </c>
      <c r="S171" s="164">
        <f t="shared" si="27"/>
        <v>0</v>
      </c>
      <c r="T171" s="164">
        <f t="shared" si="28"/>
        <v>0</v>
      </c>
    </row>
    <row r="172" spans="2:20" x14ac:dyDescent="0.2">
      <c r="B172" s="171"/>
      <c r="D172" s="171"/>
      <c r="F172" s="158">
        <v>161</v>
      </c>
      <c r="G172" s="249">
        <f t="shared" si="29"/>
        <v>48548</v>
      </c>
      <c r="H172" s="158">
        <f t="shared" si="33"/>
        <v>30</v>
      </c>
      <c r="I172" s="254">
        <f>VLOOKUP(G172,'Прогноз переменной ставки'!$B$5:$E$304,4,1)</f>
        <v>9.9000000000000005E-2</v>
      </c>
      <c r="J172" s="164">
        <f t="shared" si="30"/>
        <v>0</v>
      </c>
      <c r="K172" s="164">
        <f t="shared" si="31"/>
        <v>0</v>
      </c>
      <c r="L172" s="164">
        <f t="shared" si="34"/>
        <v>0</v>
      </c>
      <c r="M172" s="164">
        <f t="shared" si="34"/>
        <v>0</v>
      </c>
      <c r="N172" s="164">
        <f t="shared" si="32"/>
        <v>0</v>
      </c>
      <c r="O172" s="164">
        <f t="shared" si="24"/>
        <v>0</v>
      </c>
      <c r="P172" s="164">
        <f t="shared" si="25"/>
        <v>0</v>
      </c>
      <c r="Q172" s="164">
        <f t="shared" si="26"/>
        <v>0</v>
      </c>
      <c r="R172" s="164">
        <f t="shared" si="35"/>
        <v>0</v>
      </c>
      <c r="S172" s="164">
        <f t="shared" si="27"/>
        <v>0</v>
      </c>
      <c r="T172" s="164">
        <f t="shared" si="28"/>
        <v>0</v>
      </c>
    </row>
    <row r="173" spans="2:20" x14ac:dyDescent="0.2">
      <c r="B173" s="171"/>
      <c r="D173" s="171"/>
      <c r="F173" s="158">
        <v>162</v>
      </c>
      <c r="G173" s="249">
        <f t="shared" si="29"/>
        <v>48579</v>
      </c>
      <c r="H173" s="158">
        <f t="shared" si="33"/>
        <v>31</v>
      </c>
      <c r="I173" s="254">
        <f>VLOOKUP(G173,'Прогноз переменной ставки'!$B$5:$E$304,4,1)</f>
        <v>9.9000000000000005E-2</v>
      </c>
      <c r="J173" s="164">
        <f t="shared" si="30"/>
        <v>0</v>
      </c>
      <c r="K173" s="164">
        <f t="shared" si="31"/>
        <v>0</v>
      </c>
      <c r="L173" s="164">
        <f t="shared" si="34"/>
        <v>0</v>
      </c>
      <c r="M173" s="164">
        <f t="shared" si="34"/>
        <v>0</v>
      </c>
      <c r="N173" s="164">
        <f t="shared" si="32"/>
        <v>0</v>
      </c>
      <c r="O173" s="164">
        <f t="shared" si="24"/>
        <v>0</v>
      </c>
      <c r="P173" s="164">
        <f t="shared" si="25"/>
        <v>0</v>
      </c>
      <c r="Q173" s="164">
        <f t="shared" si="26"/>
        <v>0</v>
      </c>
      <c r="R173" s="164">
        <f t="shared" si="35"/>
        <v>0</v>
      </c>
      <c r="S173" s="164">
        <f t="shared" si="27"/>
        <v>0</v>
      </c>
      <c r="T173" s="164">
        <f t="shared" si="28"/>
        <v>0</v>
      </c>
    </row>
    <row r="174" spans="2:20" x14ac:dyDescent="0.2">
      <c r="B174" s="171"/>
      <c r="D174" s="171"/>
      <c r="F174" s="158">
        <v>163</v>
      </c>
      <c r="G174" s="249">
        <f t="shared" si="29"/>
        <v>48610</v>
      </c>
      <c r="H174" s="158">
        <f t="shared" si="33"/>
        <v>31</v>
      </c>
      <c r="I174" s="254">
        <f>VLOOKUP(G174,'Прогноз переменной ставки'!$B$5:$E$304,4,1)</f>
        <v>9.9000000000000005E-2</v>
      </c>
      <c r="J174" s="164">
        <f t="shared" si="30"/>
        <v>0</v>
      </c>
      <c r="K174" s="164">
        <f t="shared" si="31"/>
        <v>0</v>
      </c>
      <c r="L174" s="164">
        <f t="shared" si="34"/>
        <v>0</v>
      </c>
      <c r="M174" s="164">
        <f t="shared" si="34"/>
        <v>0</v>
      </c>
      <c r="N174" s="164">
        <f t="shared" si="32"/>
        <v>0</v>
      </c>
      <c r="O174" s="164">
        <f t="shared" si="24"/>
        <v>0</v>
      </c>
      <c r="P174" s="164">
        <f t="shared" si="25"/>
        <v>0</v>
      </c>
      <c r="Q174" s="164">
        <f t="shared" si="26"/>
        <v>0</v>
      </c>
      <c r="R174" s="164">
        <f t="shared" si="35"/>
        <v>0</v>
      </c>
      <c r="S174" s="164">
        <f t="shared" si="27"/>
        <v>0</v>
      </c>
      <c r="T174" s="164">
        <f t="shared" si="28"/>
        <v>0</v>
      </c>
    </row>
    <row r="175" spans="2:20" x14ac:dyDescent="0.2">
      <c r="B175" s="171"/>
      <c r="D175" s="171"/>
      <c r="F175" s="158">
        <v>164</v>
      </c>
      <c r="G175" s="249">
        <f t="shared" si="29"/>
        <v>48638</v>
      </c>
      <c r="H175" s="158">
        <f t="shared" si="33"/>
        <v>28</v>
      </c>
      <c r="I175" s="254">
        <f>VLOOKUP(G175,'Прогноз переменной ставки'!$B$5:$E$304,4,1)</f>
        <v>9.9000000000000005E-2</v>
      </c>
      <c r="J175" s="164">
        <f t="shared" si="30"/>
        <v>0</v>
      </c>
      <c r="K175" s="164">
        <f t="shared" si="31"/>
        <v>0</v>
      </c>
      <c r="L175" s="164">
        <f t="shared" si="34"/>
        <v>0</v>
      </c>
      <c r="M175" s="164">
        <f t="shared" si="34"/>
        <v>0</v>
      </c>
      <c r="N175" s="164">
        <f t="shared" si="32"/>
        <v>0</v>
      </c>
      <c r="O175" s="164">
        <f t="shared" si="24"/>
        <v>0</v>
      </c>
      <c r="P175" s="164">
        <f t="shared" si="25"/>
        <v>0</v>
      </c>
      <c r="Q175" s="164">
        <f t="shared" si="26"/>
        <v>0</v>
      </c>
      <c r="R175" s="164">
        <f t="shared" si="35"/>
        <v>0</v>
      </c>
      <c r="S175" s="164">
        <f t="shared" si="27"/>
        <v>0</v>
      </c>
      <c r="T175" s="164">
        <f t="shared" si="28"/>
        <v>0</v>
      </c>
    </row>
    <row r="176" spans="2:20" x14ac:dyDescent="0.2">
      <c r="B176" s="171"/>
      <c r="D176" s="171"/>
      <c r="F176" s="158">
        <v>165</v>
      </c>
      <c r="G176" s="249">
        <f t="shared" si="29"/>
        <v>48669</v>
      </c>
      <c r="H176" s="158">
        <f t="shared" si="33"/>
        <v>31</v>
      </c>
      <c r="I176" s="254">
        <f>VLOOKUP(G176,'Прогноз переменной ставки'!$B$5:$E$304,4,1)</f>
        <v>9.9000000000000005E-2</v>
      </c>
      <c r="J176" s="164">
        <f t="shared" si="30"/>
        <v>0</v>
      </c>
      <c r="K176" s="164">
        <f t="shared" si="31"/>
        <v>0</v>
      </c>
      <c r="L176" s="164">
        <f t="shared" si="34"/>
        <v>0</v>
      </c>
      <c r="M176" s="164">
        <f t="shared" si="34"/>
        <v>0</v>
      </c>
      <c r="N176" s="164">
        <f t="shared" si="32"/>
        <v>0</v>
      </c>
      <c r="O176" s="164">
        <f t="shared" si="24"/>
        <v>0</v>
      </c>
      <c r="P176" s="164">
        <f t="shared" si="25"/>
        <v>0</v>
      </c>
      <c r="Q176" s="164">
        <f t="shared" si="26"/>
        <v>0</v>
      </c>
      <c r="R176" s="164">
        <f t="shared" si="35"/>
        <v>0</v>
      </c>
      <c r="S176" s="164">
        <f t="shared" si="27"/>
        <v>0</v>
      </c>
      <c r="T176" s="164">
        <f t="shared" si="28"/>
        <v>0</v>
      </c>
    </row>
    <row r="177" spans="2:20" x14ac:dyDescent="0.2">
      <c r="B177" s="171"/>
      <c r="D177" s="171"/>
      <c r="F177" s="158">
        <v>166</v>
      </c>
      <c r="G177" s="249">
        <f t="shared" si="29"/>
        <v>48699</v>
      </c>
      <c r="H177" s="158">
        <f t="shared" si="33"/>
        <v>30</v>
      </c>
      <c r="I177" s="254">
        <f>VLOOKUP(G177,'Прогноз переменной ставки'!$B$5:$E$304,4,1)</f>
        <v>9.9000000000000005E-2</v>
      </c>
      <c r="J177" s="164">
        <f t="shared" si="30"/>
        <v>0</v>
      </c>
      <c r="K177" s="164">
        <f t="shared" si="31"/>
        <v>0</v>
      </c>
      <c r="L177" s="164">
        <f t="shared" si="34"/>
        <v>0</v>
      </c>
      <c r="M177" s="164">
        <f t="shared" si="34"/>
        <v>0</v>
      </c>
      <c r="N177" s="164">
        <f t="shared" si="32"/>
        <v>0</v>
      </c>
      <c r="O177" s="164">
        <f t="shared" si="24"/>
        <v>0</v>
      </c>
      <c r="P177" s="164">
        <f t="shared" si="25"/>
        <v>0</v>
      </c>
      <c r="Q177" s="164">
        <f t="shared" si="26"/>
        <v>0</v>
      </c>
      <c r="R177" s="164">
        <f t="shared" si="35"/>
        <v>0</v>
      </c>
      <c r="S177" s="164">
        <f t="shared" si="27"/>
        <v>0</v>
      </c>
      <c r="T177" s="164">
        <f t="shared" si="28"/>
        <v>0</v>
      </c>
    </row>
    <row r="178" spans="2:20" x14ac:dyDescent="0.2">
      <c r="B178" s="171"/>
      <c r="D178" s="171"/>
      <c r="F178" s="158">
        <v>167</v>
      </c>
      <c r="G178" s="249">
        <f t="shared" si="29"/>
        <v>48730</v>
      </c>
      <c r="H178" s="158">
        <f t="shared" si="33"/>
        <v>31</v>
      </c>
      <c r="I178" s="254">
        <f>VLOOKUP(G178,'Прогноз переменной ставки'!$B$5:$E$304,4,1)</f>
        <v>9.9000000000000005E-2</v>
      </c>
      <c r="J178" s="164">
        <f t="shared" si="30"/>
        <v>0</v>
      </c>
      <c r="K178" s="164">
        <f t="shared" si="31"/>
        <v>0</v>
      </c>
      <c r="L178" s="164">
        <f t="shared" si="34"/>
        <v>0</v>
      </c>
      <c r="M178" s="164">
        <f t="shared" si="34"/>
        <v>0</v>
      </c>
      <c r="N178" s="164">
        <f t="shared" si="32"/>
        <v>0</v>
      </c>
      <c r="O178" s="164">
        <f t="shared" si="24"/>
        <v>0</v>
      </c>
      <c r="P178" s="164">
        <f t="shared" si="25"/>
        <v>0</v>
      </c>
      <c r="Q178" s="164">
        <f t="shared" si="26"/>
        <v>0</v>
      </c>
      <c r="R178" s="164">
        <f t="shared" si="35"/>
        <v>0</v>
      </c>
      <c r="S178" s="164">
        <f t="shared" si="27"/>
        <v>0</v>
      </c>
      <c r="T178" s="164">
        <f t="shared" si="28"/>
        <v>0</v>
      </c>
    </row>
    <row r="179" spans="2:20" x14ac:dyDescent="0.2">
      <c r="B179" s="171"/>
      <c r="D179" s="171"/>
      <c r="F179" s="158">
        <v>168</v>
      </c>
      <c r="G179" s="249">
        <f t="shared" si="29"/>
        <v>48760</v>
      </c>
      <c r="H179" s="158">
        <f t="shared" si="33"/>
        <v>30</v>
      </c>
      <c r="I179" s="254">
        <f>VLOOKUP(G179,'Прогноз переменной ставки'!$B$5:$E$304,4,1)</f>
        <v>9.9000000000000005E-2</v>
      </c>
      <c r="J179" s="164">
        <f t="shared" si="30"/>
        <v>0</v>
      </c>
      <c r="K179" s="164">
        <f t="shared" si="31"/>
        <v>0</v>
      </c>
      <c r="L179" s="164">
        <f t="shared" si="34"/>
        <v>0</v>
      </c>
      <c r="M179" s="164">
        <f t="shared" si="34"/>
        <v>0</v>
      </c>
      <c r="N179" s="164">
        <f t="shared" si="32"/>
        <v>0</v>
      </c>
      <c r="O179" s="164">
        <f t="shared" si="24"/>
        <v>0</v>
      </c>
      <c r="P179" s="164">
        <f t="shared" si="25"/>
        <v>0</v>
      </c>
      <c r="Q179" s="164">
        <f t="shared" si="26"/>
        <v>0</v>
      </c>
      <c r="R179" s="164">
        <f t="shared" si="35"/>
        <v>0</v>
      </c>
      <c r="S179" s="164">
        <f t="shared" si="27"/>
        <v>0</v>
      </c>
      <c r="T179" s="164">
        <f t="shared" si="28"/>
        <v>0</v>
      </c>
    </row>
    <row r="180" spans="2:20" x14ac:dyDescent="0.2">
      <c r="B180" s="171"/>
      <c r="D180" s="171"/>
      <c r="F180" s="158">
        <v>169</v>
      </c>
      <c r="G180" s="249">
        <f t="shared" si="29"/>
        <v>48791</v>
      </c>
      <c r="H180" s="158">
        <f t="shared" si="33"/>
        <v>31</v>
      </c>
      <c r="I180" s="254">
        <f>VLOOKUP(G180,'Прогноз переменной ставки'!$B$5:$E$304,4,1)</f>
        <v>9.9000000000000005E-2</v>
      </c>
      <c r="J180" s="164">
        <f t="shared" si="30"/>
        <v>0</v>
      </c>
      <c r="K180" s="164">
        <f t="shared" si="31"/>
        <v>0</v>
      </c>
      <c r="L180" s="164">
        <f t="shared" si="34"/>
        <v>0</v>
      </c>
      <c r="M180" s="164">
        <f t="shared" si="34"/>
        <v>0</v>
      </c>
      <c r="N180" s="164">
        <f t="shared" si="32"/>
        <v>0</v>
      </c>
      <c r="O180" s="164">
        <f t="shared" si="24"/>
        <v>0</v>
      </c>
      <c r="P180" s="164">
        <f t="shared" si="25"/>
        <v>0</v>
      </c>
      <c r="Q180" s="164">
        <f t="shared" si="26"/>
        <v>0</v>
      </c>
      <c r="R180" s="164">
        <f t="shared" si="35"/>
        <v>0</v>
      </c>
      <c r="S180" s="164">
        <f t="shared" si="27"/>
        <v>0</v>
      </c>
      <c r="T180" s="164">
        <f t="shared" si="28"/>
        <v>0</v>
      </c>
    </row>
    <row r="181" spans="2:20" x14ac:dyDescent="0.2">
      <c r="B181" s="171"/>
      <c r="D181" s="171"/>
      <c r="F181" s="158">
        <v>170</v>
      </c>
      <c r="G181" s="249">
        <f t="shared" si="29"/>
        <v>48822</v>
      </c>
      <c r="H181" s="158">
        <f t="shared" si="33"/>
        <v>31</v>
      </c>
      <c r="I181" s="254">
        <f>VLOOKUP(G181,'Прогноз переменной ставки'!$B$5:$E$304,4,1)</f>
        <v>9.9000000000000005E-2</v>
      </c>
      <c r="J181" s="164">
        <f t="shared" si="30"/>
        <v>0</v>
      </c>
      <c r="K181" s="164">
        <f t="shared" si="31"/>
        <v>0</v>
      </c>
      <c r="L181" s="164">
        <f t="shared" si="34"/>
        <v>0</v>
      </c>
      <c r="M181" s="164">
        <f t="shared" si="34"/>
        <v>0</v>
      </c>
      <c r="N181" s="164">
        <f t="shared" si="32"/>
        <v>0</v>
      </c>
      <c r="O181" s="164">
        <f t="shared" si="24"/>
        <v>0</v>
      </c>
      <c r="P181" s="164">
        <f t="shared" si="25"/>
        <v>0</v>
      </c>
      <c r="Q181" s="164">
        <f t="shared" si="26"/>
        <v>0</v>
      </c>
      <c r="R181" s="164">
        <f t="shared" si="35"/>
        <v>0</v>
      </c>
      <c r="S181" s="164">
        <f t="shared" si="27"/>
        <v>0</v>
      </c>
      <c r="T181" s="164">
        <f t="shared" si="28"/>
        <v>0</v>
      </c>
    </row>
    <row r="182" spans="2:20" x14ac:dyDescent="0.2">
      <c r="B182" s="171"/>
      <c r="D182" s="171"/>
      <c r="F182" s="158">
        <v>171</v>
      </c>
      <c r="G182" s="249">
        <f t="shared" si="29"/>
        <v>48852</v>
      </c>
      <c r="H182" s="158">
        <f t="shared" si="33"/>
        <v>30</v>
      </c>
      <c r="I182" s="254">
        <f>VLOOKUP(G182,'Прогноз переменной ставки'!$B$5:$E$304,4,1)</f>
        <v>9.9000000000000005E-2</v>
      </c>
      <c r="J182" s="164">
        <f t="shared" si="30"/>
        <v>0</v>
      </c>
      <c r="K182" s="164">
        <f t="shared" si="31"/>
        <v>0</v>
      </c>
      <c r="L182" s="164">
        <f t="shared" si="34"/>
        <v>0</v>
      </c>
      <c r="M182" s="164">
        <f t="shared" si="34"/>
        <v>0</v>
      </c>
      <c r="N182" s="164">
        <f t="shared" si="32"/>
        <v>0</v>
      </c>
      <c r="O182" s="164">
        <f t="shared" si="24"/>
        <v>0</v>
      </c>
      <c r="P182" s="164">
        <f t="shared" si="25"/>
        <v>0</v>
      </c>
      <c r="Q182" s="164">
        <f t="shared" si="26"/>
        <v>0</v>
      </c>
      <c r="R182" s="164">
        <f t="shared" si="35"/>
        <v>0</v>
      </c>
      <c r="S182" s="164">
        <f t="shared" si="27"/>
        <v>0</v>
      </c>
      <c r="T182" s="164">
        <f t="shared" si="28"/>
        <v>0</v>
      </c>
    </row>
    <row r="183" spans="2:20" x14ac:dyDescent="0.2">
      <c r="B183" s="171"/>
      <c r="D183" s="171"/>
      <c r="F183" s="158">
        <v>172</v>
      </c>
      <c r="G183" s="249">
        <f t="shared" si="29"/>
        <v>48883</v>
      </c>
      <c r="H183" s="158">
        <f t="shared" si="33"/>
        <v>31</v>
      </c>
      <c r="I183" s="254">
        <f>VLOOKUP(G183,'Прогноз переменной ставки'!$B$5:$E$304,4,1)</f>
        <v>9.9000000000000005E-2</v>
      </c>
      <c r="J183" s="164">
        <f t="shared" si="30"/>
        <v>0</v>
      </c>
      <c r="K183" s="164">
        <f t="shared" si="31"/>
        <v>0</v>
      </c>
      <c r="L183" s="164">
        <f t="shared" si="34"/>
        <v>0</v>
      </c>
      <c r="M183" s="164">
        <f t="shared" si="34"/>
        <v>0</v>
      </c>
      <c r="N183" s="164">
        <f t="shared" si="32"/>
        <v>0</v>
      </c>
      <c r="O183" s="164">
        <f t="shared" si="24"/>
        <v>0</v>
      </c>
      <c r="P183" s="164">
        <f t="shared" si="25"/>
        <v>0</v>
      </c>
      <c r="Q183" s="164">
        <f t="shared" si="26"/>
        <v>0</v>
      </c>
      <c r="R183" s="164">
        <f t="shared" si="35"/>
        <v>0</v>
      </c>
      <c r="S183" s="164">
        <f t="shared" si="27"/>
        <v>0</v>
      </c>
      <c r="T183" s="164">
        <f t="shared" si="28"/>
        <v>0</v>
      </c>
    </row>
    <row r="184" spans="2:20" x14ac:dyDescent="0.2">
      <c r="B184" s="171"/>
      <c r="D184" s="171"/>
      <c r="F184" s="158">
        <v>173</v>
      </c>
      <c r="G184" s="249">
        <f t="shared" si="29"/>
        <v>48913</v>
      </c>
      <c r="H184" s="158">
        <f t="shared" si="33"/>
        <v>30</v>
      </c>
      <c r="I184" s="254">
        <f>VLOOKUP(G184,'Прогноз переменной ставки'!$B$5:$E$304,4,1)</f>
        <v>9.9000000000000005E-2</v>
      </c>
      <c r="J184" s="164">
        <f t="shared" si="30"/>
        <v>0</v>
      </c>
      <c r="K184" s="164">
        <f t="shared" si="31"/>
        <v>0</v>
      </c>
      <c r="L184" s="164">
        <f t="shared" si="34"/>
        <v>0</v>
      </c>
      <c r="M184" s="164">
        <f t="shared" si="34"/>
        <v>0</v>
      </c>
      <c r="N184" s="164">
        <f t="shared" si="32"/>
        <v>0</v>
      </c>
      <c r="O184" s="164">
        <f t="shared" si="24"/>
        <v>0</v>
      </c>
      <c r="P184" s="164">
        <f t="shared" si="25"/>
        <v>0</v>
      </c>
      <c r="Q184" s="164">
        <f t="shared" si="26"/>
        <v>0</v>
      </c>
      <c r="R184" s="164">
        <f t="shared" si="35"/>
        <v>0</v>
      </c>
      <c r="S184" s="164">
        <f t="shared" si="27"/>
        <v>0</v>
      </c>
      <c r="T184" s="164">
        <f t="shared" si="28"/>
        <v>0</v>
      </c>
    </row>
    <row r="185" spans="2:20" x14ac:dyDescent="0.2">
      <c r="B185" s="171"/>
      <c r="D185" s="171"/>
      <c r="F185" s="158">
        <v>174</v>
      </c>
      <c r="G185" s="249">
        <f t="shared" si="29"/>
        <v>48944</v>
      </c>
      <c r="H185" s="158">
        <f t="shared" si="33"/>
        <v>31</v>
      </c>
      <c r="I185" s="254">
        <f>VLOOKUP(G185,'Прогноз переменной ставки'!$B$5:$E$304,4,1)</f>
        <v>9.9000000000000005E-2</v>
      </c>
      <c r="J185" s="164">
        <f t="shared" si="30"/>
        <v>0</v>
      </c>
      <c r="K185" s="164">
        <f t="shared" si="31"/>
        <v>0</v>
      </c>
      <c r="L185" s="164">
        <f t="shared" si="34"/>
        <v>0</v>
      </c>
      <c r="M185" s="164">
        <f t="shared" si="34"/>
        <v>0</v>
      </c>
      <c r="N185" s="164">
        <f t="shared" si="32"/>
        <v>0</v>
      </c>
      <c r="O185" s="164">
        <f t="shared" si="24"/>
        <v>0</v>
      </c>
      <c r="P185" s="164">
        <f t="shared" si="25"/>
        <v>0</v>
      </c>
      <c r="Q185" s="164">
        <f t="shared" si="26"/>
        <v>0</v>
      </c>
      <c r="R185" s="164">
        <f t="shared" si="35"/>
        <v>0</v>
      </c>
      <c r="S185" s="164">
        <f t="shared" si="27"/>
        <v>0</v>
      </c>
      <c r="T185" s="164">
        <f t="shared" si="28"/>
        <v>0</v>
      </c>
    </row>
    <row r="186" spans="2:20" x14ac:dyDescent="0.2">
      <c r="B186" s="171"/>
      <c r="D186" s="171"/>
      <c r="F186" s="158">
        <v>175</v>
      </c>
      <c r="G186" s="249">
        <f t="shared" si="29"/>
        <v>48975</v>
      </c>
      <c r="H186" s="158">
        <f t="shared" si="33"/>
        <v>31</v>
      </c>
      <c r="I186" s="254">
        <f>VLOOKUP(G186,'Прогноз переменной ставки'!$B$5:$E$304,4,1)</f>
        <v>9.9000000000000005E-2</v>
      </c>
      <c r="J186" s="164">
        <f t="shared" si="30"/>
        <v>0</v>
      </c>
      <c r="K186" s="164">
        <f t="shared" si="31"/>
        <v>0</v>
      </c>
      <c r="L186" s="164">
        <f t="shared" si="34"/>
        <v>0</v>
      </c>
      <c r="M186" s="164">
        <f t="shared" si="34"/>
        <v>0</v>
      </c>
      <c r="N186" s="164">
        <f t="shared" si="32"/>
        <v>0</v>
      </c>
      <c r="O186" s="164">
        <f t="shared" si="24"/>
        <v>0</v>
      </c>
      <c r="P186" s="164">
        <f t="shared" si="25"/>
        <v>0</v>
      </c>
      <c r="Q186" s="164">
        <f t="shared" si="26"/>
        <v>0</v>
      </c>
      <c r="R186" s="164">
        <f t="shared" si="35"/>
        <v>0</v>
      </c>
      <c r="S186" s="164">
        <f t="shared" si="27"/>
        <v>0</v>
      </c>
      <c r="T186" s="164">
        <f t="shared" si="28"/>
        <v>0</v>
      </c>
    </row>
    <row r="187" spans="2:20" x14ac:dyDescent="0.2">
      <c r="B187" s="171"/>
      <c r="D187" s="171"/>
      <c r="F187" s="158">
        <v>176</v>
      </c>
      <c r="G187" s="249">
        <f t="shared" si="29"/>
        <v>49003</v>
      </c>
      <c r="H187" s="158">
        <f t="shared" si="33"/>
        <v>28</v>
      </c>
      <c r="I187" s="254">
        <f>VLOOKUP(G187,'Прогноз переменной ставки'!$B$5:$E$304,4,1)</f>
        <v>9.9000000000000005E-2</v>
      </c>
      <c r="J187" s="164">
        <f t="shared" si="30"/>
        <v>0</v>
      </c>
      <c r="K187" s="164">
        <f t="shared" si="31"/>
        <v>0</v>
      </c>
      <c r="L187" s="164">
        <f t="shared" si="34"/>
        <v>0</v>
      </c>
      <c r="M187" s="164">
        <f t="shared" si="34"/>
        <v>0</v>
      </c>
      <c r="N187" s="164">
        <f t="shared" si="32"/>
        <v>0</v>
      </c>
      <c r="O187" s="164">
        <f t="shared" si="24"/>
        <v>0</v>
      </c>
      <c r="P187" s="164">
        <f t="shared" si="25"/>
        <v>0</v>
      </c>
      <c r="Q187" s="164">
        <f t="shared" si="26"/>
        <v>0</v>
      </c>
      <c r="R187" s="164">
        <f t="shared" si="35"/>
        <v>0</v>
      </c>
      <c r="S187" s="164">
        <f t="shared" si="27"/>
        <v>0</v>
      </c>
      <c r="T187" s="164">
        <f t="shared" si="28"/>
        <v>0</v>
      </c>
    </row>
    <row r="188" spans="2:20" x14ac:dyDescent="0.2">
      <c r="B188" s="171"/>
      <c r="D188" s="171"/>
      <c r="F188" s="158">
        <v>177</v>
      </c>
      <c r="G188" s="249">
        <f t="shared" si="29"/>
        <v>49034</v>
      </c>
      <c r="H188" s="158">
        <f t="shared" si="33"/>
        <v>31</v>
      </c>
      <c r="I188" s="254">
        <f>VLOOKUP(G188,'Прогноз переменной ставки'!$B$5:$E$304,4,1)</f>
        <v>9.9000000000000005E-2</v>
      </c>
      <c r="J188" s="164">
        <f t="shared" si="30"/>
        <v>0</v>
      </c>
      <c r="K188" s="164">
        <f t="shared" si="31"/>
        <v>0</v>
      </c>
      <c r="L188" s="164">
        <f t="shared" si="34"/>
        <v>0</v>
      </c>
      <c r="M188" s="164">
        <f t="shared" si="34"/>
        <v>0</v>
      </c>
      <c r="N188" s="164">
        <f t="shared" si="32"/>
        <v>0</v>
      </c>
      <c r="O188" s="164">
        <f t="shared" si="24"/>
        <v>0</v>
      </c>
      <c r="P188" s="164">
        <f t="shared" si="25"/>
        <v>0</v>
      </c>
      <c r="Q188" s="164">
        <f t="shared" si="26"/>
        <v>0</v>
      </c>
      <c r="R188" s="164">
        <f t="shared" si="35"/>
        <v>0</v>
      </c>
      <c r="S188" s="164">
        <f t="shared" si="27"/>
        <v>0</v>
      </c>
      <c r="T188" s="164">
        <f t="shared" si="28"/>
        <v>0</v>
      </c>
    </row>
    <row r="189" spans="2:20" x14ac:dyDescent="0.2">
      <c r="B189" s="171"/>
      <c r="D189" s="171"/>
      <c r="F189" s="158">
        <v>178</v>
      </c>
      <c r="G189" s="249">
        <f t="shared" si="29"/>
        <v>49064</v>
      </c>
      <c r="H189" s="158">
        <f t="shared" si="33"/>
        <v>30</v>
      </c>
      <c r="I189" s="254">
        <f>VLOOKUP(G189,'Прогноз переменной ставки'!$B$5:$E$304,4,1)</f>
        <v>9.9000000000000005E-2</v>
      </c>
      <c r="J189" s="164">
        <f t="shared" si="30"/>
        <v>0</v>
      </c>
      <c r="K189" s="164">
        <f t="shared" si="31"/>
        <v>0</v>
      </c>
      <c r="L189" s="164">
        <f t="shared" si="34"/>
        <v>0</v>
      </c>
      <c r="M189" s="164">
        <f t="shared" si="34"/>
        <v>0</v>
      </c>
      <c r="N189" s="164">
        <f t="shared" si="32"/>
        <v>0</v>
      </c>
      <c r="O189" s="164">
        <f t="shared" si="24"/>
        <v>0</v>
      </c>
      <c r="P189" s="164">
        <f t="shared" si="25"/>
        <v>0</v>
      </c>
      <c r="Q189" s="164">
        <f t="shared" si="26"/>
        <v>0</v>
      </c>
      <c r="R189" s="164">
        <f t="shared" si="35"/>
        <v>0</v>
      </c>
      <c r="S189" s="164">
        <f t="shared" si="27"/>
        <v>0</v>
      </c>
      <c r="T189" s="164">
        <f t="shared" si="28"/>
        <v>0</v>
      </c>
    </row>
    <row r="190" spans="2:20" x14ac:dyDescent="0.2">
      <c r="B190" s="171"/>
      <c r="D190" s="171"/>
      <c r="F190" s="158">
        <v>179</v>
      </c>
      <c r="G190" s="249">
        <f t="shared" si="29"/>
        <v>49095</v>
      </c>
      <c r="H190" s="158">
        <f t="shared" si="33"/>
        <v>31</v>
      </c>
      <c r="I190" s="254">
        <f>VLOOKUP(G190,'Прогноз переменной ставки'!$B$5:$E$304,4,1)</f>
        <v>9.9000000000000005E-2</v>
      </c>
      <c r="J190" s="164">
        <f t="shared" si="30"/>
        <v>0</v>
      </c>
      <c r="K190" s="164">
        <f t="shared" si="31"/>
        <v>0</v>
      </c>
      <c r="L190" s="164">
        <f t="shared" si="34"/>
        <v>0</v>
      </c>
      <c r="M190" s="164">
        <f t="shared" si="34"/>
        <v>0</v>
      </c>
      <c r="N190" s="164">
        <f t="shared" si="32"/>
        <v>0</v>
      </c>
      <c r="O190" s="164">
        <f t="shared" si="24"/>
        <v>0</v>
      </c>
      <c r="P190" s="164">
        <f t="shared" si="25"/>
        <v>0</v>
      </c>
      <c r="Q190" s="164">
        <f t="shared" si="26"/>
        <v>0</v>
      </c>
      <c r="R190" s="164">
        <f t="shared" si="35"/>
        <v>0</v>
      </c>
      <c r="S190" s="164">
        <f t="shared" si="27"/>
        <v>0</v>
      </c>
      <c r="T190" s="164">
        <f t="shared" si="28"/>
        <v>0</v>
      </c>
    </row>
    <row r="191" spans="2:20" x14ac:dyDescent="0.2">
      <c r="B191" s="171"/>
      <c r="D191" s="171"/>
      <c r="F191" s="158">
        <v>180</v>
      </c>
      <c r="G191" s="249">
        <f t="shared" si="29"/>
        <v>49125</v>
      </c>
      <c r="H191" s="158">
        <f t="shared" si="33"/>
        <v>30</v>
      </c>
      <c r="I191" s="254">
        <f>VLOOKUP(G191,'Прогноз переменной ставки'!$B$5:$E$304,4,1)</f>
        <v>9.9000000000000005E-2</v>
      </c>
      <c r="J191" s="164">
        <f t="shared" si="30"/>
        <v>0</v>
      </c>
      <c r="K191" s="164">
        <f t="shared" si="31"/>
        <v>0</v>
      </c>
      <c r="L191" s="164">
        <f t="shared" si="34"/>
        <v>0</v>
      </c>
      <c r="M191" s="164">
        <f t="shared" si="34"/>
        <v>0</v>
      </c>
      <c r="N191" s="164">
        <f t="shared" si="32"/>
        <v>0</v>
      </c>
      <c r="O191" s="164">
        <f t="shared" si="24"/>
        <v>0</v>
      </c>
      <c r="P191" s="164">
        <f t="shared" si="25"/>
        <v>0</v>
      </c>
      <c r="Q191" s="164">
        <f t="shared" si="26"/>
        <v>0</v>
      </c>
      <c r="R191" s="164">
        <f t="shared" si="35"/>
        <v>0</v>
      </c>
      <c r="S191" s="164">
        <f t="shared" si="27"/>
        <v>0</v>
      </c>
      <c r="T191" s="164">
        <f t="shared" si="28"/>
        <v>0</v>
      </c>
    </row>
    <row r="192" spans="2:20" x14ac:dyDescent="0.2">
      <c r="B192" s="171"/>
      <c r="D192" s="171"/>
      <c r="F192" s="158">
        <v>181</v>
      </c>
      <c r="G192" s="249">
        <f t="shared" si="29"/>
        <v>49156</v>
      </c>
      <c r="H192" s="158">
        <f t="shared" si="33"/>
        <v>31</v>
      </c>
      <c r="I192" s="254">
        <f>VLOOKUP(G192,'Прогноз переменной ставки'!$B$5:$E$304,4,1)</f>
        <v>9.9000000000000005E-2</v>
      </c>
      <c r="J192" s="164">
        <f t="shared" si="30"/>
        <v>0</v>
      </c>
      <c r="K192" s="164">
        <f t="shared" si="31"/>
        <v>0</v>
      </c>
      <c r="L192" s="164">
        <f t="shared" si="34"/>
        <v>0</v>
      </c>
      <c r="M192" s="164">
        <f t="shared" si="34"/>
        <v>0</v>
      </c>
      <c r="N192" s="164">
        <f t="shared" si="32"/>
        <v>0</v>
      </c>
      <c r="O192" s="164">
        <f t="shared" si="24"/>
        <v>0</v>
      </c>
      <c r="P192" s="164">
        <f t="shared" si="25"/>
        <v>0</v>
      </c>
      <c r="Q192" s="164">
        <f t="shared" si="26"/>
        <v>0</v>
      </c>
      <c r="R192" s="164">
        <f t="shared" si="35"/>
        <v>0</v>
      </c>
      <c r="S192" s="164">
        <f t="shared" si="27"/>
        <v>0</v>
      </c>
      <c r="T192" s="164">
        <f t="shared" si="28"/>
        <v>0</v>
      </c>
    </row>
    <row r="193" spans="2:20" x14ac:dyDescent="0.2">
      <c r="B193" s="171"/>
      <c r="D193" s="171"/>
      <c r="F193" s="158">
        <v>182</v>
      </c>
      <c r="G193" s="249">
        <f t="shared" si="29"/>
        <v>49187</v>
      </c>
      <c r="H193" s="158">
        <f t="shared" si="33"/>
        <v>31</v>
      </c>
      <c r="I193" s="254">
        <f>VLOOKUP(G193,'Прогноз переменной ставки'!$B$5:$E$304,4,1)</f>
        <v>9.9000000000000005E-2</v>
      </c>
      <c r="J193" s="164">
        <f t="shared" si="30"/>
        <v>0</v>
      </c>
      <c r="K193" s="164">
        <f t="shared" si="31"/>
        <v>0</v>
      </c>
      <c r="L193" s="164">
        <f t="shared" si="34"/>
        <v>0</v>
      </c>
      <c r="M193" s="164">
        <f t="shared" si="34"/>
        <v>0</v>
      </c>
      <c r="N193" s="164">
        <f t="shared" si="32"/>
        <v>0</v>
      </c>
      <c r="O193" s="164">
        <f t="shared" si="24"/>
        <v>0</v>
      </c>
      <c r="P193" s="164">
        <f t="shared" si="25"/>
        <v>0</v>
      </c>
      <c r="Q193" s="164">
        <f t="shared" si="26"/>
        <v>0</v>
      </c>
      <c r="R193" s="164">
        <f t="shared" si="35"/>
        <v>0</v>
      </c>
      <c r="S193" s="164">
        <f t="shared" si="27"/>
        <v>0</v>
      </c>
      <c r="T193" s="164">
        <f t="shared" si="28"/>
        <v>0</v>
      </c>
    </row>
    <row r="194" spans="2:20" x14ac:dyDescent="0.2">
      <c r="B194" s="171"/>
      <c r="D194" s="171"/>
      <c r="F194" s="158">
        <v>183</v>
      </c>
      <c r="G194" s="249">
        <f t="shared" si="29"/>
        <v>49217</v>
      </c>
      <c r="H194" s="158">
        <f t="shared" si="33"/>
        <v>30</v>
      </c>
      <c r="I194" s="254">
        <f>VLOOKUP(G194,'Прогноз переменной ставки'!$B$5:$E$304,4,1)</f>
        <v>9.9000000000000005E-2</v>
      </c>
      <c r="J194" s="164">
        <f t="shared" si="30"/>
        <v>0</v>
      </c>
      <c r="K194" s="164">
        <f t="shared" si="31"/>
        <v>0</v>
      </c>
      <c r="L194" s="164">
        <f t="shared" si="34"/>
        <v>0</v>
      </c>
      <c r="M194" s="164">
        <f t="shared" si="34"/>
        <v>0</v>
      </c>
      <c r="N194" s="164">
        <f t="shared" si="32"/>
        <v>0</v>
      </c>
      <c r="O194" s="164">
        <f t="shared" si="24"/>
        <v>0</v>
      </c>
      <c r="P194" s="164">
        <f t="shared" si="25"/>
        <v>0</v>
      </c>
      <c r="Q194" s="164">
        <f t="shared" si="26"/>
        <v>0</v>
      </c>
      <c r="R194" s="164">
        <f t="shared" si="35"/>
        <v>0</v>
      </c>
      <c r="S194" s="164">
        <f t="shared" si="27"/>
        <v>0</v>
      </c>
      <c r="T194" s="164">
        <f t="shared" si="28"/>
        <v>0</v>
      </c>
    </row>
    <row r="195" spans="2:20" x14ac:dyDescent="0.2">
      <c r="B195" s="171"/>
      <c r="D195" s="171"/>
      <c r="F195" s="158">
        <v>184</v>
      </c>
      <c r="G195" s="249">
        <f t="shared" si="29"/>
        <v>49248</v>
      </c>
      <c r="H195" s="158">
        <f t="shared" si="33"/>
        <v>31</v>
      </c>
      <c r="I195" s="254">
        <f>VLOOKUP(G195,'Прогноз переменной ставки'!$B$5:$E$304,4,1)</f>
        <v>9.9000000000000005E-2</v>
      </c>
      <c r="J195" s="164">
        <f t="shared" si="30"/>
        <v>0</v>
      </c>
      <c r="K195" s="164">
        <f t="shared" si="31"/>
        <v>0</v>
      </c>
      <c r="L195" s="164">
        <f t="shared" si="34"/>
        <v>0</v>
      </c>
      <c r="M195" s="164">
        <f t="shared" si="34"/>
        <v>0</v>
      </c>
      <c r="N195" s="164">
        <f t="shared" si="32"/>
        <v>0</v>
      </c>
      <c r="O195" s="164">
        <f t="shared" si="24"/>
        <v>0</v>
      </c>
      <c r="P195" s="164">
        <f t="shared" si="25"/>
        <v>0</v>
      </c>
      <c r="Q195" s="164">
        <f t="shared" si="26"/>
        <v>0</v>
      </c>
      <c r="R195" s="164">
        <f t="shared" si="35"/>
        <v>0</v>
      </c>
      <c r="S195" s="164">
        <f t="shared" si="27"/>
        <v>0</v>
      </c>
      <c r="T195" s="164">
        <f t="shared" si="28"/>
        <v>0</v>
      </c>
    </row>
    <row r="196" spans="2:20" x14ac:dyDescent="0.2">
      <c r="B196" s="171"/>
      <c r="D196" s="171"/>
      <c r="F196" s="158">
        <v>185</v>
      </c>
      <c r="G196" s="249">
        <f t="shared" si="29"/>
        <v>49278</v>
      </c>
      <c r="H196" s="158">
        <f t="shared" si="33"/>
        <v>30</v>
      </c>
      <c r="I196" s="254">
        <f>VLOOKUP(G196,'Прогноз переменной ставки'!$B$5:$E$304,4,1)</f>
        <v>9.9000000000000005E-2</v>
      </c>
      <c r="J196" s="164">
        <f t="shared" si="30"/>
        <v>0</v>
      </c>
      <c r="K196" s="164">
        <f t="shared" si="31"/>
        <v>0</v>
      </c>
      <c r="L196" s="164">
        <f t="shared" si="34"/>
        <v>0</v>
      </c>
      <c r="M196" s="164">
        <f t="shared" si="34"/>
        <v>0</v>
      </c>
      <c r="N196" s="164">
        <f t="shared" si="32"/>
        <v>0</v>
      </c>
      <c r="O196" s="164">
        <f t="shared" si="24"/>
        <v>0</v>
      </c>
      <c r="P196" s="164">
        <f t="shared" si="25"/>
        <v>0</v>
      </c>
      <c r="Q196" s="164">
        <f t="shared" si="26"/>
        <v>0</v>
      </c>
      <c r="R196" s="164">
        <f t="shared" si="35"/>
        <v>0</v>
      </c>
      <c r="S196" s="164">
        <f t="shared" si="27"/>
        <v>0</v>
      </c>
      <c r="T196" s="164">
        <f t="shared" si="28"/>
        <v>0</v>
      </c>
    </row>
    <row r="197" spans="2:20" x14ac:dyDescent="0.2">
      <c r="B197" s="171"/>
      <c r="D197" s="171"/>
      <c r="F197" s="158">
        <v>186</v>
      </c>
      <c r="G197" s="249">
        <f t="shared" si="29"/>
        <v>49309</v>
      </c>
      <c r="H197" s="158">
        <f t="shared" si="33"/>
        <v>31</v>
      </c>
      <c r="I197" s="254">
        <f>VLOOKUP(G197,'Прогноз переменной ставки'!$B$5:$E$304,4,1)</f>
        <v>9.9000000000000005E-2</v>
      </c>
      <c r="J197" s="164">
        <f t="shared" si="30"/>
        <v>0</v>
      </c>
      <c r="K197" s="164">
        <f t="shared" si="31"/>
        <v>0</v>
      </c>
      <c r="L197" s="164">
        <f t="shared" si="34"/>
        <v>0</v>
      </c>
      <c r="M197" s="164">
        <f t="shared" si="34"/>
        <v>0</v>
      </c>
      <c r="N197" s="164">
        <f t="shared" si="32"/>
        <v>0</v>
      </c>
      <c r="O197" s="164">
        <f t="shared" si="24"/>
        <v>0</v>
      </c>
      <c r="P197" s="164">
        <f t="shared" si="25"/>
        <v>0</v>
      </c>
      <c r="Q197" s="164">
        <f t="shared" si="26"/>
        <v>0</v>
      </c>
      <c r="R197" s="164">
        <f t="shared" si="35"/>
        <v>0</v>
      </c>
      <c r="S197" s="164">
        <f t="shared" si="27"/>
        <v>0</v>
      </c>
      <c r="T197" s="164">
        <f t="shared" si="28"/>
        <v>0</v>
      </c>
    </row>
    <row r="198" spans="2:20" x14ac:dyDescent="0.2">
      <c r="B198" s="171"/>
      <c r="D198" s="171"/>
      <c r="F198" s="158">
        <v>187</v>
      </c>
      <c r="G198" s="249">
        <f t="shared" si="29"/>
        <v>49340</v>
      </c>
      <c r="H198" s="158">
        <f t="shared" si="33"/>
        <v>31</v>
      </c>
      <c r="I198" s="254">
        <f>VLOOKUP(G198,'Прогноз переменной ставки'!$B$5:$E$304,4,1)</f>
        <v>9.9000000000000005E-2</v>
      </c>
      <c r="J198" s="164">
        <f t="shared" si="30"/>
        <v>0</v>
      </c>
      <c r="K198" s="164">
        <f t="shared" si="31"/>
        <v>0</v>
      </c>
      <c r="L198" s="164">
        <f t="shared" si="34"/>
        <v>0</v>
      </c>
      <c r="M198" s="164">
        <f t="shared" si="34"/>
        <v>0</v>
      </c>
      <c r="N198" s="164">
        <f t="shared" si="32"/>
        <v>0</v>
      </c>
      <c r="O198" s="164">
        <f t="shared" si="24"/>
        <v>0</v>
      </c>
      <c r="P198" s="164">
        <f t="shared" si="25"/>
        <v>0</v>
      </c>
      <c r="Q198" s="164">
        <f t="shared" si="26"/>
        <v>0</v>
      </c>
      <c r="R198" s="164">
        <f t="shared" si="35"/>
        <v>0</v>
      </c>
      <c r="S198" s="164">
        <f t="shared" si="27"/>
        <v>0</v>
      </c>
      <c r="T198" s="164">
        <f t="shared" si="28"/>
        <v>0</v>
      </c>
    </row>
    <row r="199" spans="2:20" x14ac:dyDescent="0.2">
      <c r="B199" s="171"/>
      <c r="D199" s="171"/>
      <c r="F199" s="158">
        <v>188</v>
      </c>
      <c r="G199" s="249">
        <f t="shared" si="29"/>
        <v>49368</v>
      </c>
      <c r="H199" s="158">
        <f t="shared" si="33"/>
        <v>28</v>
      </c>
      <c r="I199" s="254">
        <f>VLOOKUP(G199,'Прогноз переменной ставки'!$B$5:$E$304,4,1)</f>
        <v>9.9000000000000005E-2</v>
      </c>
      <c r="J199" s="164">
        <f t="shared" si="30"/>
        <v>0</v>
      </c>
      <c r="K199" s="164">
        <f t="shared" si="31"/>
        <v>0</v>
      </c>
      <c r="L199" s="164">
        <f t="shared" si="34"/>
        <v>0</v>
      </c>
      <c r="M199" s="164">
        <f t="shared" si="34"/>
        <v>0</v>
      </c>
      <c r="N199" s="164">
        <f t="shared" si="32"/>
        <v>0</v>
      </c>
      <c r="O199" s="164">
        <f t="shared" si="24"/>
        <v>0</v>
      </c>
      <c r="P199" s="164">
        <f t="shared" si="25"/>
        <v>0</v>
      </c>
      <c r="Q199" s="164">
        <f t="shared" si="26"/>
        <v>0</v>
      </c>
      <c r="R199" s="164">
        <f t="shared" si="35"/>
        <v>0</v>
      </c>
      <c r="S199" s="164">
        <f t="shared" si="27"/>
        <v>0</v>
      </c>
      <c r="T199" s="164">
        <f t="shared" si="28"/>
        <v>0</v>
      </c>
    </row>
    <row r="200" spans="2:20" x14ac:dyDescent="0.2">
      <c r="B200" s="171"/>
      <c r="D200" s="171"/>
      <c r="F200" s="158">
        <v>189</v>
      </c>
      <c r="G200" s="249">
        <f t="shared" si="29"/>
        <v>49399</v>
      </c>
      <c r="H200" s="158">
        <f t="shared" si="33"/>
        <v>31</v>
      </c>
      <c r="I200" s="254">
        <f>VLOOKUP(G200,'Прогноз переменной ставки'!$B$5:$E$304,4,1)</f>
        <v>9.9000000000000005E-2</v>
      </c>
      <c r="J200" s="164">
        <f t="shared" si="30"/>
        <v>0</v>
      </c>
      <c r="K200" s="164">
        <f t="shared" si="31"/>
        <v>0</v>
      </c>
      <c r="L200" s="164">
        <f t="shared" si="34"/>
        <v>0</v>
      </c>
      <c r="M200" s="164">
        <f t="shared" si="34"/>
        <v>0</v>
      </c>
      <c r="N200" s="164">
        <f t="shared" si="32"/>
        <v>0</v>
      </c>
      <c r="O200" s="164">
        <f t="shared" si="24"/>
        <v>0</v>
      </c>
      <c r="P200" s="164">
        <f t="shared" si="25"/>
        <v>0</v>
      </c>
      <c r="Q200" s="164">
        <f t="shared" si="26"/>
        <v>0</v>
      </c>
      <c r="R200" s="164">
        <f t="shared" si="35"/>
        <v>0</v>
      </c>
      <c r="S200" s="164">
        <f t="shared" si="27"/>
        <v>0</v>
      </c>
      <c r="T200" s="164">
        <f t="shared" si="28"/>
        <v>0</v>
      </c>
    </row>
    <row r="201" spans="2:20" x14ac:dyDescent="0.2">
      <c r="B201" s="171"/>
      <c r="D201" s="171"/>
      <c r="F201" s="158">
        <v>190</v>
      </c>
      <c r="G201" s="249">
        <f t="shared" si="29"/>
        <v>49429</v>
      </c>
      <c r="H201" s="158">
        <f t="shared" si="33"/>
        <v>30</v>
      </c>
      <c r="I201" s="254">
        <f>VLOOKUP(G201,'Прогноз переменной ставки'!$B$5:$E$304,4,1)</f>
        <v>9.9000000000000005E-2</v>
      </c>
      <c r="J201" s="164">
        <f t="shared" si="30"/>
        <v>0</v>
      </c>
      <c r="K201" s="164">
        <f t="shared" si="31"/>
        <v>0</v>
      </c>
      <c r="L201" s="164">
        <f t="shared" si="34"/>
        <v>0</v>
      </c>
      <c r="M201" s="164">
        <f t="shared" si="34"/>
        <v>0</v>
      </c>
      <c r="N201" s="164">
        <f t="shared" si="32"/>
        <v>0</v>
      </c>
      <c r="O201" s="164">
        <f t="shared" si="24"/>
        <v>0</v>
      </c>
      <c r="P201" s="164">
        <f t="shared" si="25"/>
        <v>0</v>
      </c>
      <c r="Q201" s="164">
        <f t="shared" si="26"/>
        <v>0</v>
      </c>
      <c r="R201" s="164">
        <f t="shared" si="35"/>
        <v>0</v>
      </c>
      <c r="S201" s="164">
        <f t="shared" si="27"/>
        <v>0</v>
      </c>
      <c r="T201" s="164">
        <f t="shared" si="28"/>
        <v>0</v>
      </c>
    </row>
    <row r="202" spans="2:20" x14ac:dyDescent="0.2">
      <c r="B202" s="171"/>
      <c r="D202" s="171"/>
      <c r="F202" s="158">
        <v>191</v>
      </c>
      <c r="G202" s="249">
        <f t="shared" si="29"/>
        <v>49460</v>
      </c>
      <c r="H202" s="158">
        <f t="shared" si="33"/>
        <v>31</v>
      </c>
      <c r="I202" s="254">
        <f>VLOOKUP(G202,'Прогноз переменной ставки'!$B$5:$E$304,4,1)</f>
        <v>9.9000000000000005E-2</v>
      </c>
      <c r="J202" s="164">
        <f t="shared" si="30"/>
        <v>0</v>
      </c>
      <c r="K202" s="164">
        <f t="shared" si="31"/>
        <v>0</v>
      </c>
      <c r="L202" s="164">
        <f t="shared" si="34"/>
        <v>0</v>
      </c>
      <c r="M202" s="164">
        <f t="shared" si="34"/>
        <v>0</v>
      </c>
      <c r="N202" s="164">
        <f t="shared" si="32"/>
        <v>0</v>
      </c>
      <c r="O202" s="164">
        <f t="shared" si="24"/>
        <v>0</v>
      </c>
      <c r="P202" s="164">
        <f t="shared" si="25"/>
        <v>0</v>
      </c>
      <c r="Q202" s="164">
        <f t="shared" si="26"/>
        <v>0</v>
      </c>
      <c r="R202" s="164">
        <f t="shared" si="35"/>
        <v>0</v>
      </c>
      <c r="S202" s="164">
        <f t="shared" si="27"/>
        <v>0</v>
      </c>
      <c r="T202" s="164">
        <f t="shared" si="28"/>
        <v>0</v>
      </c>
    </row>
    <row r="203" spans="2:20" x14ac:dyDescent="0.2">
      <c r="B203" s="171"/>
      <c r="D203" s="171"/>
      <c r="F203" s="158">
        <v>192</v>
      </c>
      <c r="G203" s="249">
        <f t="shared" si="29"/>
        <v>49490</v>
      </c>
      <c r="H203" s="158">
        <f t="shared" si="33"/>
        <v>30</v>
      </c>
      <c r="I203" s="254">
        <f>VLOOKUP(G203,'Прогноз переменной ставки'!$B$5:$E$304,4,1)</f>
        <v>9.9000000000000005E-2</v>
      </c>
      <c r="J203" s="164">
        <f t="shared" si="30"/>
        <v>0</v>
      </c>
      <c r="K203" s="164">
        <f t="shared" si="31"/>
        <v>0</v>
      </c>
      <c r="L203" s="164">
        <f t="shared" si="34"/>
        <v>0</v>
      </c>
      <c r="M203" s="164">
        <f t="shared" si="34"/>
        <v>0</v>
      </c>
      <c r="N203" s="164">
        <f t="shared" si="32"/>
        <v>0</v>
      </c>
      <c r="O203" s="164">
        <f t="shared" si="24"/>
        <v>0</v>
      </c>
      <c r="P203" s="164">
        <f t="shared" si="25"/>
        <v>0</v>
      </c>
      <c r="Q203" s="164">
        <f t="shared" si="26"/>
        <v>0</v>
      </c>
      <c r="R203" s="164">
        <f t="shared" si="35"/>
        <v>0</v>
      </c>
      <c r="S203" s="164">
        <f t="shared" si="27"/>
        <v>0</v>
      </c>
      <c r="T203" s="164">
        <f t="shared" si="28"/>
        <v>0</v>
      </c>
    </row>
    <row r="204" spans="2:20" x14ac:dyDescent="0.2">
      <c r="B204" s="171"/>
      <c r="D204" s="171"/>
      <c r="F204" s="158">
        <v>193</v>
      </c>
      <c r="G204" s="249">
        <f t="shared" si="29"/>
        <v>49521</v>
      </c>
      <c r="H204" s="158">
        <f t="shared" si="33"/>
        <v>31</v>
      </c>
      <c r="I204" s="254">
        <f>VLOOKUP(G204,'Прогноз переменной ставки'!$B$5:$E$304,4,1)</f>
        <v>9.9000000000000005E-2</v>
      </c>
      <c r="J204" s="164">
        <f t="shared" si="30"/>
        <v>0</v>
      </c>
      <c r="K204" s="164">
        <f t="shared" si="31"/>
        <v>0</v>
      </c>
      <c r="L204" s="164">
        <f t="shared" si="34"/>
        <v>0</v>
      </c>
      <c r="M204" s="164">
        <f t="shared" si="34"/>
        <v>0</v>
      </c>
      <c r="N204" s="164">
        <f t="shared" si="32"/>
        <v>0</v>
      </c>
      <c r="O204" s="164">
        <f t="shared" ref="O204:O267" si="36">MIN(J204-Q204-P204,L204)</f>
        <v>0</v>
      </c>
      <c r="P204" s="164">
        <f t="shared" ref="P204:P267" si="37">MIN(J204-Q204,N204)</f>
        <v>0</v>
      </c>
      <c r="Q204" s="164">
        <f t="shared" ref="Q204:Q267" si="38">MIN(J204,M204)</f>
        <v>0</v>
      </c>
      <c r="R204" s="164">
        <f t="shared" si="35"/>
        <v>0</v>
      </c>
      <c r="S204" s="164">
        <f t="shared" ref="S204:S267" si="39">L204-O204</f>
        <v>0</v>
      </c>
      <c r="T204" s="164">
        <f t="shared" ref="T204:T267" si="40">M204+R204-Q204</f>
        <v>0</v>
      </c>
    </row>
    <row r="205" spans="2:20" x14ac:dyDescent="0.2">
      <c r="B205" s="171"/>
      <c r="D205" s="171"/>
      <c r="F205" s="158">
        <v>194</v>
      </c>
      <c r="G205" s="249">
        <f t="shared" ref="G205:G268" si="41">EOMONTH($D$9,F205-1)</f>
        <v>49552</v>
      </c>
      <c r="H205" s="158">
        <f t="shared" si="33"/>
        <v>31</v>
      </c>
      <c r="I205" s="254">
        <f>VLOOKUP(G205,'Прогноз переменной ставки'!$B$5:$E$304,4,1)</f>
        <v>9.9000000000000005E-2</v>
      </c>
      <c r="J205" s="164">
        <f t="shared" ref="J205:J268" si="42">IF(F205=$D$4,K205+N205,MIN($D$5,K205+N205))</f>
        <v>0</v>
      </c>
      <c r="K205" s="164">
        <f t="shared" ref="K205:K268" si="43">L205+M205</f>
        <v>0</v>
      </c>
      <c r="L205" s="164">
        <f t="shared" si="34"/>
        <v>0</v>
      </c>
      <c r="M205" s="164">
        <f t="shared" si="34"/>
        <v>0</v>
      </c>
      <c r="N205" s="164">
        <f t="shared" ref="N205:N268" si="44">L205*I205/365.25*H205</f>
        <v>0</v>
      </c>
      <c r="O205" s="164">
        <f t="shared" si="36"/>
        <v>0</v>
      </c>
      <c r="P205" s="164">
        <f t="shared" si="37"/>
        <v>0</v>
      </c>
      <c r="Q205" s="164">
        <f t="shared" si="38"/>
        <v>0</v>
      </c>
      <c r="R205" s="164">
        <f t="shared" si="35"/>
        <v>0</v>
      </c>
      <c r="S205" s="164">
        <f t="shared" si="39"/>
        <v>0</v>
      </c>
      <c r="T205" s="164">
        <f t="shared" si="40"/>
        <v>0</v>
      </c>
    </row>
    <row r="206" spans="2:20" x14ac:dyDescent="0.2">
      <c r="B206" s="171"/>
      <c r="D206" s="171"/>
      <c r="F206" s="158">
        <v>195</v>
      </c>
      <c r="G206" s="249">
        <f t="shared" si="41"/>
        <v>49582</v>
      </c>
      <c r="H206" s="158">
        <f t="shared" ref="H206:H269" si="45">G206-G205</f>
        <v>30</v>
      </c>
      <c r="I206" s="254">
        <f>VLOOKUP(G206,'Прогноз переменной ставки'!$B$5:$E$304,4,1)</f>
        <v>9.9000000000000005E-2</v>
      </c>
      <c r="J206" s="164">
        <f t="shared" si="42"/>
        <v>0</v>
      </c>
      <c r="K206" s="164">
        <f t="shared" si="43"/>
        <v>0</v>
      </c>
      <c r="L206" s="164">
        <f t="shared" ref="L206:M221" si="46">S205</f>
        <v>0</v>
      </c>
      <c r="M206" s="164">
        <f t="shared" si="46"/>
        <v>0</v>
      </c>
      <c r="N206" s="164">
        <f t="shared" si="44"/>
        <v>0</v>
      </c>
      <c r="O206" s="164">
        <f t="shared" si="36"/>
        <v>0</v>
      </c>
      <c r="P206" s="164">
        <f t="shared" si="37"/>
        <v>0</v>
      </c>
      <c r="Q206" s="164">
        <f t="shared" si="38"/>
        <v>0</v>
      </c>
      <c r="R206" s="164">
        <f t="shared" ref="R206:R269" si="47">MAX(N206-P206,0)</f>
        <v>0</v>
      </c>
      <c r="S206" s="164">
        <f t="shared" si="39"/>
        <v>0</v>
      </c>
      <c r="T206" s="164">
        <f t="shared" si="40"/>
        <v>0</v>
      </c>
    </row>
    <row r="207" spans="2:20" x14ac:dyDescent="0.2">
      <c r="B207" s="171"/>
      <c r="D207" s="171"/>
      <c r="F207" s="158">
        <v>196</v>
      </c>
      <c r="G207" s="249">
        <f t="shared" si="41"/>
        <v>49613</v>
      </c>
      <c r="H207" s="158">
        <f t="shared" si="45"/>
        <v>31</v>
      </c>
      <c r="I207" s="254">
        <f>VLOOKUP(G207,'Прогноз переменной ставки'!$B$5:$E$304,4,1)</f>
        <v>9.9000000000000005E-2</v>
      </c>
      <c r="J207" s="164">
        <f t="shared" si="42"/>
        <v>0</v>
      </c>
      <c r="K207" s="164">
        <f t="shared" si="43"/>
        <v>0</v>
      </c>
      <c r="L207" s="164">
        <f t="shared" si="46"/>
        <v>0</v>
      </c>
      <c r="M207" s="164">
        <f t="shared" si="46"/>
        <v>0</v>
      </c>
      <c r="N207" s="164">
        <f t="shared" si="44"/>
        <v>0</v>
      </c>
      <c r="O207" s="164">
        <f t="shared" si="36"/>
        <v>0</v>
      </c>
      <c r="P207" s="164">
        <f t="shared" si="37"/>
        <v>0</v>
      </c>
      <c r="Q207" s="164">
        <f t="shared" si="38"/>
        <v>0</v>
      </c>
      <c r="R207" s="164">
        <f t="shared" si="47"/>
        <v>0</v>
      </c>
      <c r="S207" s="164">
        <f t="shared" si="39"/>
        <v>0</v>
      </c>
      <c r="T207" s="164">
        <f t="shared" si="40"/>
        <v>0</v>
      </c>
    </row>
    <row r="208" spans="2:20" x14ac:dyDescent="0.2">
      <c r="B208" s="171"/>
      <c r="D208" s="171"/>
      <c r="E208" s="171"/>
      <c r="F208" s="158">
        <v>197</v>
      </c>
      <c r="G208" s="249">
        <f t="shared" si="41"/>
        <v>49643</v>
      </c>
      <c r="H208" s="158">
        <f t="shared" si="45"/>
        <v>30</v>
      </c>
      <c r="I208" s="254">
        <f>VLOOKUP(G208,'Прогноз переменной ставки'!$B$5:$E$304,4,1)</f>
        <v>9.9000000000000005E-2</v>
      </c>
      <c r="J208" s="164">
        <f t="shared" si="42"/>
        <v>0</v>
      </c>
      <c r="K208" s="164">
        <f t="shared" si="43"/>
        <v>0</v>
      </c>
      <c r="L208" s="164">
        <f t="shared" si="46"/>
        <v>0</v>
      </c>
      <c r="M208" s="164">
        <f t="shared" si="46"/>
        <v>0</v>
      </c>
      <c r="N208" s="164">
        <f t="shared" si="44"/>
        <v>0</v>
      </c>
      <c r="O208" s="164">
        <f t="shared" si="36"/>
        <v>0</v>
      </c>
      <c r="P208" s="164">
        <f t="shared" si="37"/>
        <v>0</v>
      </c>
      <c r="Q208" s="164">
        <f t="shared" si="38"/>
        <v>0</v>
      </c>
      <c r="R208" s="164">
        <f t="shared" si="47"/>
        <v>0</v>
      </c>
      <c r="S208" s="164">
        <f t="shared" si="39"/>
        <v>0</v>
      </c>
      <c r="T208" s="164">
        <f t="shared" si="40"/>
        <v>0</v>
      </c>
    </row>
    <row r="209" spans="2:20" x14ac:dyDescent="0.2">
      <c r="B209" s="171"/>
      <c r="D209" s="171"/>
      <c r="E209" s="171"/>
      <c r="F209" s="158">
        <v>198</v>
      </c>
      <c r="G209" s="249">
        <f t="shared" si="41"/>
        <v>49674</v>
      </c>
      <c r="H209" s="158">
        <f t="shared" si="45"/>
        <v>31</v>
      </c>
      <c r="I209" s="254">
        <f>VLOOKUP(G209,'Прогноз переменной ставки'!$B$5:$E$304,4,1)</f>
        <v>9.9000000000000005E-2</v>
      </c>
      <c r="J209" s="164">
        <f t="shared" si="42"/>
        <v>0</v>
      </c>
      <c r="K209" s="164">
        <f t="shared" si="43"/>
        <v>0</v>
      </c>
      <c r="L209" s="164">
        <f t="shared" si="46"/>
        <v>0</v>
      </c>
      <c r="M209" s="164">
        <f t="shared" si="46"/>
        <v>0</v>
      </c>
      <c r="N209" s="164">
        <f t="shared" si="44"/>
        <v>0</v>
      </c>
      <c r="O209" s="164">
        <f t="shared" si="36"/>
        <v>0</v>
      </c>
      <c r="P209" s="164">
        <f t="shared" si="37"/>
        <v>0</v>
      </c>
      <c r="Q209" s="164">
        <f t="shared" si="38"/>
        <v>0</v>
      </c>
      <c r="R209" s="164">
        <f t="shared" si="47"/>
        <v>0</v>
      </c>
      <c r="S209" s="164">
        <f t="shared" si="39"/>
        <v>0</v>
      </c>
      <c r="T209" s="164">
        <f t="shared" si="40"/>
        <v>0</v>
      </c>
    </row>
    <row r="210" spans="2:20" x14ac:dyDescent="0.2">
      <c r="B210" s="171"/>
      <c r="D210" s="171"/>
      <c r="E210" s="171"/>
      <c r="F210" s="158">
        <v>199</v>
      </c>
      <c r="G210" s="249">
        <f t="shared" si="41"/>
        <v>49705</v>
      </c>
      <c r="H210" s="158">
        <f t="shared" si="45"/>
        <v>31</v>
      </c>
      <c r="I210" s="254">
        <f>VLOOKUP(G210,'Прогноз переменной ставки'!$B$5:$E$304,4,1)</f>
        <v>9.9000000000000005E-2</v>
      </c>
      <c r="J210" s="164">
        <f t="shared" si="42"/>
        <v>0</v>
      </c>
      <c r="K210" s="164">
        <f t="shared" si="43"/>
        <v>0</v>
      </c>
      <c r="L210" s="164">
        <f t="shared" si="46"/>
        <v>0</v>
      </c>
      <c r="M210" s="164">
        <f t="shared" si="46"/>
        <v>0</v>
      </c>
      <c r="N210" s="164">
        <f t="shared" si="44"/>
        <v>0</v>
      </c>
      <c r="O210" s="164">
        <f t="shared" si="36"/>
        <v>0</v>
      </c>
      <c r="P210" s="164">
        <f t="shared" si="37"/>
        <v>0</v>
      </c>
      <c r="Q210" s="164">
        <f t="shared" si="38"/>
        <v>0</v>
      </c>
      <c r="R210" s="164">
        <f t="shared" si="47"/>
        <v>0</v>
      </c>
      <c r="S210" s="164">
        <f t="shared" si="39"/>
        <v>0</v>
      </c>
      <c r="T210" s="164">
        <f t="shared" si="40"/>
        <v>0</v>
      </c>
    </row>
    <row r="211" spans="2:20" x14ac:dyDescent="0.2">
      <c r="B211" s="171"/>
      <c r="D211" s="171"/>
      <c r="E211" s="171"/>
      <c r="F211" s="158">
        <v>200</v>
      </c>
      <c r="G211" s="249">
        <f t="shared" si="41"/>
        <v>49734</v>
      </c>
      <c r="H211" s="158">
        <f t="shared" si="45"/>
        <v>29</v>
      </c>
      <c r="I211" s="254">
        <f>VLOOKUP(G211,'Прогноз переменной ставки'!$B$5:$E$304,4,1)</f>
        <v>9.9000000000000005E-2</v>
      </c>
      <c r="J211" s="164">
        <f t="shared" si="42"/>
        <v>0</v>
      </c>
      <c r="K211" s="164">
        <f t="shared" si="43"/>
        <v>0</v>
      </c>
      <c r="L211" s="164">
        <f t="shared" si="46"/>
        <v>0</v>
      </c>
      <c r="M211" s="164">
        <f t="shared" si="46"/>
        <v>0</v>
      </c>
      <c r="N211" s="164">
        <f t="shared" si="44"/>
        <v>0</v>
      </c>
      <c r="O211" s="164">
        <f t="shared" si="36"/>
        <v>0</v>
      </c>
      <c r="P211" s="164">
        <f t="shared" si="37"/>
        <v>0</v>
      </c>
      <c r="Q211" s="164">
        <f t="shared" si="38"/>
        <v>0</v>
      </c>
      <c r="R211" s="164">
        <f t="shared" si="47"/>
        <v>0</v>
      </c>
      <c r="S211" s="164">
        <f t="shared" si="39"/>
        <v>0</v>
      </c>
      <c r="T211" s="164">
        <f t="shared" si="40"/>
        <v>0</v>
      </c>
    </row>
    <row r="212" spans="2:20" x14ac:dyDescent="0.2">
      <c r="B212" s="171"/>
      <c r="D212" s="171"/>
      <c r="E212" s="171"/>
      <c r="F212" s="158">
        <v>201</v>
      </c>
      <c r="G212" s="249">
        <f t="shared" si="41"/>
        <v>49765</v>
      </c>
      <c r="H212" s="158">
        <f t="shared" si="45"/>
        <v>31</v>
      </c>
      <c r="I212" s="254">
        <f>VLOOKUP(G212,'Прогноз переменной ставки'!$B$5:$E$304,4,1)</f>
        <v>9.9000000000000005E-2</v>
      </c>
      <c r="J212" s="164">
        <f t="shared" si="42"/>
        <v>0</v>
      </c>
      <c r="K212" s="164">
        <f t="shared" si="43"/>
        <v>0</v>
      </c>
      <c r="L212" s="164">
        <f t="shared" si="46"/>
        <v>0</v>
      </c>
      <c r="M212" s="164">
        <f t="shared" si="46"/>
        <v>0</v>
      </c>
      <c r="N212" s="164">
        <f t="shared" si="44"/>
        <v>0</v>
      </c>
      <c r="O212" s="164">
        <f t="shared" si="36"/>
        <v>0</v>
      </c>
      <c r="P212" s="164">
        <f t="shared" si="37"/>
        <v>0</v>
      </c>
      <c r="Q212" s="164">
        <f t="shared" si="38"/>
        <v>0</v>
      </c>
      <c r="R212" s="164">
        <f t="shared" si="47"/>
        <v>0</v>
      </c>
      <c r="S212" s="164">
        <f t="shared" si="39"/>
        <v>0</v>
      </c>
      <c r="T212" s="164">
        <f t="shared" si="40"/>
        <v>0</v>
      </c>
    </row>
    <row r="213" spans="2:20" x14ac:dyDescent="0.2">
      <c r="B213" s="171"/>
      <c r="D213" s="171"/>
      <c r="E213" s="171"/>
      <c r="F213" s="158">
        <v>202</v>
      </c>
      <c r="G213" s="249">
        <f t="shared" si="41"/>
        <v>49795</v>
      </c>
      <c r="H213" s="158">
        <f t="shared" si="45"/>
        <v>30</v>
      </c>
      <c r="I213" s="254">
        <f>VLOOKUP(G213,'Прогноз переменной ставки'!$B$5:$E$304,4,1)</f>
        <v>9.9000000000000005E-2</v>
      </c>
      <c r="J213" s="164">
        <f t="shared" si="42"/>
        <v>0</v>
      </c>
      <c r="K213" s="164">
        <f t="shared" si="43"/>
        <v>0</v>
      </c>
      <c r="L213" s="164">
        <f t="shared" si="46"/>
        <v>0</v>
      </c>
      <c r="M213" s="164">
        <f t="shared" si="46"/>
        <v>0</v>
      </c>
      <c r="N213" s="164">
        <f t="shared" si="44"/>
        <v>0</v>
      </c>
      <c r="O213" s="164">
        <f t="shared" si="36"/>
        <v>0</v>
      </c>
      <c r="P213" s="164">
        <f t="shared" si="37"/>
        <v>0</v>
      </c>
      <c r="Q213" s="164">
        <f t="shared" si="38"/>
        <v>0</v>
      </c>
      <c r="R213" s="164">
        <f t="shared" si="47"/>
        <v>0</v>
      </c>
      <c r="S213" s="164">
        <f t="shared" si="39"/>
        <v>0</v>
      </c>
      <c r="T213" s="164">
        <f t="shared" si="40"/>
        <v>0</v>
      </c>
    </row>
    <row r="214" spans="2:20" x14ac:dyDescent="0.2">
      <c r="B214" s="171"/>
      <c r="D214" s="171"/>
      <c r="E214" s="171"/>
      <c r="F214" s="158">
        <v>203</v>
      </c>
      <c r="G214" s="249">
        <f t="shared" si="41"/>
        <v>49826</v>
      </c>
      <c r="H214" s="158">
        <f t="shared" si="45"/>
        <v>31</v>
      </c>
      <c r="I214" s="254">
        <f>VLOOKUP(G214,'Прогноз переменной ставки'!$B$5:$E$304,4,1)</f>
        <v>9.9000000000000005E-2</v>
      </c>
      <c r="J214" s="164">
        <f t="shared" si="42"/>
        <v>0</v>
      </c>
      <c r="K214" s="164">
        <f t="shared" si="43"/>
        <v>0</v>
      </c>
      <c r="L214" s="164">
        <f t="shared" si="46"/>
        <v>0</v>
      </c>
      <c r="M214" s="164">
        <f t="shared" si="46"/>
        <v>0</v>
      </c>
      <c r="N214" s="164">
        <f t="shared" si="44"/>
        <v>0</v>
      </c>
      <c r="O214" s="164">
        <f t="shared" si="36"/>
        <v>0</v>
      </c>
      <c r="P214" s="164">
        <f t="shared" si="37"/>
        <v>0</v>
      </c>
      <c r="Q214" s="164">
        <f t="shared" si="38"/>
        <v>0</v>
      </c>
      <c r="R214" s="164">
        <f t="shared" si="47"/>
        <v>0</v>
      </c>
      <c r="S214" s="164">
        <f t="shared" si="39"/>
        <v>0</v>
      </c>
      <c r="T214" s="164">
        <f t="shared" si="40"/>
        <v>0</v>
      </c>
    </row>
    <row r="215" spans="2:20" x14ac:dyDescent="0.2">
      <c r="B215" s="171"/>
      <c r="D215" s="171"/>
      <c r="E215" s="171"/>
      <c r="F215" s="158">
        <v>204</v>
      </c>
      <c r="G215" s="249">
        <f t="shared" si="41"/>
        <v>49856</v>
      </c>
      <c r="H215" s="158">
        <f t="shared" si="45"/>
        <v>30</v>
      </c>
      <c r="I215" s="254">
        <f>VLOOKUP(G215,'Прогноз переменной ставки'!$B$5:$E$304,4,1)</f>
        <v>9.9000000000000005E-2</v>
      </c>
      <c r="J215" s="164">
        <f t="shared" si="42"/>
        <v>0</v>
      </c>
      <c r="K215" s="164">
        <f t="shared" si="43"/>
        <v>0</v>
      </c>
      <c r="L215" s="164">
        <f t="shared" si="46"/>
        <v>0</v>
      </c>
      <c r="M215" s="164">
        <f t="shared" si="46"/>
        <v>0</v>
      </c>
      <c r="N215" s="164">
        <f t="shared" si="44"/>
        <v>0</v>
      </c>
      <c r="O215" s="164">
        <f t="shared" si="36"/>
        <v>0</v>
      </c>
      <c r="P215" s="164">
        <f t="shared" si="37"/>
        <v>0</v>
      </c>
      <c r="Q215" s="164">
        <f t="shared" si="38"/>
        <v>0</v>
      </c>
      <c r="R215" s="164">
        <f t="shared" si="47"/>
        <v>0</v>
      </c>
      <c r="S215" s="164">
        <f t="shared" si="39"/>
        <v>0</v>
      </c>
      <c r="T215" s="164">
        <f t="shared" si="40"/>
        <v>0</v>
      </c>
    </row>
    <row r="216" spans="2:20" x14ac:dyDescent="0.2">
      <c r="B216" s="171"/>
      <c r="D216" s="171"/>
      <c r="E216" s="171"/>
      <c r="F216" s="158">
        <v>205</v>
      </c>
      <c r="G216" s="249">
        <f t="shared" si="41"/>
        <v>49887</v>
      </c>
      <c r="H216" s="158">
        <f t="shared" si="45"/>
        <v>31</v>
      </c>
      <c r="I216" s="254">
        <f>VLOOKUP(G216,'Прогноз переменной ставки'!$B$5:$E$304,4,1)</f>
        <v>9.9000000000000005E-2</v>
      </c>
      <c r="J216" s="164">
        <f t="shared" si="42"/>
        <v>0</v>
      </c>
      <c r="K216" s="164">
        <f t="shared" si="43"/>
        <v>0</v>
      </c>
      <c r="L216" s="164">
        <f t="shared" si="46"/>
        <v>0</v>
      </c>
      <c r="M216" s="164">
        <f t="shared" si="46"/>
        <v>0</v>
      </c>
      <c r="N216" s="164">
        <f t="shared" si="44"/>
        <v>0</v>
      </c>
      <c r="O216" s="164">
        <f t="shared" si="36"/>
        <v>0</v>
      </c>
      <c r="P216" s="164">
        <f t="shared" si="37"/>
        <v>0</v>
      </c>
      <c r="Q216" s="164">
        <f t="shared" si="38"/>
        <v>0</v>
      </c>
      <c r="R216" s="164">
        <f t="shared" si="47"/>
        <v>0</v>
      </c>
      <c r="S216" s="164">
        <f t="shared" si="39"/>
        <v>0</v>
      </c>
      <c r="T216" s="164">
        <f t="shared" si="40"/>
        <v>0</v>
      </c>
    </row>
    <row r="217" spans="2:20" x14ac:dyDescent="0.2">
      <c r="B217" s="171"/>
      <c r="D217" s="171"/>
      <c r="E217" s="171"/>
      <c r="F217" s="158">
        <v>206</v>
      </c>
      <c r="G217" s="249">
        <f t="shared" si="41"/>
        <v>49918</v>
      </c>
      <c r="H217" s="158">
        <f t="shared" si="45"/>
        <v>31</v>
      </c>
      <c r="I217" s="254">
        <f>VLOOKUP(G217,'Прогноз переменной ставки'!$B$5:$E$304,4,1)</f>
        <v>9.9000000000000005E-2</v>
      </c>
      <c r="J217" s="164">
        <f t="shared" si="42"/>
        <v>0</v>
      </c>
      <c r="K217" s="164">
        <f t="shared" si="43"/>
        <v>0</v>
      </c>
      <c r="L217" s="164">
        <f t="shared" si="46"/>
        <v>0</v>
      </c>
      <c r="M217" s="164">
        <f t="shared" si="46"/>
        <v>0</v>
      </c>
      <c r="N217" s="164">
        <f t="shared" si="44"/>
        <v>0</v>
      </c>
      <c r="O217" s="164">
        <f t="shared" si="36"/>
        <v>0</v>
      </c>
      <c r="P217" s="164">
        <f t="shared" si="37"/>
        <v>0</v>
      </c>
      <c r="Q217" s="164">
        <f t="shared" si="38"/>
        <v>0</v>
      </c>
      <c r="R217" s="164">
        <f t="shared" si="47"/>
        <v>0</v>
      </c>
      <c r="S217" s="164">
        <f t="shared" si="39"/>
        <v>0</v>
      </c>
      <c r="T217" s="164">
        <f t="shared" si="40"/>
        <v>0</v>
      </c>
    </row>
    <row r="218" spans="2:20" x14ac:dyDescent="0.2">
      <c r="B218" s="171"/>
      <c r="D218" s="171"/>
      <c r="E218" s="171"/>
      <c r="F218" s="158">
        <v>207</v>
      </c>
      <c r="G218" s="249">
        <f t="shared" si="41"/>
        <v>49948</v>
      </c>
      <c r="H218" s="158">
        <f t="shared" si="45"/>
        <v>30</v>
      </c>
      <c r="I218" s="254">
        <f>VLOOKUP(G218,'Прогноз переменной ставки'!$B$5:$E$304,4,1)</f>
        <v>9.9000000000000005E-2</v>
      </c>
      <c r="J218" s="164">
        <f t="shared" si="42"/>
        <v>0</v>
      </c>
      <c r="K218" s="164">
        <f t="shared" si="43"/>
        <v>0</v>
      </c>
      <c r="L218" s="164">
        <f t="shared" si="46"/>
        <v>0</v>
      </c>
      <c r="M218" s="164">
        <f t="shared" si="46"/>
        <v>0</v>
      </c>
      <c r="N218" s="164">
        <f t="shared" si="44"/>
        <v>0</v>
      </c>
      <c r="O218" s="164">
        <f t="shared" si="36"/>
        <v>0</v>
      </c>
      <c r="P218" s="164">
        <f t="shared" si="37"/>
        <v>0</v>
      </c>
      <c r="Q218" s="164">
        <f t="shared" si="38"/>
        <v>0</v>
      </c>
      <c r="R218" s="164">
        <f t="shared" si="47"/>
        <v>0</v>
      </c>
      <c r="S218" s="164">
        <f t="shared" si="39"/>
        <v>0</v>
      </c>
      <c r="T218" s="164">
        <f t="shared" si="40"/>
        <v>0</v>
      </c>
    </row>
    <row r="219" spans="2:20" x14ac:dyDescent="0.2">
      <c r="B219" s="171"/>
      <c r="D219" s="171"/>
      <c r="E219" s="171"/>
      <c r="F219" s="158">
        <v>208</v>
      </c>
      <c r="G219" s="249">
        <f t="shared" si="41"/>
        <v>49979</v>
      </c>
      <c r="H219" s="158">
        <f t="shared" si="45"/>
        <v>31</v>
      </c>
      <c r="I219" s="254">
        <f>VLOOKUP(G219,'Прогноз переменной ставки'!$B$5:$E$304,4,1)</f>
        <v>9.9000000000000005E-2</v>
      </c>
      <c r="J219" s="164">
        <f t="shared" si="42"/>
        <v>0</v>
      </c>
      <c r="K219" s="164">
        <f t="shared" si="43"/>
        <v>0</v>
      </c>
      <c r="L219" s="164">
        <f t="shared" si="46"/>
        <v>0</v>
      </c>
      <c r="M219" s="164">
        <f t="shared" si="46"/>
        <v>0</v>
      </c>
      <c r="N219" s="164">
        <f t="shared" si="44"/>
        <v>0</v>
      </c>
      <c r="O219" s="164">
        <f t="shared" si="36"/>
        <v>0</v>
      </c>
      <c r="P219" s="164">
        <f t="shared" si="37"/>
        <v>0</v>
      </c>
      <c r="Q219" s="164">
        <f t="shared" si="38"/>
        <v>0</v>
      </c>
      <c r="R219" s="164">
        <f t="shared" si="47"/>
        <v>0</v>
      </c>
      <c r="S219" s="164">
        <f t="shared" si="39"/>
        <v>0</v>
      </c>
      <c r="T219" s="164">
        <f t="shared" si="40"/>
        <v>0</v>
      </c>
    </row>
    <row r="220" spans="2:20" x14ac:dyDescent="0.2">
      <c r="B220" s="171"/>
      <c r="D220" s="171"/>
      <c r="E220" s="171"/>
      <c r="F220" s="158">
        <v>209</v>
      </c>
      <c r="G220" s="249">
        <f t="shared" si="41"/>
        <v>50009</v>
      </c>
      <c r="H220" s="158">
        <f t="shared" si="45"/>
        <v>30</v>
      </c>
      <c r="I220" s="254">
        <f>VLOOKUP(G220,'Прогноз переменной ставки'!$B$5:$E$304,4,1)</f>
        <v>9.9000000000000005E-2</v>
      </c>
      <c r="J220" s="164">
        <f t="shared" si="42"/>
        <v>0</v>
      </c>
      <c r="K220" s="164">
        <f t="shared" si="43"/>
        <v>0</v>
      </c>
      <c r="L220" s="164">
        <f t="shared" si="46"/>
        <v>0</v>
      </c>
      <c r="M220" s="164">
        <f t="shared" si="46"/>
        <v>0</v>
      </c>
      <c r="N220" s="164">
        <f t="shared" si="44"/>
        <v>0</v>
      </c>
      <c r="O220" s="164">
        <f t="shared" si="36"/>
        <v>0</v>
      </c>
      <c r="P220" s="164">
        <f t="shared" si="37"/>
        <v>0</v>
      </c>
      <c r="Q220" s="164">
        <f t="shared" si="38"/>
        <v>0</v>
      </c>
      <c r="R220" s="164">
        <f t="shared" si="47"/>
        <v>0</v>
      </c>
      <c r="S220" s="164">
        <f t="shared" si="39"/>
        <v>0</v>
      </c>
      <c r="T220" s="164">
        <f t="shared" si="40"/>
        <v>0</v>
      </c>
    </row>
    <row r="221" spans="2:20" x14ac:dyDescent="0.2">
      <c r="B221" s="171"/>
      <c r="D221" s="171"/>
      <c r="F221" s="158">
        <v>210</v>
      </c>
      <c r="G221" s="249">
        <f t="shared" si="41"/>
        <v>50040</v>
      </c>
      <c r="H221" s="158">
        <f t="shared" si="45"/>
        <v>31</v>
      </c>
      <c r="I221" s="254">
        <f>VLOOKUP(G221,'Прогноз переменной ставки'!$B$5:$E$304,4,1)</f>
        <v>9.9000000000000005E-2</v>
      </c>
      <c r="J221" s="164">
        <f t="shared" si="42"/>
        <v>0</v>
      </c>
      <c r="K221" s="164">
        <f t="shared" si="43"/>
        <v>0</v>
      </c>
      <c r="L221" s="164">
        <f t="shared" si="46"/>
        <v>0</v>
      </c>
      <c r="M221" s="164">
        <f t="shared" si="46"/>
        <v>0</v>
      </c>
      <c r="N221" s="164">
        <f t="shared" si="44"/>
        <v>0</v>
      </c>
      <c r="O221" s="164">
        <f t="shared" si="36"/>
        <v>0</v>
      </c>
      <c r="P221" s="164">
        <f t="shared" si="37"/>
        <v>0</v>
      </c>
      <c r="Q221" s="164">
        <f t="shared" si="38"/>
        <v>0</v>
      </c>
      <c r="R221" s="164">
        <f t="shared" si="47"/>
        <v>0</v>
      </c>
      <c r="S221" s="164">
        <f t="shared" si="39"/>
        <v>0</v>
      </c>
      <c r="T221" s="164">
        <f t="shared" si="40"/>
        <v>0</v>
      </c>
    </row>
    <row r="222" spans="2:20" x14ac:dyDescent="0.2">
      <c r="B222" s="171"/>
      <c r="D222" s="171"/>
      <c r="F222" s="158">
        <v>211</v>
      </c>
      <c r="G222" s="249">
        <f t="shared" si="41"/>
        <v>50071</v>
      </c>
      <c r="H222" s="158">
        <f t="shared" si="45"/>
        <v>31</v>
      </c>
      <c r="I222" s="254">
        <f>VLOOKUP(G222,'Прогноз переменной ставки'!$B$5:$E$304,4,1)</f>
        <v>9.9000000000000005E-2</v>
      </c>
      <c r="J222" s="164">
        <f t="shared" si="42"/>
        <v>0</v>
      </c>
      <c r="K222" s="164">
        <f t="shared" si="43"/>
        <v>0</v>
      </c>
      <c r="L222" s="164">
        <f t="shared" ref="L222:M277" si="48">S221</f>
        <v>0</v>
      </c>
      <c r="M222" s="164">
        <f t="shared" si="48"/>
        <v>0</v>
      </c>
      <c r="N222" s="164">
        <f t="shared" si="44"/>
        <v>0</v>
      </c>
      <c r="O222" s="164">
        <f t="shared" si="36"/>
        <v>0</v>
      </c>
      <c r="P222" s="164">
        <f t="shared" si="37"/>
        <v>0</v>
      </c>
      <c r="Q222" s="164">
        <f t="shared" si="38"/>
        <v>0</v>
      </c>
      <c r="R222" s="164">
        <f t="shared" si="47"/>
        <v>0</v>
      </c>
      <c r="S222" s="164">
        <f t="shared" si="39"/>
        <v>0</v>
      </c>
      <c r="T222" s="164">
        <f t="shared" si="40"/>
        <v>0</v>
      </c>
    </row>
    <row r="223" spans="2:20" x14ac:dyDescent="0.2">
      <c r="B223" s="171"/>
      <c r="D223" s="171"/>
      <c r="F223" s="158">
        <v>212</v>
      </c>
      <c r="G223" s="249">
        <f t="shared" si="41"/>
        <v>50099</v>
      </c>
      <c r="H223" s="158">
        <f t="shared" si="45"/>
        <v>28</v>
      </c>
      <c r="I223" s="254">
        <f>VLOOKUP(G223,'Прогноз переменной ставки'!$B$5:$E$304,4,1)</f>
        <v>9.9000000000000005E-2</v>
      </c>
      <c r="J223" s="164">
        <f t="shared" si="42"/>
        <v>0</v>
      </c>
      <c r="K223" s="164">
        <f t="shared" si="43"/>
        <v>0</v>
      </c>
      <c r="L223" s="164">
        <f t="shared" si="48"/>
        <v>0</v>
      </c>
      <c r="M223" s="164">
        <f t="shared" si="48"/>
        <v>0</v>
      </c>
      <c r="N223" s="164">
        <f t="shared" si="44"/>
        <v>0</v>
      </c>
      <c r="O223" s="164">
        <f t="shared" si="36"/>
        <v>0</v>
      </c>
      <c r="P223" s="164">
        <f t="shared" si="37"/>
        <v>0</v>
      </c>
      <c r="Q223" s="164">
        <f t="shared" si="38"/>
        <v>0</v>
      </c>
      <c r="R223" s="164">
        <f t="shared" si="47"/>
        <v>0</v>
      </c>
      <c r="S223" s="164">
        <f t="shared" si="39"/>
        <v>0</v>
      </c>
      <c r="T223" s="164">
        <f t="shared" si="40"/>
        <v>0</v>
      </c>
    </row>
    <row r="224" spans="2:20" x14ac:dyDescent="0.2">
      <c r="B224" s="171"/>
      <c r="D224" s="171"/>
      <c r="F224" s="158">
        <v>213</v>
      </c>
      <c r="G224" s="249">
        <f t="shared" si="41"/>
        <v>50130</v>
      </c>
      <c r="H224" s="158">
        <f t="shared" si="45"/>
        <v>31</v>
      </c>
      <c r="I224" s="254">
        <f>VLOOKUP(G224,'Прогноз переменной ставки'!$B$5:$E$304,4,1)</f>
        <v>9.9000000000000005E-2</v>
      </c>
      <c r="J224" s="164">
        <f t="shared" si="42"/>
        <v>0</v>
      </c>
      <c r="K224" s="164">
        <f t="shared" si="43"/>
        <v>0</v>
      </c>
      <c r="L224" s="164">
        <f t="shared" si="48"/>
        <v>0</v>
      </c>
      <c r="M224" s="164">
        <f t="shared" si="48"/>
        <v>0</v>
      </c>
      <c r="N224" s="164">
        <f t="shared" si="44"/>
        <v>0</v>
      </c>
      <c r="O224" s="164">
        <f t="shared" si="36"/>
        <v>0</v>
      </c>
      <c r="P224" s="164">
        <f t="shared" si="37"/>
        <v>0</v>
      </c>
      <c r="Q224" s="164">
        <f t="shared" si="38"/>
        <v>0</v>
      </c>
      <c r="R224" s="164">
        <f t="shared" si="47"/>
        <v>0</v>
      </c>
      <c r="S224" s="164">
        <f t="shared" si="39"/>
        <v>0</v>
      </c>
      <c r="T224" s="164">
        <f t="shared" si="40"/>
        <v>0</v>
      </c>
    </row>
    <row r="225" spans="2:20" x14ac:dyDescent="0.2">
      <c r="B225" s="171"/>
      <c r="D225" s="171"/>
      <c r="F225" s="158">
        <v>214</v>
      </c>
      <c r="G225" s="249">
        <f t="shared" si="41"/>
        <v>50160</v>
      </c>
      <c r="H225" s="158">
        <f t="shared" si="45"/>
        <v>30</v>
      </c>
      <c r="I225" s="254">
        <f>VLOOKUP(G225,'Прогноз переменной ставки'!$B$5:$E$304,4,1)</f>
        <v>9.9000000000000005E-2</v>
      </c>
      <c r="J225" s="164">
        <f t="shared" si="42"/>
        <v>0</v>
      </c>
      <c r="K225" s="164">
        <f t="shared" si="43"/>
        <v>0</v>
      </c>
      <c r="L225" s="164">
        <f t="shared" si="48"/>
        <v>0</v>
      </c>
      <c r="M225" s="164">
        <f t="shared" si="48"/>
        <v>0</v>
      </c>
      <c r="N225" s="164">
        <f t="shared" si="44"/>
        <v>0</v>
      </c>
      <c r="O225" s="164">
        <f t="shared" si="36"/>
        <v>0</v>
      </c>
      <c r="P225" s="164">
        <f t="shared" si="37"/>
        <v>0</v>
      </c>
      <c r="Q225" s="164">
        <f t="shared" si="38"/>
        <v>0</v>
      </c>
      <c r="R225" s="164">
        <f t="shared" si="47"/>
        <v>0</v>
      </c>
      <c r="S225" s="164">
        <f t="shared" si="39"/>
        <v>0</v>
      </c>
      <c r="T225" s="164">
        <f t="shared" si="40"/>
        <v>0</v>
      </c>
    </row>
    <row r="226" spans="2:20" x14ac:dyDescent="0.2">
      <c r="B226" s="171"/>
      <c r="D226" s="171"/>
      <c r="F226" s="158">
        <v>215</v>
      </c>
      <c r="G226" s="249">
        <f t="shared" si="41"/>
        <v>50191</v>
      </c>
      <c r="H226" s="158">
        <f t="shared" si="45"/>
        <v>31</v>
      </c>
      <c r="I226" s="254">
        <f>VLOOKUP(G226,'Прогноз переменной ставки'!$B$5:$E$304,4,1)</f>
        <v>9.9000000000000005E-2</v>
      </c>
      <c r="J226" s="164">
        <f t="shared" si="42"/>
        <v>0</v>
      </c>
      <c r="K226" s="164">
        <f t="shared" si="43"/>
        <v>0</v>
      </c>
      <c r="L226" s="164">
        <f t="shared" si="48"/>
        <v>0</v>
      </c>
      <c r="M226" s="164">
        <f t="shared" si="48"/>
        <v>0</v>
      </c>
      <c r="N226" s="164">
        <f t="shared" si="44"/>
        <v>0</v>
      </c>
      <c r="O226" s="164">
        <f t="shared" si="36"/>
        <v>0</v>
      </c>
      <c r="P226" s="164">
        <f t="shared" si="37"/>
        <v>0</v>
      </c>
      <c r="Q226" s="164">
        <f t="shared" si="38"/>
        <v>0</v>
      </c>
      <c r="R226" s="164">
        <f t="shared" si="47"/>
        <v>0</v>
      </c>
      <c r="S226" s="164">
        <f t="shared" si="39"/>
        <v>0</v>
      </c>
      <c r="T226" s="164">
        <f t="shared" si="40"/>
        <v>0</v>
      </c>
    </row>
    <row r="227" spans="2:20" x14ac:dyDescent="0.2">
      <c r="B227" s="171"/>
      <c r="D227" s="171"/>
      <c r="F227" s="158">
        <v>216</v>
      </c>
      <c r="G227" s="249">
        <f t="shared" si="41"/>
        <v>50221</v>
      </c>
      <c r="H227" s="158">
        <f t="shared" si="45"/>
        <v>30</v>
      </c>
      <c r="I227" s="254">
        <f>VLOOKUP(G227,'Прогноз переменной ставки'!$B$5:$E$304,4,1)</f>
        <v>9.9000000000000005E-2</v>
      </c>
      <c r="J227" s="164">
        <f t="shared" si="42"/>
        <v>0</v>
      </c>
      <c r="K227" s="164">
        <f t="shared" si="43"/>
        <v>0</v>
      </c>
      <c r="L227" s="164">
        <f t="shared" si="48"/>
        <v>0</v>
      </c>
      <c r="M227" s="164">
        <f t="shared" si="48"/>
        <v>0</v>
      </c>
      <c r="N227" s="164">
        <f t="shared" si="44"/>
        <v>0</v>
      </c>
      <c r="O227" s="164">
        <f t="shared" si="36"/>
        <v>0</v>
      </c>
      <c r="P227" s="164">
        <f t="shared" si="37"/>
        <v>0</v>
      </c>
      <c r="Q227" s="164">
        <f t="shared" si="38"/>
        <v>0</v>
      </c>
      <c r="R227" s="164">
        <f t="shared" si="47"/>
        <v>0</v>
      </c>
      <c r="S227" s="164">
        <f t="shared" si="39"/>
        <v>0</v>
      </c>
      <c r="T227" s="164">
        <f t="shared" si="40"/>
        <v>0</v>
      </c>
    </row>
    <row r="228" spans="2:20" x14ac:dyDescent="0.2">
      <c r="B228" s="171"/>
      <c r="D228" s="171"/>
      <c r="F228" s="158">
        <v>217</v>
      </c>
      <c r="G228" s="249">
        <f t="shared" si="41"/>
        <v>50252</v>
      </c>
      <c r="H228" s="158">
        <f t="shared" si="45"/>
        <v>31</v>
      </c>
      <c r="I228" s="254">
        <f>VLOOKUP(G228,'Прогноз переменной ставки'!$B$5:$E$304,4,1)</f>
        <v>9.9000000000000005E-2</v>
      </c>
      <c r="J228" s="164">
        <f t="shared" si="42"/>
        <v>0</v>
      </c>
      <c r="K228" s="164">
        <f t="shared" si="43"/>
        <v>0</v>
      </c>
      <c r="L228" s="164">
        <f t="shared" si="48"/>
        <v>0</v>
      </c>
      <c r="M228" s="164">
        <f t="shared" si="48"/>
        <v>0</v>
      </c>
      <c r="N228" s="164">
        <f t="shared" si="44"/>
        <v>0</v>
      </c>
      <c r="O228" s="164">
        <f t="shared" si="36"/>
        <v>0</v>
      </c>
      <c r="P228" s="164">
        <f t="shared" si="37"/>
        <v>0</v>
      </c>
      <c r="Q228" s="164">
        <f t="shared" si="38"/>
        <v>0</v>
      </c>
      <c r="R228" s="164">
        <f t="shared" si="47"/>
        <v>0</v>
      </c>
      <c r="S228" s="164">
        <f t="shared" si="39"/>
        <v>0</v>
      </c>
      <c r="T228" s="164">
        <f t="shared" si="40"/>
        <v>0</v>
      </c>
    </row>
    <row r="229" spans="2:20" x14ac:dyDescent="0.2">
      <c r="B229" s="171"/>
      <c r="D229" s="171"/>
      <c r="F229" s="158">
        <v>218</v>
      </c>
      <c r="G229" s="249">
        <f t="shared" si="41"/>
        <v>50283</v>
      </c>
      <c r="H229" s="158">
        <f t="shared" si="45"/>
        <v>31</v>
      </c>
      <c r="I229" s="254">
        <f>VLOOKUP(G229,'Прогноз переменной ставки'!$B$5:$E$304,4,1)</f>
        <v>9.9000000000000005E-2</v>
      </c>
      <c r="J229" s="164">
        <f t="shared" si="42"/>
        <v>0</v>
      </c>
      <c r="K229" s="164">
        <f t="shared" si="43"/>
        <v>0</v>
      </c>
      <c r="L229" s="164">
        <f t="shared" si="48"/>
        <v>0</v>
      </c>
      <c r="M229" s="164">
        <f t="shared" si="48"/>
        <v>0</v>
      </c>
      <c r="N229" s="164">
        <f t="shared" si="44"/>
        <v>0</v>
      </c>
      <c r="O229" s="164">
        <f t="shared" si="36"/>
        <v>0</v>
      </c>
      <c r="P229" s="164">
        <f t="shared" si="37"/>
        <v>0</v>
      </c>
      <c r="Q229" s="164">
        <f t="shared" si="38"/>
        <v>0</v>
      </c>
      <c r="R229" s="164">
        <f t="shared" si="47"/>
        <v>0</v>
      </c>
      <c r="S229" s="164">
        <f t="shared" si="39"/>
        <v>0</v>
      </c>
      <c r="T229" s="164">
        <f t="shared" si="40"/>
        <v>0</v>
      </c>
    </row>
    <row r="230" spans="2:20" x14ac:dyDescent="0.2">
      <c r="B230" s="171"/>
      <c r="D230" s="171"/>
      <c r="F230" s="158">
        <v>219</v>
      </c>
      <c r="G230" s="249">
        <f t="shared" si="41"/>
        <v>50313</v>
      </c>
      <c r="H230" s="158">
        <f t="shared" si="45"/>
        <v>30</v>
      </c>
      <c r="I230" s="254">
        <f>VLOOKUP(G230,'Прогноз переменной ставки'!$B$5:$E$304,4,1)</f>
        <v>9.9000000000000005E-2</v>
      </c>
      <c r="J230" s="164">
        <f t="shared" si="42"/>
        <v>0</v>
      </c>
      <c r="K230" s="164">
        <f t="shared" si="43"/>
        <v>0</v>
      </c>
      <c r="L230" s="164">
        <f t="shared" si="48"/>
        <v>0</v>
      </c>
      <c r="M230" s="164">
        <f t="shared" si="48"/>
        <v>0</v>
      </c>
      <c r="N230" s="164">
        <f t="shared" si="44"/>
        <v>0</v>
      </c>
      <c r="O230" s="164">
        <f t="shared" si="36"/>
        <v>0</v>
      </c>
      <c r="P230" s="164">
        <f t="shared" si="37"/>
        <v>0</v>
      </c>
      <c r="Q230" s="164">
        <f t="shared" si="38"/>
        <v>0</v>
      </c>
      <c r="R230" s="164">
        <f t="shared" si="47"/>
        <v>0</v>
      </c>
      <c r="S230" s="164">
        <f t="shared" si="39"/>
        <v>0</v>
      </c>
      <c r="T230" s="164">
        <f t="shared" si="40"/>
        <v>0</v>
      </c>
    </row>
    <row r="231" spans="2:20" x14ac:dyDescent="0.2">
      <c r="B231" s="171"/>
      <c r="D231" s="171"/>
      <c r="F231" s="158">
        <v>220</v>
      </c>
      <c r="G231" s="249">
        <f t="shared" si="41"/>
        <v>50344</v>
      </c>
      <c r="H231" s="158">
        <f t="shared" si="45"/>
        <v>31</v>
      </c>
      <c r="I231" s="254">
        <f>VLOOKUP(G231,'Прогноз переменной ставки'!$B$5:$E$304,4,1)</f>
        <v>9.9000000000000005E-2</v>
      </c>
      <c r="J231" s="164">
        <f t="shared" si="42"/>
        <v>0</v>
      </c>
      <c r="K231" s="164">
        <f t="shared" si="43"/>
        <v>0</v>
      </c>
      <c r="L231" s="164">
        <f t="shared" si="48"/>
        <v>0</v>
      </c>
      <c r="M231" s="164">
        <f t="shared" si="48"/>
        <v>0</v>
      </c>
      <c r="N231" s="164">
        <f t="shared" si="44"/>
        <v>0</v>
      </c>
      <c r="O231" s="164">
        <f t="shared" si="36"/>
        <v>0</v>
      </c>
      <c r="P231" s="164">
        <f t="shared" si="37"/>
        <v>0</v>
      </c>
      <c r="Q231" s="164">
        <f t="shared" si="38"/>
        <v>0</v>
      </c>
      <c r="R231" s="164">
        <f t="shared" si="47"/>
        <v>0</v>
      </c>
      <c r="S231" s="164">
        <f t="shared" si="39"/>
        <v>0</v>
      </c>
      <c r="T231" s="164">
        <f t="shared" si="40"/>
        <v>0</v>
      </c>
    </row>
    <row r="232" spans="2:20" x14ac:dyDescent="0.2">
      <c r="B232" s="171"/>
      <c r="D232" s="171"/>
      <c r="F232" s="158">
        <v>221</v>
      </c>
      <c r="G232" s="249">
        <f t="shared" si="41"/>
        <v>50374</v>
      </c>
      <c r="H232" s="158">
        <f t="shared" si="45"/>
        <v>30</v>
      </c>
      <c r="I232" s="254">
        <f>VLOOKUP(G232,'Прогноз переменной ставки'!$B$5:$E$304,4,1)</f>
        <v>9.9000000000000005E-2</v>
      </c>
      <c r="J232" s="164">
        <f t="shared" si="42"/>
        <v>0</v>
      </c>
      <c r="K232" s="164">
        <f t="shared" si="43"/>
        <v>0</v>
      </c>
      <c r="L232" s="164">
        <f t="shared" si="48"/>
        <v>0</v>
      </c>
      <c r="M232" s="164">
        <f t="shared" si="48"/>
        <v>0</v>
      </c>
      <c r="N232" s="164">
        <f t="shared" si="44"/>
        <v>0</v>
      </c>
      <c r="O232" s="164">
        <f t="shared" si="36"/>
        <v>0</v>
      </c>
      <c r="P232" s="164">
        <f t="shared" si="37"/>
        <v>0</v>
      </c>
      <c r="Q232" s="164">
        <f t="shared" si="38"/>
        <v>0</v>
      </c>
      <c r="R232" s="164">
        <f t="shared" si="47"/>
        <v>0</v>
      </c>
      <c r="S232" s="164">
        <f t="shared" si="39"/>
        <v>0</v>
      </c>
      <c r="T232" s="164">
        <f t="shared" si="40"/>
        <v>0</v>
      </c>
    </row>
    <row r="233" spans="2:20" x14ac:dyDescent="0.2">
      <c r="B233" s="171"/>
      <c r="D233" s="171"/>
      <c r="F233" s="158">
        <v>222</v>
      </c>
      <c r="G233" s="249">
        <f t="shared" si="41"/>
        <v>50405</v>
      </c>
      <c r="H233" s="158">
        <f t="shared" si="45"/>
        <v>31</v>
      </c>
      <c r="I233" s="254">
        <f>VLOOKUP(G233,'Прогноз переменной ставки'!$B$5:$E$304,4,1)</f>
        <v>9.9000000000000005E-2</v>
      </c>
      <c r="J233" s="164">
        <f t="shared" si="42"/>
        <v>0</v>
      </c>
      <c r="K233" s="164">
        <f t="shared" si="43"/>
        <v>0</v>
      </c>
      <c r="L233" s="164">
        <f t="shared" si="48"/>
        <v>0</v>
      </c>
      <c r="M233" s="164">
        <f t="shared" si="48"/>
        <v>0</v>
      </c>
      <c r="N233" s="164">
        <f t="shared" si="44"/>
        <v>0</v>
      </c>
      <c r="O233" s="164">
        <f t="shared" si="36"/>
        <v>0</v>
      </c>
      <c r="P233" s="164">
        <f t="shared" si="37"/>
        <v>0</v>
      </c>
      <c r="Q233" s="164">
        <f t="shared" si="38"/>
        <v>0</v>
      </c>
      <c r="R233" s="164">
        <f t="shared" si="47"/>
        <v>0</v>
      </c>
      <c r="S233" s="164">
        <f t="shared" si="39"/>
        <v>0</v>
      </c>
      <c r="T233" s="164">
        <f t="shared" si="40"/>
        <v>0</v>
      </c>
    </row>
    <row r="234" spans="2:20" x14ac:dyDescent="0.2">
      <c r="B234" s="171"/>
      <c r="D234" s="171"/>
      <c r="F234" s="158">
        <v>223</v>
      </c>
      <c r="G234" s="249">
        <f t="shared" si="41"/>
        <v>50436</v>
      </c>
      <c r="H234" s="158">
        <f t="shared" si="45"/>
        <v>31</v>
      </c>
      <c r="I234" s="254">
        <f>VLOOKUP(G234,'Прогноз переменной ставки'!$B$5:$E$304,4,1)</f>
        <v>9.9000000000000005E-2</v>
      </c>
      <c r="J234" s="164">
        <f t="shared" si="42"/>
        <v>0</v>
      </c>
      <c r="K234" s="164">
        <f t="shared" si="43"/>
        <v>0</v>
      </c>
      <c r="L234" s="164">
        <f t="shared" si="48"/>
        <v>0</v>
      </c>
      <c r="M234" s="164">
        <f t="shared" si="48"/>
        <v>0</v>
      </c>
      <c r="N234" s="164">
        <f t="shared" si="44"/>
        <v>0</v>
      </c>
      <c r="O234" s="164">
        <f t="shared" si="36"/>
        <v>0</v>
      </c>
      <c r="P234" s="164">
        <f t="shared" si="37"/>
        <v>0</v>
      </c>
      <c r="Q234" s="164">
        <f t="shared" si="38"/>
        <v>0</v>
      </c>
      <c r="R234" s="164">
        <f t="shared" si="47"/>
        <v>0</v>
      </c>
      <c r="S234" s="164">
        <f t="shared" si="39"/>
        <v>0</v>
      </c>
      <c r="T234" s="164">
        <f t="shared" si="40"/>
        <v>0</v>
      </c>
    </row>
    <row r="235" spans="2:20" x14ac:dyDescent="0.2">
      <c r="B235" s="171"/>
      <c r="D235" s="171"/>
      <c r="F235" s="158">
        <v>224</v>
      </c>
      <c r="G235" s="249">
        <f t="shared" si="41"/>
        <v>50464</v>
      </c>
      <c r="H235" s="158">
        <f t="shared" si="45"/>
        <v>28</v>
      </c>
      <c r="I235" s="254">
        <f>VLOOKUP(G235,'Прогноз переменной ставки'!$B$5:$E$304,4,1)</f>
        <v>9.9000000000000005E-2</v>
      </c>
      <c r="J235" s="164">
        <f t="shared" si="42"/>
        <v>0</v>
      </c>
      <c r="K235" s="164">
        <f t="shared" si="43"/>
        <v>0</v>
      </c>
      <c r="L235" s="164">
        <f t="shared" si="48"/>
        <v>0</v>
      </c>
      <c r="M235" s="164">
        <f t="shared" si="48"/>
        <v>0</v>
      </c>
      <c r="N235" s="164">
        <f t="shared" si="44"/>
        <v>0</v>
      </c>
      <c r="O235" s="164">
        <f t="shared" si="36"/>
        <v>0</v>
      </c>
      <c r="P235" s="164">
        <f t="shared" si="37"/>
        <v>0</v>
      </c>
      <c r="Q235" s="164">
        <f t="shared" si="38"/>
        <v>0</v>
      </c>
      <c r="R235" s="164">
        <f t="shared" si="47"/>
        <v>0</v>
      </c>
      <c r="S235" s="164">
        <f t="shared" si="39"/>
        <v>0</v>
      </c>
      <c r="T235" s="164">
        <f t="shared" si="40"/>
        <v>0</v>
      </c>
    </row>
    <row r="236" spans="2:20" x14ac:dyDescent="0.2">
      <c r="B236" s="171"/>
      <c r="D236" s="171"/>
      <c r="F236" s="158">
        <v>225</v>
      </c>
      <c r="G236" s="249">
        <f t="shared" si="41"/>
        <v>50495</v>
      </c>
      <c r="H236" s="158">
        <f t="shared" si="45"/>
        <v>31</v>
      </c>
      <c r="I236" s="254">
        <f>VLOOKUP(G236,'Прогноз переменной ставки'!$B$5:$E$304,4,1)</f>
        <v>9.9000000000000005E-2</v>
      </c>
      <c r="J236" s="164">
        <f t="shared" si="42"/>
        <v>0</v>
      </c>
      <c r="K236" s="164">
        <f t="shared" si="43"/>
        <v>0</v>
      </c>
      <c r="L236" s="164">
        <f t="shared" si="48"/>
        <v>0</v>
      </c>
      <c r="M236" s="164">
        <f t="shared" si="48"/>
        <v>0</v>
      </c>
      <c r="N236" s="164">
        <f t="shared" si="44"/>
        <v>0</v>
      </c>
      <c r="O236" s="164">
        <f t="shared" si="36"/>
        <v>0</v>
      </c>
      <c r="P236" s="164">
        <f t="shared" si="37"/>
        <v>0</v>
      </c>
      <c r="Q236" s="164">
        <f t="shared" si="38"/>
        <v>0</v>
      </c>
      <c r="R236" s="164">
        <f t="shared" si="47"/>
        <v>0</v>
      </c>
      <c r="S236" s="164">
        <f t="shared" si="39"/>
        <v>0</v>
      </c>
      <c r="T236" s="164">
        <f t="shared" si="40"/>
        <v>0</v>
      </c>
    </row>
    <row r="237" spans="2:20" x14ac:dyDescent="0.2">
      <c r="B237" s="171"/>
      <c r="D237" s="171"/>
      <c r="F237" s="158">
        <v>226</v>
      </c>
      <c r="G237" s="249">
        <f t="shared" si="41"/>
        <v>50525</v>
      </c>
      <c r="H237" s="158">
        <f t="shared" si="45"/>
        <v>30</v>
      </c>
      <c r="I237" s="254">
        <f>VLOOKUP(G237,'Прогноз переменной ставки'!$B$5:$E$304,4,1)</f>
        <v>9.9000000000000005E-2</v>
      </c>
      <c r="J237" s="164">
        <f t="shared" si="42"/>
        <v>0</v>
      </c>
      <c r="K237" s="164">
        <f t="shared" si="43"/>
        <v>0</v>
      </c>
      <c r="L237" s="164">
        <f t="shared" si="48"/>
        <v>0</v>
      </c>
      <c r="M237" s="164">
        <f t="shared" si="48"/>
        <v>0</v>
      </c>
      <c r="N237" s="164">
        <f t="shared" si="44"/>
        <v>0</v>
      </c>
      <c r="O237" s="164">
        <f t="shared" si="36"/>
        <v>0</v>
      </c>
      <c r="P237" s="164">
        <f t="shared" si="37"/>
        <v>0</v>
      </c>
      <c r="Q237" s="164">
        <f t="shared" si="38"/>
        <v>0</v>
      </c>
      <c r="R237" s="164">
        <f t="shared" si="47"/>
        <v>0</v>
      </c>
      <c r="S237" s="164">
        <f t="shared" si="39"/>
        <v>0</v>
      </c>
      <c r="T237" s="164">
        <f t="shared" si="40"/>
        <v>0</v>
      </c>
    </row>
    <row r="238" spans="2:20" x14ac:dyDescent="0.2">
      <c r="B238" s="171"/>
      <c r="D238" s="171"/>
      <c r="F238" s="158">
        <v>227</v>
      </c>
      <c r="G238" s="249">
        <f t="shared" si="41"/>
        <v>50556</v>
      </c>
      <c r="H238" s="158">
        <f t="shared" si="45"/>
        <v>31</v>
      </c>
      <c r="I238" s="254">
        <f>VLOOKUP(G238,'Прогноз переменной ставки'!$B$5:$E$304,4,1)</f>
        <v>9.9000000000000005E-2</v>
      </c>
      <c r="J238" s="164">
        <f t="shared" si="42"/>
        <v>0</v>
      </c>
      <c r="K238" s="164">
        <f t="shared" si="43"/>
        <v>0</v>
      </c>
      <c r="L238" s="164">
        <f t="shared" si="48"/>
        <v>0</v>
      </c>
      <c r="M238" s="164">
        <f t="shared" si="48"/>
        <v>0</v>
      </c>
      <c r="N238" s="164">
        <f t="shared" si="44"/>
        <v>0</v>
      </c>
      <c r="O238" s="164">
        <f t="shared" si="36"/>
        <v>0</v>
      </c>
      <c r="P238" s="164">
        <f t="shared" si="37"/>
        <v>0</v>
      </c>
      <c r="Q238" s="164">
        <f t="shared" si="38"/>
        <v>0</v>
      </c>
      <c r="R238" s="164">
        <f t="shared" si="47"/>
        <v>0</v>
      </c>
      <c r="S238" s="164">
        <f t="shared" si="39"/>
        <v>0</v>
      </c>
      <c r="T238" s="164">
        <f t="shared" si="40"/>
        <v>0</v>
      </c>
    </row>
    <row r="239" spans="2:20" x14ac:dyDescent="0.2">
      <c r="B239" s="171"/>
      <c r="D239" s="171"/>
      <c r="F239" s="158">
        <v>228</v>
      </c>
      <c r="G239" s="249">
        <f t="shared" si="41"/>
        <v>50586</v>
      </c>
      <c r="H239" s="158">
        <f t="shared" si="45"/>
        <v>30</v>
      </c>
      <c r="I239" s="254">
        <f>VLOOKUP(G239,'Прогноз переменной ставки'!$B$5:$E$304,4,1)</f>
        <v>9.9000000000000005E-2</v>
      </c>
      <c r="J239" s="164">
        <f t="shared" si="42"/>
        <v>0</v>
      </c>
      <c r="K239" s="164">
        <f t="shared" si="43"/>
        <v>0</v>
      </c>
      <c r="L239" s="164">
        <f t="shared" si="48"/>
        <v>0</v>
      </c>
      <c r="M239" s="164">
        <f t="shared" si="48"/>
        <v>0</v>
      </c>
      <c r="N239" s="164">
        <f t="shared" si="44"/>
        <v>0</v>
      </c>
      <c r="O239" s="164">
        <f t="shared" si="36"/>
        <v>0</v>
      </c>
      <c r="P239" s="164">
        <f t="shared" si="37"/>
        <v>0</v>
      </c>
      <c r="Q239" s="164">
        <f t="shared" si="38"/>
        <v>0</v>
      </c>
      <c r="R239" s="164">
        <f t="shared" si="47"/>
        <v>0</v>
      </c>
      <c r="S239" s="164">
        <f t="shared" si="39"/>
        <v>0</v>
      </c>
      <c r="T239" s="164">
        <f t="shared" si="40"/>
        <v>0</v>
      </c>
    </row>
    <row r="240" spans="2:20" x14ac:dyDescent="0.2">
      <c r="B240" s="171"/>
      <c r="D240" s="171"/>
      <c r="F240" s="158">
        <v>229</v>
      </c>
      <c r="G240" s="249">
        <f t="shared" si="41"/>
        <v>50617</v>
      </c>
      <c r="H240" s="158">
        <f t="shared" si="45"/>
        <v>31</v>
      </c>
      <c r="I240" s="254">
        <f>VLOOKUP(G240,'Прогноз переменной ставки'!$B$5:$E$304,4,1)</f>
        <v>9.9000000000000005E-2</v>
      </c>
      <c r="J240" s="164">
        <f t="shared" si="42"/>
        <v>0</v>
      </c>
      <c r="K240" s="164">
        <f t="shared" si="43"/>
        <v>0</v>
      </c>
      <c r="L240" s="164">
        <f t="shared" si="48"/>
        <v>0</v>
      </c>
      <c r="M240" s="164">
        <f t="shared" si="48"/>
        <v>0</v>
      </c>
      <c r="N240" s="164">
        <f t="shared" si="44"/>
        <v>0</v>
      </c>
      <c r="O240" s="164">
        <f t="shared" si="36"/>
        <v>0</v>
      </c>
      <c r="P240" s="164">
        <f t="shared" si="37"/>
        <v>0</v>
      </c>
      <c r="Q240" s="164">
        <f t="shared" si="38"/>
        <v>0</v>
      </c>
      <c r="R240" s="164">
        <f t="shared" si="47"/>
        <v>0</v>
      </c>
      <c r="S240" s="164">
        <f t="shared" si="39"/>
        <v>0</v>
      </c>
      <c r="T240" s="164">
        <f t="shared" si="40"/>
        <v>0</v>
      </c>
    </row>
    <row r="241" spans="2:20" x14ac:dyDescent="0.2">
      <c r="B241" s="171"/>
      <c r="D241" s="171"/>
      <c r="F241" s="158">
        <v>230</v>
      </c>
      <c r="G241" s="249">
        <f t="shared" si="41"/>
        <v>50648</v>
      </c>
      <c r="H241" s="158">
        <f t="shared" si="45"/>
        <v>31</v>
      </c>
      <c r="I241" s="254">
        <f>VLOOKUP(G241,'Прогноз переменной ставки'!$B$5:$E$304,4,1)</f>
        <v>9.9000000000000005E-2</v>
      </c>
      <c r="J241" s="164">
        <f t="shared" si="42"/>
        <v>0</v>
      </c>
      <c r="K241" s="164">
        <f t="shared" si="43"/>
        <v>0</v>
      </c>
      <c r="L241" s="164">
        <f t="shared" si="48"/>
        <v>0</v>
      </c>
      <c r="M241" s="164">
        <f t="shared" si="48"/>
        <v>0</v>
      </c>
      <c r="N241" s="164">
        <f t="shared" si="44"/>
        <v>0</v>
      </c>
      <c r="O241" s="164">
        <f t="shared" si="36"/>
        <v>0</v>
      </c>
      <c r="P241" s="164">
        <f t="shared" si="37"/>
        <v>0</v>
      </c>
      <c r="Q241" s="164">
        <f t="shared" si="38"/>
        <v>0</v>
      </c>
      <c r="R241" s="164">
        <f t="shared" si="47"/>
        <v>0</v>
      </c>
      <c r="S241" s="164">
        <f t="shared" si="39"/>
        <v>0</v>
      </c>
      <c r="T241" s="164">
        <f t="shared" si="40"/>
        <v>0</v>
      </c>
    </row>
    <row r="242" spans="2:20" x14ac:dyDescent="0.2">
      <c r="B242" s="171"/>
      <c r="D242" s="171"/>
      <c r="F242" s="158">
        <v>231</v>
      </c>
      <c r="G242" s="249">
        <f t="shared" si="41"/>
        <v>50678</v>
      </c>
      <c r="H242" s="158">
        <f t="shared" si="45"/>
        <v>30</v>
      </c>
      <c r="I242" s="254">
        <f>VLOOKUP(G242,'Прогноз переменной ставки'!$B$5:$E$304,4,1)</f>
        <v>9.9000000000000005E-2</v>
      </c>
      <c r="J242" s="164">
        <f t="shared" si="42"/>
        <v>0</v>
      </c>
      <c r="K242" s="164">
        <f t="shared" si="43"/>
        <v>0</v>
      </c>
      <c r="L242" s="164">
        <f t="shared" si="48"/>
        <v>0</v>
      </c>
      <c r="M242" s="164">
        <f t="shared" si="48"/>
        <v>0</v>
      </c>
      <c r="N242" s="164">
        <f t="shared" si="44"/>
        <v>0</v>
      </c>
      <c r="O242" s="164">
        <f t="shared" si="36"/>
        <v>0</v>
      </c>
      <c r="P242" s="164">
        <f t="shared" si="37"/>
        <v>0</v>
      </c>
      <c r="Q242" s="164">
        <f t="shared" si="38"/>
        <v>0</v>
      </c>
      <c r="R242" s="164">
        <f t="shared" si="47"/>
        <v>0</v>
      </c>
      <c r="S242" s="164">
        <f t="shared" si="39"/>
        <v>0</v>
      </c>
      <c r="T242" s="164">
        <f t="shared" si="40"/>
        <v>0</v>
      </c>
    </row>
    <row r="243" spans="2:20" x14ac:dyDescent="0.2">
      <c r="B243" s="171"/>
      <c r="D243" s="171"/>
      <c r="F243" s="158">
        <v>232</v>
      </c>
      <c r="G243" s="249">
        <f t="shared" si="41"/>
        <v>50709</v>
      </c>
      <c r="H243" s="158">
        <f t="shared" si="45"/>
        <v>31</v>
      </c>
      <c r="I243" s="254">
        <f>VLOOKUP(G243,'Прогноз переменной ставки'!$B$5:$E$304,4,1)</f>
        <v>9.9000000000000005E-2</v>
      </c>
      <c r="J243" s="164">
        <f t="shared" si="42"/>
        <v>0</v>
      </c>
      <c r="K243" s="164">
        <f t="shared" si="43"/>
        <v>0</v>
      </c>
      <c r="L243" s="164">
        <f t="shared" si="48"/>
        <v>0</v>
      </c>
      <c r="M243" s="164">
        <f t="shared" si="48"/>
        <v>0</v>
      </c>
      <c r="N243" s="164">
        <f t="shared" si="44"/>
        <v>0</v>
      </c>
      <c r="O243" s="164">
        <f t="shared" si="36"/>
        <v>0</v>
      </c>
      <c r="P243" s="164">
        <f t="shared" si="37"/>
        <v>0</v>
      </c>
      <c r="Q243" s="164">
        <f t="shared" si="38"/>
        <v>0</v>
      </c>
      <c r="R243" s="164">
        <f t="shared" si="47"/>
        <v>0</v>
      </c>
      <c r="S243" s="164">
        <f t="shared" si="39"/>
        <v>0</v>
      </c>
      <c r="T243" s="164">
        <f t="shared" si="40"/>
        <v>0</v>
      </c>
    </row>
    <row r="244" spans="2:20" x14ac:dyDescent="0.2">
      <c r="B244" s="171"/>
      <c r="D244" s="171"/>
      <c r="F244" s="158">
        <v>233</v>
      </c>
      <c r="G244" s="249">
        <f t="shared" si="41"/>
        <v>50739</v>
      </c>
      <c r="H244" s="158">
        <f t="shared" si="45"/>
        <v>30</v>
      </c>
      <c r="I244" s="254">
        <f>VLOOKUP(G244,'Прогноз переменной ставки'!$B$5:$E$304,4,1)</f>
        <v>9.9000000000000005E-2</v>
      </c>
      <c r="J244" s="164">
        <f t="shared" si="42"/>
        <v>0</v>
      </c>
      <c r="K244" s="164">
        <f t="shared" si="43"/>
        <v>0</v>
      </c>
      <c r="L244" s="164">
        <f t="shared" si="48"/>
        <v>0</v>
      </c>
      <c r="M244" s="164">
        <f t="shared" si="48"/>
        <v>0</v>
      </c>
      <c r="N244" s="164">
        <f t="shared" si="44"/>
        <v>0</v>
      </c>
      <c r="O244" s="164">
        <f t="shared" si="36"/>
        <v>0</v>
      </c>
      <c r="P244" s="164">
        <f t="shared" si="37"/>
        <v>0</v>
      </c>
      <c r="Q244" s="164">
        <f t="shared" si="38"/>
        <v>0</v>
      </c>
      <c r="R244" s="164">
        <f t="shared" si="47"/>
        <v>0</v>
      </c>
      <c r="S244" s="164">
        <f t="shared" si="39"/>
        <v>0</v>
      </c>
      <c r="T244" s="164">
        <f t="shared" si="40"/>
        <v>0</v>
      </c>
    </row>
    <row r="245" spans="2:20" x14ac:dyDescent="0.2">
      <c r="B245" s="171"/>
      <c r="D245" s="171"/>
      <c r="F245" s="158">
        <v>234</v>
      </c>
      <c r="G245" s="249">
        <f t="shared" si="41"/>
        <v>50770</v>
      </c>
      <c r="H245" s="158">
        <f t="shared" si="45"/>
        <v>31</v>
      </c>
      <c r="I245" s="254">
        <f>VLOOKUP(G245,'Прогноз переменной ставки'!$B$5:$E$304,4,1)</f>
        <v>9.9000000000000005E-2</v>
      </c>
      <c r="J245" s="164">
        <f t="shared" si="42"/>
        <v>0</v>
      </c>
      <c r="K245" s="164">
        <f t="shared" si="43"/>
        <v>0</v>
      </c>
      <c r="L245" s="164">
        <f t="shared" si="48"/>
        <v>0</v>
      </c>
      <c r="M245" s="164">
        <f t="shared" si="48"/>
        <v>0</v>
      </c>
      <c r="N245" s="164">
        <f t="shared" si="44"/>
        <v>0</v>
      </c>
      <c r="O245" s="164">
        <f t="shared" si="36"/>
        <v>0</v>
      </c>
      <c r="P245" s="164">
        <f t="shared" si="37"/>
        <v>0</v>
      </c>
      <c r="Q245" s="164">
        <f t="shared" si="38"/>
        <v>0</v>
      </c>
      <c r="R245" s="164">
        <f t="shared" si="47"/>
        <v>0</v>
      </c>
      <c r="S245" s="164">
        <f t="shared" si="39"/>
        <v>0</v>
      </c>
      <c r="T245" s="164">
        <f t="shared" si="40"/>
        <v>0</v>
      </c>
    </row>
    <row r="246" spans="2:20" x14ac:dyDescent="0.2">
      <c r="B246" s="171"/>
      <c r="D246" s="171"/>
      <c r="F246" s="158">
        <v>235</v>
      </c>
      <c r="G246" s="249">
        <f t="shared" si="41"/>
        <v>50801</v>
      </c>
      <c r="H246" s="158">
        <f t="shared" si="45"/>
        <v>31</v>
      </c>
      <c r="I246" s="254">
        <f>VLOOKUP(G246,'Прогноз переменной ставки'!$B$5:$E$304,4,1)</f>
        <v>9.9000000000000005E-2</v>
      </c>
      <c r="J246" s="164">
        <f t="shared" si="42"/>
        <v>0</v>
      </c>
      <c r="K246" s="164">
        <f t="shared" si="43"/>
        <v>0</v>
      </c>
      <c r="L246" s="164">
        <f t="shared" si="48"/>
        <v>0</v>
      </c>
      <c r="M246" s="164">
        <f t="shared" si="48"/>
        <v>0</v>
      </c>
      <c r="N246" s="164">
        <f t="shared" si="44"/>
        <v>0</v>
      </c>
      <c r="O246" s="164">
        <f t="shared" si="36"/>
        <v>0</v>
      </c>
      <c r="P246" s="164">
        <f t="shared" si="37"/>
        <v>0</v>
      </c>
      <c r="Q246" s="164">
        <f t="shared" si="38"/>
        <v>0</v>
      </c>
      <c r="R246" s="164">
        <f t="shared" si="47"/>
        <v>0</v>
      </c>
      <c r="S246" s="164">
        <f t="shared" si="39"/>
        <v>0</v>
      </c>
      <c r="T246" s="164">
        <f t="shared" si="40"/>
        <v>0</v>
      </c>
    </row>
    <row r="247" spans="2:20" x14ac:dyDescent="0.2">
      <c r="B247" s="171"/>
      <c r="D247" s="171"/>
      <c r="F247" s="158">
        <v>236</v>
      </c>
      <c r="G247" s="249">
        <f t="shared" si="41"/>
        <v>50829</v>
      </c>
      <c r="H247" s="158">
        <f t="shared" si="45"/>
        <v>28</v>
      </c>
      <c r="I247" s="254">
        <f>VLOOKUP(G247,'Прогноз переменной ставки'!$B$5:$E$304,4,1)</f>
        <v>9.9000000000000005E-2</v>
      </c>
      <c r="J247" s="164">
        <f t="shared" si="42"/>
        <v>0</v>
      </c>
      <c r="K247" s="164">
        <f t="shared" si="43"/>
        <v>0</v>
      </c>
      <c r="L247" s="164">
        <f t="shared" si="48"/>
        <v>0</v>
      </c>
      <c r="M247" s="164">
        <f t="shared" si="48"/>
        <v>0</v>
      </c>
      <c r="N247" s="164">
        <f t="shared" si="44"/>
        <v>0</v>
      </c>
      <c r="O247" s="164">
        <f t="shared" si="36"/>
        <v>0</v>
      </c>
      <c r="P247" s="164">
        <f t="shared" si="37"/>
        <v>0</v>
      </c>
      <c r="Q247" s="164">
        <f t="shared" si="38"/>
        <v>0</v>
      </c>
      <c r="R247" s="164">
        <f t="shared" si="47"/>
        <v>0</v>
      </c>
      <c r="S247" s="164">
        <f t="shared" si="39"/>
        <v>0</v>
      </c>
      <c r="T247" s="164">
        <f t="shared" si="40"/>
        <v>0</v>
      </c>
    </row>
    <row r="248" spans="2:20" x14ac:dyDescent="0.2">
      <c r="B248" s="171"/>
      <c r="D248" s="171"/>
      <c r="F248" s="158">
        <v>237</v>
      </c>
      <c r="G248" s="249">
        <f t="shared" si="41"/>
        <v>50860</v>
      </c>
      <c r="H248" s="158">
        <f t="shared" si="45"/>
        <v>31</v>
      </c>
      <c r="I248" s="254">
        <f>VLOOKUP(G248,'Прогноз переменной ставки'!$B$5:$E$304,4,1)</f>
        <v>9.9000000000000005E-2</v>
      </c>
      <c r="J248" s="164">
        <f t="shared" si="42"/>
        <v>0</v>
      </c>
      <c r="K248" s="164">
        <f t="shared" si="43"/>
        <v>0</v>
      </c>
      <c r="L248" s="164">
        <f t="shared" si="48"/>
        <v>0</v>
      </c>
      <c r="M248" s="164">
        <f t="shared" si="48"/>
        <v>0</v>
      </c>
      <c r="N248" s="164">
        <f t="shared" si="44"/>
        <v>0</v>
      </c>
      <c r="O248" s="164">
        <f t="shared" si="36"/>
        <v>0</v>
      </c>
      <c r="P248" s="164">
        <f t="shared" si="37"/>
        <v>0</v>
      </c>
      <c r="Q248" s="164">
        <f t="shared" si="38"/>
        <v>0</v>
      </c>
      <c r="R248" s="164">
        <f t="shared" si="47"/>
        <v>0</v>
      </c>
      <c r="S248" s="164">
        <f t="shared" si="39"/>
        <v>0</v>
      </c>
      <c r="T248" s="164">
        <f t="shared" si="40"/>
        <v>0</v>
      </c>
    </row>
    <row r="249" spans="2:20" x14ac:dyDescent="0.2">
      <c r="B249" s="171"/>
      <c r="D249" s="171"/>
      <c r="F249" s="158">
        <v>238</v>
      </c>
      <c r="G249" s="249">
        <f t="shared" si="41"/>
        <v>50890</v>
      </c>
      <c r="H249" s="158">
        <f t="shared" si="45"/>
        <v>30</v>
      </c>
      <c r="I249" s="254">
        <f>VLOOKUP(G249,'Прогноз переменной ставки'!$B$5:$E$304,4,1)</f>
        <v>9.9000000000000005E-2</v>
      </c>
      <c r="J249" s="164">
        <f t="shared" si="42"/>
        <v>0</v>
      </c>
      <c r="K249" s="164">
        <f t="shared" si="43"/>
        <v>0</v>
      </c>
      <c r="L249" s="164">
        <f t="shared" si="48"/>
        <v>0</v>
      </c>
      <c r="M249" s="164">
        <f t="shared" si="48"/>
        <v>0</v>
      </c>
      <c r="N249" s="164">
        <f t="shared" si="44"/>
        <v>0</v>
      </c>
      <c r="O249" s="164">
        <f t="shared" si="36"/>
        <v>0</v>
      </c>
      <c r="P249" s="164">
        <f t="shared" si="37"/>
        <v>0</v>
      </c>
      <c r="Q249" s="164">
        <f t="shared" si="38"/>
        <v>0</v>
      </c>
      <c r="R249" s="164">
        <f t="shared" si="47"/>
        <v>0</v>
      </c>
      <c r="S249" s="164">
        <f t="shared" si="39"/>
        <v>0</v>
      </c>
      <c r="T249" s="164">
        <f t="shared" si="40"/>
        <v>0</v>
      </c>
    </row>
    <row r="250" spans="2:20" x14ac:dyDescent="0.2">
      <c r="B250" s="171"/>
      <c r="D250" s="171"/>
      <c r="F250" s="158">
        <v>239</v>
      </c>
      <c r="G250" s="249">
        <f t="shared" si="41"/>
        <v>50921</v>
      </c>
      <c r="H250" s="158">
        <f t="shared" si="45"/>
        <v>31</v>
      </c>
      <c r="I250" s="254">
        <f>VLOOKUP(G250,'Прогноз переменной ставки'!$B$5:$E$304,4,1)</f>
        <v>9.9000000000000005E-2</v>
      </c>
      <c r="J250" s="164">
        <f t="shared" si="42"/>
        <v>0</v>
      </c>
      <c r="K250" s="164">
        <f t="shared" si="43"/>
        <v>0</v>
      </c>
      <c r="L250" s="164">
        <f t="shared" si="48"/>
        <v>0</v>
      </c>
      <c r="M250" s="164">
        <f t="shared" si="48"/>
        <v>0</v>
      </c>
      <c r="N250" s="164">
        <f t="shared" si="44"/>
        <v>0</v>
      </c>
      <c r="O250" s="164">
        <f t="shared" si="36"/>
        <v>0</v>
      </c>
      <c r="P250" s="164">
        <f t="shared" si="37"/>
        <v>0</v>
      </c>
      <c r="Q250" s="164">
        <f t="shared" si="38"/>
        <v>0</v>
      </c>
      <c r="R250" s="164">
        <f t="shared" si="47"/>
        <v>0</v>
      </c>
      <c r="S250" s="164">
        <f t="shared" si="39"/>
        <v>0</v>
      </c>
      <c r="T250" s="164">
        <f t="shared" si="40"/>
        <v>0</v>
      </c>
    </row>
    <row r="251" spans="2:20" x14ac:dyDescent="0.2">
      <c r="B251" s="171"/>
      <c r="D251" s="171"/>
      <c r="F251" s="158">
        <v>240</v>
      </c>
      <c r="G251" s="249">
        <f t="shared" si="41"/>
        <v>50951</v>
      </c>
      <c r="H251" s="158">
        <f t="shared" si="45"/>
        <v>30</v>
      </c>
      <c r="I251" s="254">
        <f>VLOOKUP(G251,'Прогноз переменной ставки'!$B$5:$E$304,4,1)</f>
        <v>9.9000000000000005E-2</v>
      </c>
      <c r="J251" s="164">
        <f t="shared" si="42"/>
        <v>0</v>
      </c>
      <c r="K251" s="164">
        <f t="shared" si="43"/>
        <v>0</v>
      </c>
      <c r="L251" s="164">
        <f t="shared" si="48"/>
        <v>0</v>
      </c>
      <c r="M251" s="164">
        <f t="shared" si="48"/>
        <v>0</v>
      </c>
      <c r="N251" s="164">
        <f t="shared" si="44"/>
        <v>0</v>
      </c>
      <c r="O251" s="164">
        <f t="shared" si="36"/>
        <v>0</v>
      </c>
      <c r="P251" s="164">
        <f t="shared" si="37"/>
        <v>0</v>
      </c>
      <c r="Q251" s="164">
        <f t="shared" si="38"/>
        <v>0</v>
      </c>
      <c r="R251" s="164">
        <f t="shared" si="47"/>
        <v>0</v>
      </c>
      <c r="S251" s="164">
        <f t="shared" si="39"/>
        <v>0</v>
      </c>
      <c r="T251" s="164">
        <f t="shared" si="40"/>
        <v>0</v>
      </c>
    </row>
    <row r="252" spans="2:20" x14ac:dyDescent="0.2">
      <c r="B252" s="171"/>
      <c r="D252" s="171"/>
      <c r="F252" s="158">
        <v>241</v>
      </c>
      <c r="G252" s="249">
        <f t="shared" si="41"/>
        <v>50982</v>
      </c>
      <c r="H252" s="158">
        <f t="shared" si="45"/>
        <v>31</v>
      </c>
      <c r="I252" s="254">
        <f>VLOOKUP(G252,'Прогноз переменной ставки'!$B$5:$E$304,4,1)</f>
        <v>9.9000000000000005E-2</v>
      </c>
      <c r="J252" s="164">
        <f t="shared" si="42"/>
        <v>0</v>
      </c>
      <c r="K252" s="164">
        <f t="shared" si="43"/>
        <v>0</v>
      </c>
      <c r="L252" s="164">
        <f t="shared" si="48"/>
        <v>0</v>
      </c>
      <c r="M252" s="164">
        <f t="shared" si="48"/>
        <v>0</v>
      </c>
      <c r="N252" s="164">
        <f t="shared" si="44"/>
        <v>0</v>
      </c>
      <c r="O252" s="164">
        <f t="shared" si="36"/>
        <v>0</v>
      </c>
      <c r="P252" s="164">
        <f t="shared" si="37"/>
        <v>0</v>
      </c>
      <c r="Q252" s="164">
        <f t="shared" si="38"/>
        <v>0</v>
      </c>
      <c r="R252" s="164">
        <f t="shared" si="47"/>
        <v>0</v>
      </c>
      <c r="S252" s="164">
        <f t="shared" si="39"/>
        <v>0</v>
      </c>
      <c r="T252" s="164">
        <f t="shared" si="40"/>
        <v>0</v>
      </c>
    </row>
    <row r="253" spans="2:20" x14ac:dyDescent="0.2">
      <c r="B253" s="171"/>
      <c r="D253" s="171"/>
      <c r="F253" s="158">
        <v>242</v>
      </c>
      <c r="G253" s="249">
        <f t="shared" si="41"/>
        <v>51013</v>
      </c>
      <c r="H253" s="158">
        <f t="shared" si="45"/>
        <v>31</v>
      </c>
      <c r="I253" s="254">
        <f>VLOOKUP(G253,'Прогноз переменной ставки'!$B$5:$E$304,4,1)</f>
        <v>9.9000000000000005E-2</v>
      </c>
      <c r="J253" s="164">
        <f t="shared" si="42"/>
        <v>0</v>
      </c>
      <c r="K253" s="164">
        <f t="shared" si="43"/>
        <v>0</v>
      </c>
      <c r="L253" s="164">
        <f t="shared" si="48"/>
        <v>0</v>
      </c>
      <c r="M253" s="164">
        <f t="shared" si="48"/>
        <v>0</v>
      </c>
      <c r="N253" s="164">
        <f t="shared" si="44"/>
        <v>0</v>
      </c>
      <c r="O253" s="164">
        <f t="shared" si="36"/>
        <v>0</v>
      </c>
      <c r="P253" s="164">
        <f t="shared" si="37"/>
        <v>0</v>
      </c>
      <c r="Q253" s="164">
        <f t="shared" si="38"/>
        <v>0</v>
      </c>
      <c r="R253" s="164">
        <f t="shared" si="47"/>
        <v>0</v>
      </c>
      <c r="S253" s="164">
        <f t="shared" si="39"/>
        <v>0</v>
      </c>
      <c r="T253" s="164">
        <f t="shared" si="40"/>
        <v>0</v>
      </c>
    </row>
    <row r="254" spans="2:20" x14ac:dyDescent="0.2">
      <c r="B254" s="171"/>
      <c r="D254" s="171"/>
      <c r="F254" s="158">
        <v>243</v>
      </c>
      <c r="G254" s="249">
        <f t="shared" si="41"/>
        <v>51043</v>
      </c>
      <c r="H254" s="158">
        <f t="shared" si="45"/>
        <v>30</v>
      </c>
      <c r="I254" s="254">
        <f>VLOOKUP(G254,'Прогноз переменной ставки'!$B$5:$E$304,4,1)</f>
        <v>9.9000000000000005E-2</v>
      </c>
      <c r="J254" s="164">
        <f t="shared" si="42"/>
        <v>0</v>
      </c>
      <c r="K254" s="164">
        <f t="shared" si="43"/>
        <v>0</v>
      </c>
      <c r="L254" s="164">
        <f t="shared" si="48"/>
        <v>0</v>
      </c>
      <c r="M254" s="164">
        <f t="shared" si="48"/>
        <v>0</v>
      </c>
      <c r="N254" s="164">
        <f t="shared" si="44"/>
        <v>0</v>
      </c>
      <c r="O254" s="164">
        <f t="shared" si="36"/>
        <v>0</v>
      </c>
      <c r="P254" s="164">
        <f t="shared" si="37"/>
        <v>0</v>
      </c>
      <c r="Q254" s="164">
        <f t="shared" si="38"/>
        <v>0</v>
      </c>
      <c r="R254" s="164">
        <f t="shared" si="47"/>
        <v>0</v>
      </c>
      <c r="S254" s="164">
        <f t="shared" si="39"/>
        <v>0</v>
      </c>
      <c r="T254" s="164">
        <f t="shared" si="40"/>
        <v>0</v>
      </c>
    </row>
    <row r="255" spans="2:20" x14ac:dyDescent="0.2">
      <c r="B255" s="171"/>
      <c r="D255" s="171"/>
      <c r="F255" s="158">
        <v>244</v>
      </c>
      <c r="G255" s="249">
        <f t="shared" si="41"/>
        <v>51074</v>
      </c>
      <c r="H255" s="158">
        <f t="shared" si="45"/>
        <v>31</v>
      </c>
      <c r="I255" s="254">
        <f>VLOOKUP(G255,'Прогноз переменной ставки'!$B$5:$E$304,4,1)</f>
        <v>9.9000000000000005E-2</v>
      </c>
      <c r="J255" s="164">
        <f t="shared" si="42"/>
        <v>0</v>
      </c>
      <c r="K255" s="164">
        <f t="shared" si="43"/>
        <v>0</v>
      </c>
      <c r="L255" s="164">
        <f t="shared" si="48"/>
        <v>0</v>
      </c>
      <c r="M255" s="164">
        <f t="shared" si="48"/>
        <v>0</v>
      </c>
      <c r="N255" s="164">
        <f t="shared" si="44"/>
        <v>0</v>
      </c>
      <c r="O255" s="164">
        <f t="shared" si="36"/>
        <v>0</v>
      </c>
      <c r="P255" s="164">
        <f t="shared" si="37"/>
        <v>0</v>
      </c>
      <c r="Q255" s="164">
        <f t="shared" si="38"/>
        <v>0</v>
      </c>
      <c r="R255" s="164">
        <f t="shared" si="47"/>
        <v>0</v>
      </c>
      <c r="S255" s="164">
        <f t="shared" si="39"/>
        <v>0</v>
      </c>
      <c r="T255" s="164">
        <f t="shared" si="40"/>
        <v>0</v>
      </c>
    </row>
    <row r="256" spans="2:20" x14ac:dyDescent="0.2">
      <c r="B256" s="171"/>
      <c r="D256" s="171"/>
      <c r="F256" s="158">
        <v>245</v>
      </c>
      <c r="G256" s="249">
        <f t="shared" si="41"/>
        <v>51104</v>
      </c>
      <c r="H256" s="158">
        <f t="shared" si="45"/>
        <v>30</v>
      </c>
      <c r="I256" s="254">
        <f>VLOOKUP(G256,'Прогноз переменной ставки'!$B$5:$E$304,4,1)</f>
        <v>9.9000000000000005E-2</v>
      </c>
      <c r="J256" s="164">
        <f t="shared" si="42"/>
        <v>0</v>
      </c>
      <c r="K256" s="164">
        <f t="shared" si="43"/>
        <v>0</v>
      </c>
      <c r="L256" s="164">
        <f t="shared" si="48"/>
        <v>0</v>
      </c>
      <c r="M256" s="164">
        <f t="shared" si="48"/>
        <v>0</v>
      </c>
      <c r="N256" s="164">
        <f t="shared" si="44"/>
        <v>0</v>
      </c>
      <c r="O256" s="164">
        <f t="shared" si="36"/>
        <v>0</v>
      </c>
      <c r="P256" s="164">
        <f t="shared" si="37"/>
        <v>0</v>
      </c>
      <c r="Q256" s="164">
        <f t="shared" si="38"/>
        <v>0</v>
      </c>
      <c r="R256" s="164">
        <f t="shared" si="47"/>
        <v>0</v>
      </c>
      <c r="S256" s="164">
        <f t="shared" si="39"/>
        <v>0</v>
      </c>
      <c r="T256" s="164">
        <f t="shared" si="40"/>
        <v>0</v>
      </c>
    </row>
    <row r="257" spans="2:20" x14ac:dyDescent="0.2">
      <c r="B257" s="171"/>
      <c r="D257" s="171"/>
      <c r="F257" s="158">
        <v>246</v>
      </c>
      <c r="G257" s="249">
        <f t="shared" si="41"/>
        <v>51135</v>
      </c>
      <c r="H257" s="158">
        <f t="shared" si="45"/>
        <v>31</v>
      </c>
      <c r="I257" s="254">
        <f>VLOOKUP(G257,'Прогноз переменной ставки'!$B$5:$E$304,4,1)</f>
        <v>9.9000000000000005E-2</v>
      </c>
      <c r="J257" s="164">
        <f t="shared" si="42"/>
        <v>0</v>
      </c>
      <c r="K257" s="164">
        <f t="shared" si="43"/>
        <v>0</v>
      </c>
      <c r="L257" s="164">
        <f t="shared" si="48"/>
        <v>0</v>
      </c>
      <c r="M257" s="164">
        <f t="shared" si="48"/>
        <v>0</v>
      </c>
      <c r="N257" s="164">
        <f t="shared" si="44"/>
        <v>0</v>
      </c>
      <c r="O257" s="164">
        <f t="shared" si="36"/>
        <v>0</v>
      </c>
      <c r="P257" s="164">
        <f t="shared" si="37"/>
        <v>0</v>
      </c>
      <c r="Q257" s="164">
        <f t="shared" si="38"/>
        <v>0</v>
      </c>
      <c r="R257" s="164">
        <f t="shared" si="47"/>
        <v>0</v>
      </c>
      <c r="S257" s="164">
        <f t="shared" si="39"/>
        <v>0</v>
      </c>
      <c r="T257" s="164">
        <f t="shared" si="40"/>
        <v>0</v>
      </c>
    </row>
    <row r="258" spans="2:20" x14ac:dyDescent="0.2">
      <c r="B258" s="171"/>
      <c r="D258" s="171"/>
      <c r="F258" s="158">
        <v>247</v>
      </c>
      <c r="G258" s="249">
        <f t="shared" si="41"/>
        <v>51166</v>
      </c>
      <c r="H258" s="158">
        <f t="shared" si="45"/>
        <v>31</v>
      </c>
      <c r="I258" s="254">
        <f>VLOOKUP(G258,'Прогноз переменной ставки'!$B$5:$E$304,4,1)</f>
        <v>9.9000000000000005E-2</v>
      </c>
      <c r="J258" s="164">
        <f t="shared" si="42"/>
        <v>0</v>
      </c>
      <c r="K258" s="164">
        <f t="shared" si="43"/>
        <v>0</v>
      </c>
      <c r="L258" s="164">
        <f t="shared" si="48"/>
        <v>0</v>
      </c>
      <c r="M258" s="164">
        <f t="shared" si="48"/>
        <v>0</v>
      </c>
      <c r="N258" s="164">
        <f t="shared" si="44"/>
        <v>0</v>
      </c>
      <c r="O258" s="164">
        <f t="shared" si="36"/>
        <v>0</v>
      </c>
      <c r="P258" s="164">
        <f t="shared" si="37"/>
        <v>0</v>
      </c>
      <c r="Q258" s="164">
        <f t="shared" si="38"/>
        <v>0</v>
      </c>
      <c r="R258" s="164">
        <f t="shared" si="47"/>
        <v>0</v>
      </c>
      <c r="S258" s="164">
        <f t="shared" si="39"/>
        <v>0</v>
      </c>
      <c r="T258" s="164">
        <f t="shared" si="40"/>
        <v>0</v>
      </c>
    </row>
    <row r="259" spans="2:20" x14ac:dyDescent="0.2">
      <c r="B259" s="171"/>
      <c r="D259" s="171"/>
      <c r="F259" s="158">
        <v>248</v>
      </c>
      <c r="G259" s="249">
        <f t="shared" si="41"/>
        <v>51195</v>
      </c>
      <c r="H259" s="158">
        <f t="shared" si="45"/>
        <v>29</v>
      </c>
      <c r="I259" s="254">
        <f>VLOOKUP(G259,'Прогноз переменной ставки'!$B$5:$E$304,4,1)</f>
        <v>9.9000000000000005E-2</v>
      </c>
      <c r="J259" s="164">
        <f t="shared" si="42"/>
        <v>0</v>
      </c>
      <c r="K259" s="164">
        <f t="shared" si="43"/>
        <v>0</v>
      </c>
      <c r="L259" s="164">
        <f t="shared" si="48"/>
        <v>0</v>
      </c>
      <c r="M259" s="164">
        <f t="shared" si="48"/>
        <v>0</v>
      </c>
      <c r="N259" s="164">
        <f t="shared" si="44"/>
        <v>0</v>
      </c>
      <c r="O259" s="164">
        <f t="shared" si="36"/>
        <v>0</v>
      </c>
      <c r="P259" s="164">
        <f t="shared" si="37"/>
        <v>0</v>
      </c>
      <c r="Q259" s="164">
        <f t="shared" si="38"/>
        <v>0</v>
      </c>
      <c r="R259" s="164">
        <f t="shared" si="47"/>
        <v>0</v>
      </c>
      <c r="S259" s="164">
        <f t="shared" si="39"/>
        <v>0</v>
      </c>
      <c r="T259" s="164">
        <f t="shared" si="40"/>
        <v>0</v>
      </c>
    </row>
    <row r="260" spans="2:20" x14ac:dyDescent="0.2">
      <c r="B260" s="171"/>
      <c r="D260" s="171"/>
      <c r="F260" s="158">
        <v>249</v>
      </c>
      <c r="G260" s="249">
        <f t="shared" si="41"/>
        <v>51226</v>
      </c>
      <c r="H260" s="158">
        <f t="shared" si="45"/>
        <v>31</v>
      </c>
      <c r="I260" s="254">
        <f>VLOOKUP(G260,'Прогноз переменной ставки'!$B$5:$E$304,4,1)</f>
        <v>9.9000000000000005E-2</v>
      </c>
      <c r="J260" s="164">
        <f t="shared" si="42"/>
        <v>0</v>
      </c>
      <c r="K260" s="164">
        <f t="shared" si="43"/>
        <v>0</v>
      </c>
      <c r="L260" s="164">
        <f t="shared" si="48"/>
        <v>0</v>
      </c>
      <c r="M260" s="164">
        <f t="shared" si="48"/>
        <v>0</v>
      </c>
      <c r="N260" s="164">
        <f t="shared" si="44"/>
        <v>0</v>
      </c>
      <c r="O260" s="164">
        <f t="shared" si="36"/>
        <v>0</v>
      </c>
      <c r="P260" s="164">
        <f t="shared" si="37"/>
        <v>0</v>
      </c>
      <c r="Q260" s="164">
        <f t="shared" si="38"/>
        <v>0</v>
      </c>
      <c r="R260" s="164">
        <f t="shared" si="47"/>
        <v>0</v>
      </c>
      <c r="S260" s="164">
        <f t="shared" si="39"/>
        <v>0</v>
      </c>
      <c r="T260" s="164">
        <f t="shared" si="40"/>
        <v>0</v>
      </c>
    </row>
    <row r="261" spans="2:20" x14ac:dyDescent="0.2">
      <c r="B261" s="171"/>
      <c r="D261" s="171"/>
      <c r="F261" s="158">
        <v>250</v>
      </c>
      <c r="G261" s="249">
        <f t="shared" si="41"/>
        <v>51256</v>
      </c>
      <c r="H261" s="158">
        <f t="shared" si="45"/>
        <v>30</v>
      </c>
      <c r="I261" s="254">
        <f>VLOOKUP(G261,'Прогноз переменной ставки'!$B$5:$E$304,4,1)</f>
        <v>9.9000000000000005E-2</v>
      </c>
      <c r="J261" s="164">
        <f t="shared" si="42"/>
        <v>0</v>
      </c>
      <c r="K261" s="164">
        <f t="shared" si="43"/>
        <v>0</v>
      </c>
      <c r="L261" s="164">
        <f t="shared" si="48"/>
        <v>0</v>
      </c>
      <c r="M261" s="164">
        <f t="shared" si="48"/>
        <v>0</v>
      </c>
      <c r="N261" s="164">
        <f t="shared" si="44"/>
        <v>0</v>
      </c>
      <c r="O261" s="164">
        <f t="shared" si="36"/>
        <v>0</v>
      </c>
      <c r="P261" s="164">
        <f t="shared" si="37"/>
        <v>0</v>
      </c>
      <c r="Q261" s="164">
        <f t="shared" si="38"/>
        <v>0</v>
      </c>
      <c r="R261" s="164">
        <f t="shared" si="47"/>
        <v>0</v>
      </c>
      <c r="S261" s="164">
        <f t="shared" si="39"/>
        <v>0</v>
      </c>
      <c r="T261" s="164">
        <f t="shared" si="40"/>
        <v>0</v>
      </c>
    </row>
    <row r="262" spans="2:20" x14ac:dyDescent="0.2">
      <c r="B262" s="171"/>
      <c r="D262" s="171"/>
      <c r="F262" s="158">
        <v>251</v>
      </c>
      <c r="G262" s="249">
        <f t="shared" si="41"/>
        <v>51287</v>
      </c>
      <c r="H262" s="158">
        <f t="shared" si="45"/>
        <v>31</v>
      </c>
      <c r="I262" s="254">
        <f>VLOOKUP(G262,'Прогноз переменной ставки'!$B$5:$E$304,4,1)</f>
        <v>9.9000000000000005E-2</v>
      </c>
      <c r="J262" s="164">
        <f t="shared" si="42"/>
        <v>0</v>
      </c>
      <c r="K262" s="164">
        <f t="shared" si="43"/>
        <v>0</v>
      </c>
      <c r="L262" s="164">
        <f t="shared" si="48"/>
        <v>0</v>
      </c>
      <c r="M262" s="164">
        <f t="shared" si="48"/>
        <v>0</v>
      </c>
      <c r="N262" s="164">
        <f t="shared" si="44"/>
        <v>0</v>
      </c>
      <c r="O262" s="164">
        <f t="shared" si="36"/>
        <v>0</v>
      </c>
      <c r="P262" s="164">
        <f t="shared" si="37"/>
        <v>0</v>
      </c>
      <c r="Q262" s="164">
        <f t="shared" si="38"/>
        <v>0</v>
      </c>
      <c r="R262" s="164">
        <f t="shared" si="47"/>
        <v>0</v>
      </c>
      <c r="S262" s="164">
        <f t="shared" si="39"/>
        <v>0</v>
      </c>
      <c r="T262" s="164">
        <f t="shared" si="40"/>
        <v>0</v>
      </c>
    </row>
    <row r="263" spans="2:20" x14ac:dyDescent="0.2">
      <c r="B263" s="171"/>
      <c r="D263" s="171"/>
      <c r="F263" s="158">
        <v>252</v>
      </c>
      <c r="G263" s="249">
        <f t="shared" si="41"/>
        <v>51317</v>
      </c>
      <c r="H263" s="158">
        <f t="shared" si="45"/>
        <v>30</v>
      </c>
      <c r="I263" s="254">
        <f>VLOOKUP(G263,'Прогноз переменной ставки'!$B$5:$E$304,4,1)</f>
        <v>9.9000000000000005E-2</v>
      </c>
      <c r="J263" s="164">
        <f t="shared" si="42"/>
        <v>0</v>
      </c>
      <c r="K263" s="164">
        <f t="shared" si="43"/>
        <v>0</v>
      </c>
      <c r="L263" s="164">
        <f t="shared" si="48"/>
        <v>0</v>
      </c>
      <c r="M263" s="164">
        <f t="shared" si="48"/>
        <v>0</v>
      </c>
      <c r="N263" s="164">
        <f t="shared" si="44"/>
        <v>0</v>
      </c>
      <c r="O263" s="164">
        <f t="shared" si="36"/>
        <v>0</v>
      </c>
      <c r="P263" s="164">
        <f t="shared" si="37"/>
        <v>0</v>
      </c>
      <c r="Q263" s="164">
        <f t="shared" si="38"/>
        <v>0</v>
      </c>
      <c r="R263" s="164">
        <f t="shared" si="47"/>
        <v>0</v>
      </c>
      <c r="S263" s="164">
        <f t="shared" si="39"/>
        <v>0</v>
      </c>
      <c r="T263" s="164">
        <f t="shared" si="40"/>
        <v>0</v>
      </c>
    </row>
    <row r="264" spans="2:20" x14ac:dyDescent="0.2">
      <c r="F264" s="158">
        <v>253</v>
      </c>
      <c r="G264" s="249">
        <f t="shared" si="41"/>
        <v>51348</v>
      </c>
      <c r="H264" s="158">
        <f t="shared" si="45"/>
        <v>31</v>
      </c>
      <c r="I264" s="254">
        <f>VLOOKUP(G264,'Прогноз переменной ставки'!$B$5:$E$304,4,1)</f>
        <v>9.9000000000000005E-2</v>
      </c>
      <c r="J264" s="164">
        <f t="shared" si="42"/>
        <v>0</v>
      </c>
      <c r="K264" s="164">
        <f t="shared" si="43"/>
        <v>0</v>
      </c>
      <c r="L264" s="164">
        <f t="shared" si="48"/>
        <v>0</v>
      </c>
      <c r="M264" s="164">
        <f t="shared" si="48"/>
        <v>0</v>
      </c>
      <c r="N264" s="164">
        <f t="shared" si="44"/>
        <v>0</v>
      </c>
      <c r="O264" s="164">
        <f t="shared" si="36"/>
        <v>0</v>
      </c>
      <c r="P264" s="164">
        <f t="shared" si="37"/>
        <v>0</v>
      </c>
      <c r="Q264" s="164">
        <f t="shared" si="38"/>
        <v>0</v>
      </c>
      <c r="R264" s="164">
        <f t="shared" si="47"/>
        <v>0</v>
      </c>
      <c r="S264" s="164">
        <f t="shared" si="39"/>
        <v>0</v>
      </c>
      <c r="T264" s="164">
        <f t="shared" si="40"/>
        <v>0</v>
      </c>
    </row>
    <row r="265" spans="2:20" x14ac:dyDescent="0.2">
      <c r="F265" s="158">
        <v>254</v>
      </c>
      <c r="G265" s="249">
        <f t="shared" si="41"/>
        <v>51379</v>
      </c>
      <c r="H265" s="158">
        <f t="shared" si="45"/>
        <v>31</v>
      </c>
      <c r="I265" s="254">
        <f>VLOOKUP(G265,'Прогноз переменной ставки'!$B$5:$E$304,4,1)</f>
        <v>9.9000000000000005E-2</v>
      </c>
      <c r="J265" s="164">
        <f t="shared" si="42"/>
        <v>0</v>
      </c>
      <c r="K265" s="164">
        <f t="shared" si="43"/>
        <v>0</v>
      </c>
      <c r="L265" s="164">
        <f t="shared" si="48"/>
        <v>0</v>
      </c>
      <c r="M265" s="164">
        <f t="shared" si="48"/>
        <v>0</v>
      </c>
      <c r="N265" s="164">
        <f t="shared" si="44"/>
        <v>0</v>
      </c>
      <c r="O265" s="164">
        <f t="shared" si="36"/>
        <v>0</v>
      </c>
      <c r="P265" s="164">
        <f t="shared" si="37"/>
        <v>0</v>
      </c>
      <c r="Q265" s="164">
        <f t="shared" si="38"/>
        <v>0</v>
      </c>
      <c r="R265" s="164">
        <f t="shared" si="47"/>
        <v>0</v>
      </c>
      <c r="S265" s="164">
        <f t="shared" si="39"/>
        <v>0</v>
      </c>
      <c r="T265" s="164">
        <f t="shared" si="40"/>
        <v>0</v>
      </c>
    </row>
    <row r="266" spans="2:20" x14ac:dyDescent="0.2">
      <c r="F266" s="158">
        <v>255</v>
      </c>
      <c r="G266" s="249">
        <f t="shared" si="41"/>
        <v>51409</v>
      </c>
      <c r="H266" s="158">
        <f t="shared" si="45"/>
        <v>30</v>
      </c>
      <c r="I266" s="254">
        <f>VLOOKUP(G266,'Прогноз переменной ставки'!$B$5:$E$304,4,1)</f>
        <v>9.9000000000000005E-2</v>
      </c>
      <c r="J266" s="164">
        <f t="shared" si="42"/>
        <v>0</v>
      </c>
      <c r="K266" s="164">
        <f t="shared" si="43"/>
        <v>0</v>
      </c>
      <c r="L266" s="164">
        <f t="shared" si="48"/>
        <v>0</v>
      </c>
      <c r="M266" s="164">
        <f t="shared" si="48"/>
        <v>0</v>
      </c>
      <c r="N266" s="164">
        <f t="shared" si="44"/>
        <v>0</v>
      </c>
      <c r="O266" s="164">
        <f t="shared" si="36"/>
        <v>0</v>
      </c>
      <c r="P266" s="164">
        <f t="shared" si="37"/>
        <v>0</v>
      </c>
      <c r="Q266" s="164">
        <f t="shared" si="38"/>
        <v>0</v>
      </c>
      <c r="R266" s="164">
        <f t="shared" si="47"/>
        <v>0</v>
      </c>
      <c r="S266" s="164">
        <f t="shared" si="39"/>
        <v>0</v>
      </c>
      <c r="T266" s="164">
        <f t="shared" si="40"/>
        <v>0</v>
      </c>
    </row>
    <row r="267" spans="2:20" x14ac:dyDescent="0.2">
      <c r="F267" s="158">
        <v>256</v>
      </c>
      <c r="G267" s="249">
        <f t="shared" si="41"/>
        <v>51440</v>
      </c>
      <c r="H267" s="158">
        <f t="shared" si="45"/>
        <v>31</v>
      </c>
      <c r="I267" s="254">
        <f>VLOOKUP(G267,'Прогноз переменной ставки'!$B$5:$E$304,4,1)</f>
        <v>9.9000000000000005E-2</v>
      </c>
      <c r="J267" s="164">
        <f t="shared" si="42"/>
        <v>0</v>
      </c>
      <c r="K267" s="164">
        <f t="shared" si="43"/>
        <v>0</v>
      </c>
      <c r="L267" s="164">
        <f t="shared" si="48"/>
        <v>0</v>
      </c>
      <c r="M267" s="164">
        <f t="shared" si="48"/>
        <v>0</v>
      </c>
      <c r="N267" s="164">
        <f t="shared" si="44"/>
        <v>0</v>
      </c>
      <c r="O267" s="164">
        <f t="shared" si="36"/>
        <v>0</v>
      </c>
      <c r="P267" s="164">
        <f t="shared" si="37"/>
        <v>0</v>
      </c>
      <c r="Q267" s="164">
        <f t="shared" si="38"/>
        <v>0</v>
      </c>
      <c r="R267" s="164">
        <f t="shared" si="47"/>
        <v>0</v>
      </c>
      <c r="S267" s="164">
        <f t="shared" si="39"/>
        <v>0</v>
      </c>
      <c r="T267" s="164">
        <f t="shared" si="40"/>
        <v>0</v>
      </c>
    </row>
    <row r="268" spans="2:20" x14ac:dyDescent="0.2">
      <c r="F268" s="158">
        <v>257</v>
      </c>
      <c r="G268" s="249">
        <f t="shared" si="41"/>
        <v>51470</v>
      </c>
      <c r="H268" s="158">
        <f t="shared" si="45"/>
        <v>30</v>
      </c>
      <c r="I268" s="254">
        <f>VLOOKUP(G268,'Прогноз переменной ставки'!$B$5:$E$304,4,1)</f>
        <v>9.9000000000000005E-2</v>
      </c>
      <c r="J268" s="164">
        <f t="shared" si="42"/>
        <v>0</v>
      </c>
      <c r="K268" s="164">
        <f t="shared" si="43"/>
        <v>0</v>
      </c>
      <c r="L268" s="164">
        <f t="shared" si="48"/>
        <v>0</v>
      </c>
      <c r="M268" s="164">
        <f t="shared" si="48"/>
        <v>0</v>
      </c>
      <c r="N268" s="164">
        <f t="shared" si="44"/>
        <v>0</v>
      </c>
      <c r="O268" s="164">
        <f t="shared" ref="O268:O311" si="49">MIN(J268-Q268-P268,L268)</f>
        <v>0</v>
      </c>
      <c r="P268" s="164">
        <f t="shared" ref="P268:P311" si="50">MIN(J268-Q268,N268)</f>
        <v>0</v>
      </c>
      <c r="Q268" s="164">
        <f t="shared" ref="Q268:Q311" si="51">MIN(J268,M268)</f>
        <v>0</v>
      </c>
      <c r="R268" s="164">
        <f t="shared" si="47"/>
        <v>0</v>
      </c>
      <c r="S268" s="164">
        <f t="shared" ref="S268:S311" si="52">L268-O268</f>
        <v>0</v>
      </c>
      <c r="T268" s="164">
        <f t="shared" ref="T268:T311" si="53">M268+R268-Q268</f>
        <v>0</v>
      </c>
    </row>
    <row r="269" spans="2:20" x14ac:dyDescent="0.2">
      <c r="F269" s="158">
        <v>258</v>
      </c>
      <c r="G269" s="249">
        <f t="shared" ref="G269:G311" si="54">EOMONTH($D$9,F269-1)</f>
        <v>51501</v>
      </c>
      <c r="H269" s="158">
        <f t="shared" si="45"/>
        <v>31</v>
      </c>
      <c r="I269" s="254">
        <f>VLOOKUP(G269,'Прогноз переменной ставки'!$B$5:$E$304,4,1)</f>
        <v>9.9000000000000005E-2</v>
      </c>
      <c r="J269" s="164">
        <f t="shared" ref="J269:J311" si="55">IF(F269=$D$4,K269+N269,MIN($D$5,K269+N269))</f>
        <v>0</v>
      </c>
      <c r="K269" s="164">
        <f t="shared" ref="K269:K311" si="56">L269+M269</f>
        <v>0</v>
      </c>
      <c r="L269" s="164">
        <f t="shared" si="48"/>
        <v>0</v>
      </c>
      <c r="M269" s="164">
        <f t="shared" si="48"/>
        <v>0</v>
      </c>
      <c r="N269" s="164">
        <f t="shared" ref="N269:N311" si="57">L269*I269/365.25*H269</f>
        <v>0</v>
      </c>
      <c r="O269" s="164">
        <f t="shared" si="49"/>
        <v>0</v>
      </c>
      <c r="P269" s="164">
        <f t="shared" si="50"/>
        <v>0</v>
      </c>
      <c r="Q269" s="164">
        <f t="shared" si="51"/>
        <v>0</v>
      </c>
      <c r="R269" s="164">
        <f t="shared" si="47"/>
        <v>0</v>
      </c>
      <c r="S269" s="164">
        <f t="shared" si="52"/>
        <v>0</v>
      </c>
      <c r="T269" s="164">
        <f t="shared" si="53"/>
        <v>0</v>
      </c>
    </row>
    <row r="270" spans="2:20" x14ac:dyDescent="0.2">
      <c r="F270" s="158">
        <v>259</v>
      </c>
      <c r="G270" s="249">
        <f t="shared" si="54"/>
        <v>51532</v>
      </c>
      <c r="H270" s="158">
        <f t="shared" ref="H270:H311" si="58">G270-G269</f>
        <v>31</v>
      </c>
      <c r="I270" s="254">
        <f>VLOOKUP(G270,'Прогноз переменной ставки'!$B$5:$E$304,4,1)</f>
        <v>9.9000000000000005E-2</v>
      </c>
      <c r="J270" s="164">
        <f t="shared" si="55"/>
        <v>0</v>
      </c>
      <c r="K270" s="164">
        <f t="shared" si="56"/>
        <v>0</v>
      </c>
      <c r="L270" s="164">
        <f t="shared" si="48"/>
        <v>0</v>
      </c>
      <c r="M270" s="164">
        <f t="shared" si="48"/>
        <v>0</v>
      </c>
      <c r="N270" s="164">
        <f t="shared" si="57"/>
        <v>0</v>
      </c>
      <c r="O270" s="164">
        <f t="shared" si="49"/>
        <v>0</v>
      </c>
      <c r="P270" s="164">
        <f t="shared" si="50"/>
        <v>0</v>
      </c>
      <c r="Q270" s="164">
        <f t="shared" si="51"/>
        <v>0</v>
      </c>
      <c r="R270" s="164">
        <f t="shared" ref="R270:R311" si="59">MAX(N270-P270,0)</f>
        <v>0</v>
      </c>
      <c r="S270" s="164">
        <f t="shared" si="52"/>
        <v>0</v>
      </c>
      <c r="T270" s="164">
        <f t="shared" si="53"/>
        <v>0</v>
      </c>
    </row>
    <row r="271" spans="2:20" x14ac:dyDescent="0.2">
      <c r="F271" s="158">
        <v>260</v>
      </c>
      <c r="G271" s="249">
        <f t="shared" si="54"/>
        <v>51560</v>
      </c>
      <c r="H271" s="158">
        <f t="shared" si="58"/>
        <v>28</v>
      </c>
      <c r="I271" s="254">
        <f>VLOOKUP(G271,'Прогноз переменной ставки'!$B$5:$E$304,4,1)</f>
        <v>9.9000000000000005E-2</v>
      </c>
      <c r="J271" s="164">
        <f t="shared" si="55"/>
        <v>0</v>
      </c>
      <c r="K271" s="164">
        <f t="shared" si="56"/>
        <v>0</v>
      </c>
      <c r="L271" s="164">
        <f t="shared" si="48"/>
        <v>0</v>
      </c>
      <c r="M271" s="164">
        <f t="shared" si="48"/>
        <v>0</v>
      </c>
      <c r="N271" s="164">
        <f t="shared" si="57"/>
        <v>0</v>
      </c>
      <c r="O271" s="164">
        <f t="shared" si="49"/>
        <v>0</v>
      </c>
      <c r="P271" s="164">
        <f t="shared" si="50"/>
        <v>0</v>
      </c>
      <c r="Q271" s="164">
        <f t="shared" si="51"/>
        <v>0</v>
      </c>
      <c r="R271" s="164">
        <f t="shared" si="59"/>
        <v>0</v>
      </c>
      <c r="S271" s="164">
        <f t="shared" si="52"/>
        <v>0</v>
      </c>
      <c r="T271" s="164">
        <f t="shared" si="53"/>
        <v>0</v>
      </c>
    </row>
    <row r="272" spans="2:20" x14ac:dyDescent="0.2">
      <c r="F272" s="158">
        <v>261</v>
      </c>
      <c r="G272" s="249">
        <f t="shared" si="54"/>
        <v>51591</v>
      </c>
      <c r="H272" s="158">
        <f t="shared" si="58"/>
        <v>31</v>
      </c>
      <c r="I272" s="254">
        <f>VLOOKUP(G272,'Прогноз переменной ставки'!$B$5:$E$304,4,1)</f>
        <v>9.9000000000000005E-2</v>
      </c>
      <c r="J272" s="164">
        <f t="shared" si="55"/>
        <v>0</v>
      </c>
      <c r="K272" s="164">
        <f t="shared" si="56"/>
        <v>0</v>
      </c>
      <c r="L272" s="164">
        <f t="shared" si="48"/>
        <v>0</v>
      </c>
      <c r="M272" s="164">
        <f t="shared" si="48"/>
        <v>0</v>
      </c>
      <c r="N272" s="164">
        <f t="shared" si="57"/>
        <v>0</v>
      </c>
      <c r="O272" s="164">
        <f t="shared" si="49"/>
        <v>0</v>
      </c>
      <c r="P272" s="164">
        <f t="shared" si="50"/>
        <v>0</v>
      </c>
      <c r="Q272" s="164">
        <f t="shared" si="51"/>
        <v>0</v>
      </c>
      <c r="R272" s="164">
        <f t="shared" si="59"/>
        <v>0</v>
      </c>
      <c r="S272" s="164">
        <f t="shared" si="52"/>
        <v>0</v>
      </c>
      <c r="T272" s="164">
        <f t="shared" si="53"/>
        <v>0</v>
      </c>
    </row>
    <row r="273" spans="6:20" x14ac:dyDescent="0.2">
      <c r="F273" s="158">
        <v>262</v>
      </c>
      <c r="G273" s="249">
        <f t="shared" si="54"/>
        <v>51621</v>
      </c>
      <c r="H273" s="158">
        <f t="shared" si="58"/>
        <v>30</v>
      </c>
      <c r="I273" s="254">
        <f>VLOOKUP(G273,'Прогноз переменной ставки'!$B$5:$E$304,4,1)</f>
        <v>9.9000000000000005E-2</v>
      </c>
      <c r="J273" s="164">
        <f t="shared" si="55"/>
        <v>0</v>
      </c>
      <c r="K273" s="164">
        <f t="shared" si="56"/>
        <v>0</v>
      </c>
      <c r="L273" s="164">
        <f t="shared" si="48"/>
        <v>0</v>
      </c>
      <c r="M273" s="164">
        <f t="shared" si="48"/>
        <v>0</v>
      </c>
      <c r="N273" s="164">
        <f t="shared" si="57"/>
        <v>0</v>
      </c>
      <c r="O273" s="164">
        <f t="shared" si="49"/>
        <v>0</v>
      </c>
      <c r="P273" s="164">
        <f t="shared" si="50"/>
        <v>0</v>
      </c>
      <c r="Q273" s="164">
        <f t="shared" si="51"/>
        <v>0</v>
      </c>
      <c r="R273" s="164">
        <f t="shared" si="59"/>
        <v>0</v>
      </c>
      <c r="S273" s="164">
        <f t="shared" si="52"/>
        <v>0</v>
      </c>
      <c r="T273" s="164">
        <f t="shared" si="53"/>
        <v>0</v>
      </c>
    </row>
    <row r="274" spans="6:20" x14ac:dyDescent="0.2">
      <c r="F274" s="158">
        <v>263</v>
      </c>
      <c r="G274" s="249">
        <f t="shared" si="54"/>
        <v>51652</v>
      </c>
      <c r="H274" s="158">
        <f t="shared" si="58"/>
        <v>31</v>
      </c>
      <c r="I274" s="254">
        <f>VLOOKUP(G274,'Прогноз переменной ставки'!$B$5:$E$304,4,1)</f>
        <v>9.9000000000000005E-2</v>
      </c>
      <c r="J274" s="164">
        <f t="shared" si="55"/>
        <v>0</v>
      </c>
      <c r="K274" s="164">
        <f t="shared" si="56"/>
        <v>0</v>
      </c>
      <c r="L274" s="164">
        <f t="shared" si="48"/>
        <v>0</v>
      </c>
      <c r="M274" s="164">
        <f t="shared" si="48"/>
        <v>0</v>
      </c>
      <c r="N274" s="164">
        <f t="shared" si="57"/>
        <v>0</v>
      </c>
      <c r="O274" s="164">
        <f t="shared" si="49"/>
        <v>0</v>
      </c>
      <c r="P274" s="164">
        <f t="shared" si="50"/>
        <v>0</v>
      </c>
      <c r="Q274" s="164">
        <f t="shared" si="51"/>
        <v>0</v>
      </c>
      <c r="R274" s="164">
        <f t="shared" si="59"/>
        <v>0</v>
      </c>
      <c r="S274" s="164">
        <f t="shared" si="52"/>
        <v>0</v>
      </c>
      <c r="T274" s="164">
        <f t="shared" si="53"/>
        <v>0</v>
      </c>
    </row>
    <row r="275" spans="6:20" x14ac:dyDescent="0.2">
      <c r="F275" s="158">
        <v>264</v>
      </c>
      <c r="G275" s="249">
        <f t="shared" si="54"/>
        <v>51682</v>
      </c>
      <c r="H275" s="158">
        <f t="shared" si="58"/>
        <v>30</v>
      </c>
      <c r="I275" s="254">
        <f>VLOOKUP(G275,'Прогноз переменной ставки'!$B$5:$E$304,4,1)</f>
        <v>9.9000000000000005E-2</v>
      </c>
      <c r="J275" s="164">
        <f t="shared" si="55"/>
        <v>0</v>
      </c>
      <c r="K275" s="164">
        <f t="shared" si="56"/>
        <v>0</v>
      </c>
      <c r="L275" s="164">
        <f t="shared" si="48"/>
        <v>0</v>
      </c>
      <c r="M275" s="164">
        <f t="shared" si="48"/>
        <v>0</v>
      </c>
      <c r="N275" s="164">
        <f t="shared" si="57"/>
        <v>0</v>
      </c>
      <c r="O275" s="164">
        <f t="shared" si="49"/>
        <v>0</v>
      </c>
      <c r="P275" s="164">
        <f t="shared" si="50"/>
        <v>0</v>
      </c>
      <c r="Q275" s="164">
        <f t="shared" si="51"/>
        <v>0</v>
      </c>
      <c r="R275" s="164">
        <f t="shared" si="59"/>
        <v>0</v>
      </c>
      <c r="S275" s="164">
        <f t="shared" si="52"/>
        <v>0</v>
      </c>
      <c r="T275" s="164">
        <f t="shared" si="53"/>
        <v>0</v>
      </c>
    </row>
    <row r="276" spans="6:20" x14ac:dyDescent="0.2">
      <c r="F276" s="158">
        <v>265</v>
      </c>
      <c r="G276" s="249">
        <f t="shared" si="54"/>
        <v>51713</v>
      </c>
      <c r="H276" s="158">
        <f t="shared" si="58"/>
        <v>31</v>
      </c>
      <c r="I276" s="254">
        <f>VLOOKUP(G276,'Прогноз переменной ставки'!$B$5:$E$304,4,1)</f>
        <v>9.9000000000000005E-2</v>
      </c>
      <c r="J276" s="164">
        <f t="shared" si="55"/>
        <v>0</v>
      </c>
      <c r="K276" s="164">
        <f t="shared" si="56"/>
        <v>0</v>
      </c>
      <c r="L276" s="164">
        <f t="shared" si="48"/>
        <v>0</v>
      </c>
      <c r="M276" s="164">
        <f t="shared" si="48"/>
        <v>0</v>
      </c>
      <c r="N276" s="164">
        <f t="shared" si="57"/>
        <v>0</v>
      </c>
      <c r="O276" s="164">
        <f t="shared" si="49"/>
        <v>0</v>
      </c>
      <c r="P276" s="164">
        <f t="shared" si="50"/>
        <v>0</v>
      </c>
      <c r="Q276" s="164">
        <f t="shared" si="51"/>
        <v>0</v>
      </c>
      <c r="R276" s="164">
        <f t="shared" si="59"/>
        <v>0</v>
      </c>
      <c r="S276" s="164">
        <f t="shared" si="52"/>
        <v>0</v>
      </c>
      <c r="T276" s="164">
        <f t="shared" si="53"/>
        <v>0</v>
      </c>
    </row>
    <row r="277" spans="6:20" x14ac:dyDescent="0.2">
      <c r="F277" s="158">
        <v>266</v>
      </c>
      <c r="G277" s="249">
        <f t="shared" si="54"/>
        <v>51744</v>
      </c>
      <c r="H277" s="158">
        <f t="shared" si="58"/>
        <v>31</v>
      </c>
      <c r="I277" s="254">
        <f>VLOOKUP(G277,'Прогноз переменной ставки'!$B$5:$E$304,4,1)</f>
        <v>9.9000000000000005E-2</v>
      </c>
      <c r="J277" s="164">
        <f t="shared" si="55"/>
        <v>0</v>
      </c>
      <c r="K277" s="164">
        <f t="shared" si="56"/>
        <v>0</v>
      </c>
      <c r="L277" s="164">
        <f t="shared" si="48"/>
        <v>0</v>
      </c>
      <c r="M277" s="164">
        <f t="shared" si="48"/>
        <v>0</v>
      </c>
      <c r="N277" s="164">
        <f t="shared" si="57"/>
        <v>0</v>
      </c>
      <c r="O277" s="164">
        <f t="shared" si="49"/>
        <v>0</v>
      </c>
      <c r="P277" s="164">
        <f t="shared" si="50"/>
        <v>0</v>
      </c>
      <c r="Q277" s="164">
        <f t="shared" si="51"/>
        <v>0</v>
      </c>
      <c r="R277" s="164">
        <f t="shared" si="59"/>
        <v>0</v>
      </c>
      <c r="S277" s="164">
        <f t="shared" si="52"/>
        <v>0</v>
      </c>
      <c r="T277" s="164">
        <f t="shared" si="53"/>
        <v>0</v>
      </c>
    </row>
    <row r="278" spans="6:20" x14ac:dyDescent="0.2">
      <c r="F278" s="158">
        <v>267</v>
      </c>
      <c r="G278" s="249">
        <f t="shared" si="54"/>
        <v>51774</v>
      </c>
      <c r="H278" s="158">
        <f t="shared" si="58"/>
        <v>30</v>
      </c>
      <c r="I278" s="254">
        <f>VLOOKUP(G278,'Прогноз переменной ставки'!$B$5:$E$304,4,1)</f>
        <v>9.9000000000000005E-2</v>
      </c>
      <c r="J278" s="164">
        <f t="shared" si="55"/>
        <v>0</v>
      </c>
      <c r="K278" s="164">
        <f t="shared" si="56"/>
        <v>0</v>
      </c>
      <c r="L278" s="164">
        <f t="shared" ref="L278:M311" si="60">S277</f>
        <v>0</v>
      </c>
      <c r="M278" s="164">
        <f t="shared" si="60"/>
        <v>0</v>
      </c>
      <c r="N278" s="164">
        <f t="shared" si="57"/>
        <v>0</v>
      </c>
      <c r="O278" s="164">
        <f t="shared" si="49"/>
        <v>0</v>
      </c>
      <c r="P278" s="164">
        <f t="shared" si="50"/>
        <v>0</v>
      </c>
      <c r="Q278" s="164">
        <f t="shared" si="51"/>
        <v>0</v>
      </c>
      <c r="R278" s="164">
        <f t="shared" si="59"/>
        <v>0</v>
      </c>
      <c r="S278" s="164">
        <f t="shared" si="52"/>
        <v>0</v>
      </c>
      <c r="T278" s="164">
        <f t="shared" si="53"/>
        <v>0</v>
      </c>
    </row>
    <row r="279" spans="6:20" x14ac:dyDescent="0.2">
      <c r="F279" s="158">
        <v>268</v>
      </c>
      <c r="G279" s="249">
        <f t="shared" si="54"/>
        <v>51805</v>
      </c>
      <c r="H279" s="158">
        <f t="shared" si="58"/>
        <v>31</v>
      </c>
      <c r="I279" s="254">
        <f>VLOOKUP(G279,'Прогноз переменной ставки'!$B$5:$E$304,4,1)</f>
        <v>9.9000000000000005E-2</v>
      </c>
      <c r="J279" s="164">
        <f t="shared" si="55"/>
        <v>0</v>
      </c>
      <c r="K279" s="164">
        <f t="shared" si="56"/>
        <v>0</v>
      </c>
      <c r="L279" s="164">
        <f t="shared" si="60"/>
        <v>0</v>
      </c>
      <c r="M279" s="164">
        <f t="shared" si="60"/>
        <v>0</v>
      </c>
      <c r="N279" s="164">
        <f t="shared" si="57"/>
        <v>0</v>
      </c>
      <c r="O279" s="164">
        <f t="shared" si="49"/>
        <v>0</v>
      </c>
      <c r="P279" s="164">
        <f t="shared" si="50"/>
        <v>0</v>
      </c>
      <c r="Q279" s="164">
        <f t="shared" si="51"/>
        <v>0</v>
      </c>
      <c r="R279" s="164">
        <f t="shared" si="59"/>
        <v>0</v>
      </c>
      <c r="S279" s="164">
        <f t="shared" si="52"/>
        <v>0</v>
      </c>
      <c r="T279" s="164">
        <f t="shared" si="53"/>
        <v>0</v>
      </c>
    </row>
    <row r="280" spans="6:20" x14ac:dyDescent="0.2">
      <c r="F280" s="158">
        <v>269</v>
      </c>
      <c r="G280" s="249">
        <f t="shared" si="54"/>
        <v>51835</v>
      </c>
      <c r="H280" s="158">
        <f t="shared" si="58"/>
        <v>30</v>
      </c>
      <c r="I280" s="254">
        <f>VLOOKUP(G280,'Прогноз переменной ставки'!$B$5:$E$304,4,1)</f>
        <v>9.9000000000000005E-2</v>
      </c>
      <c r="J280" s="164">
        <f t="shared" si="55"/>
        <v>0</v>
      </c>
      <c r="K280" s="164">
        <f t="shared" si="56"/>
        <v>0</v>
      </c>
      <c r="L280" s="164">
        <f t="shared" si="60"/>
        <v>0</v>
      </c>
      <c r="M280" s="164">
        <f t="shared" si="60"/>
        <v>0</v>
      </c>
      <c r="N280" s="164">
        <f t="shared" si="57"/>
        <v>0</v>
      </c>
      <c r="O280" s="164">
        <f t="shared" si="49"/>
        <v>0</v>
      </c>
      <c r="P280" s="164">
        <f t="shared" si="50"/>
        <v>0</v>
      </c>
      <c r="Q280" s="164">
        <f t="shared" si="51"/>
        <v>0</v>
      </c>
      <c r="R280" s="164">
        <f t="shared" si="59"/>
        <v>0</v>
      </c>
      <c r="S280" s="164">
        <f t="shared" si="52"/>
        <v>0</v>
      </c>
      <c r="T280" s="164">
        <f t="shared" si="53"/>
        <v>0</v>
      </c>
    </row>
    <row r="281" spans="6:20" x14ac:dyDescent="0.2">
      <c r="F281" s="158">
        <v>270</v>
      </c>
      <c r="G281" s="249">
        <f t="shared" si="54"/>
        <v>51866</v>
      </c>
      <c r="H281" s="158">
        <f t="shared" si="58"/>
        <v>31</v>
      </c>
      <c r="I281" s="254">
        <f>VLOOKUP(G281,'Прогноз переменной ставки'!$B$5:$E$304,4,1)</f>
        <v>9.9000000000000005E-2</v>
      </c>
      <c r="J281" s="164">
        <f t="shared" si="55"/>
        <v>0</v>
      </c>
      <c r="K281" s="164">
        <f t="shared" si="56"/>
        <v>0</v>
      </c>
      <c r="L281" s="164">
        <f t="shared" si="60"/>
        <v>0</v>
      </c>
      <c r="M281" s="164">
        <f t="shared" si="60"/>
        <v>0</v>
      </c>
      <c r="N281" s="164">
        <f t="shared" si="57"/>
        <v>0</v>
      </c>
      <c r="O281" s="164">
        <f t="shared" si="49"/>
        <v>0</v>
      </c>
      <c r="P281" s="164">
        <f t="shared" si="50"/>
        <v>0</v>
      </c>
      <c r="Q281" s="164">
        <f t="shared" si="51"/>
        <v>0</v>
      </c>
      <c r="R281" s="164">
        <f t="shared" si="59"/>
        <v>0</v>
      </c>
      <c r="S281" s="164">
        <f t="shared" si="52"/>
        <v>0</v>
      </c>
      <c r="T281" s="164">
        <f t="shared" si="53"/>
        <v>0</v>
      </c>
    </row>
    <row r="282" spans="6:20" x14ac:dyDescent="0.2">
      <c r="F282" s="158">
        <v>271</v>
      </c>
      <c r="G282" s="249">
        <f t="shared" si="54"/>
        <v>51897</v>
      </c>
      <c r="H282" s="158">
        <f t="shared" si="58"/>
        <v>31</v>
      </c>
      <c r="I282" s="254">
        <f>VLOOKUP(G282,'Прогноз переменной ставки'!$B$5:$E$304,4,1)</f>
        <v>9.9000000000000005E-2</v>
      </c>
      <c r="J282" s="164">
        <f t="shared" si="55"/>
        <v>0</v>
      </c>
      <c r="K282" s="164">
        <f t="shared" si="56"/>
        <v>0</v>
      </c>
      <c r="L282" s="164">
        <f t="shared" si="60"/>
        <v>0</v>
      </c>
      <c r="M282" s="164">
        <f t="shared" si="60"/>
        <v>0</v>
      </c>
      <c r="N282" s="164">
        <f t="shared" si="57"/>
        <v>0</v>
      </c>
      <c r="O282" s="164">
        <f t="shared" si="49"/>
        <v>0</v>
      </c>
      <c r="P282" s="164">
        <f t="shared" si="50"/>
        <v>0</v>
      </c>
      <c r="Q282" s="164">
        <f t="shared" si="51"/>
        <v>0</v>
      </c>
      <c r="R282" s="164">
        <f t="shared" si="59"/>
        <v>0</v>
      </c>
      <c r="S282" s="164">
        <f t="shared" si="52"/>
        <v>0</v>
      </c>
      <c r="T282" s="164">
        <f t="shared" si="53"/>
        <v>0</v>
      </c>
    </row>
    <row r="283" spans="6:20" x14ac:dyDescent="0.2">
      <c r="F283" s="158">
        <v>272</v>
      </c>
      <c r="G283" s="249">
        <f t="shared" si="54"/>
        <v>51925</v>
      </c>
      <c r="H283" s="158">
        <f t="shared" si="58"/>
        <v>28</v>
      </c>
      <c r="I283" s="254">
        <f>VLOOKUP(G283,'Прогноз переменной ставки'!$B$5:$E$304,4,1)</f>
        <v>9.9000000000000005E-2</v>
      </c>
      <c r="J283" s="164">
        <f t="shared" si="55"/>
        <v>0</v>
      </c>
      <c r="K283" s="164">
        <f t="shared" si="56"/>
        <v>0</v>
      </c>
      <c r="L283" s="164">
        <f t="shared" si="60"/>
        <v>0</v>
      </c>
      <c r="M283" s="164">
        <f t="shared" si="60"/>
        <v>0</v>
      </c>
      <c r="N283" s="164">
        <f t="shared" si="57"/>
        <v>0</v>
      </c>
      <c r="O283" s="164">
        <f t="shared" si="49"/>
        <v>0</v>
      </c>
      <c r="P283" s="164">
        <f t="shared" si="50"/>
        <v>0</v>
      </c>
      <c r="Q283" s="164">
        <f t="shared" si="51"/>
        <v>0</v>
      </c>
      <c r="R283" s="164">
        <f t="shared" si="59"/>
        <v>0</v>
      </c>
      <c r="S283" s="164">
        <f t="shared" si="52"/>
        <v>0</v>
      </c>
      <c r="T283" s="164">
        <f t="shared" si="53"/>
        <v>0</v>
      </c>
    </row>
    <row r="284" spans="6:20" x14ac:dyDescent="0.2">
      <c r="F284" s="158">
        <v>273</v>
      </c>
      <c r="G284" s="249">
        <f t="shared" si="54"/>
        <v>51956</v>
      </c>
      <c r="H284" s="158">
        <f t="shared" si="58"/>
        <v>31</v>
      </c>
      <c r="I284" s="254">
        <f>VLOOKUP(G284,'Прогноз переменной ставки'!$B$5:$E$304,4,1)</f>
        <v>9.9000000000000005E-2</v>
      </c>
      <c r="J284" s="164">
        <f t="shared" si="55"/>
        <v>0</v>
      </c>
      <c r="K284" s="164">
        <f t="shared" si="56"/>
        <v>0</v>
      </c>
      <c r="L284" s="164">
        <f t="shared" si="60"/>
        <v>0</v>
      </c>
      <c r="M284" s="164">
        <f t="shared" si="60"/>
        <v>0</v>
      </c>
      <c r="N284" s="164">
        <f t="shared" si="57"/>
        <v>0</v>
      </c>
      <c r="O284" s="164">
        <f t="shared" si="49"/>
        <v>0</v>
      </c>
      <c r="P284" s="164">
        <f t="shared" si="50"/>
        <v>0</v>
      </c>
      <c r="Q284" s="164">
        <f t="shared" si="51"/>
        <v>0</v>
      </c>
      <c r="R284" s="164">
        <f t="shared" si="59"/>
        <v>0</v>
      </c>
      <c r="S284" s="164">
        <f t="shared" si="52"/>
        <v>0</v>
      </c>
      <c r="T284" s="164">
        <f t="shared" si="53"/>
        <v>0</v>
      </c>
    </row>
    <row r="285" spans="6:20" x14ac:dyDescent="0.2">
      <c r="F285" s="158">
        <v>274</v>
      </c>
      <c r="G285" s="249">
        <f t="shared" si="54"/>
        <v>51986</v>
      </c>
      <c r="H285" s="158">
        <f t="shared" si="58"/>
        <v>30</v>
      </c>
      <c r="I285" s="254">
        <f>VLOOKUP(G285,'Прогноз переменной ставки'!$B$5:$E$304,4,1)</f>
        <v>9.9000000000000005E-2</v>
      </c>
      <c r="J285" s="164">
        <f t="shared" si="55"/>
        <v>0</v>
      </c>
      <c r="K285" s="164">
        <f t="shared" si="56"/>
        <v>0</v>
      </c>
      <c r="L285" s="164">
        <f t="shared" si="60"/>
        <v>0</v>
      </c>
      <c r="M285" s="164">
        <f t="shared" si="60"/>
        <v>0</v>
      </c>
      <c r="N285" s="164">
        <f t="shared" si="57"/>
        <v>0</v>
      </c>
      <c r="O285" s="164">
        <f t="shared" si="49"/>
        <v>0</v>
      </c>
      <c r="P285" s="164">
        <f t="shared" si="50"/>
        <v>0</v>
      </c>
      <c r="Q285" s="164">
        <f t="shared" si="51"/>
        <v>0</v>
      </c>
      <c r="R285" s="164">
        <f t="shared" si="59"/>
        <v>0</v>
      </c>
      <c r="S285" s="164">
        <f t="shared" si="52"/>
        <v>0</v>
      </c>
      <c r="T285" s="164">
        <f t="shared" si="53"/>
        <v>0</v>
      </c>
    </row>
    <row r="286" spans="6:20" x14ac:dyDescent="0.2">
      <c r="F286" s="158">
        <v>275</v>
      </c>
      <c r="G286" s="249">
        <f t="shared" si="54"/>
        <v>52017</v>
      </c>
      <c r="H286" s="158">
        <f t="shared" si="58"/>
        <v>31</v>
      </c>
      <c r="I286" s="254">
        <f>VLOOKUP(G286,'Прогноз переменной ставки'!$B$5:$E$304,4,1)</f>
        <v>9.9000000000000005E-2</v>
      </c>
      <c r="J286" s="164">
        <f t="shared" si="55"/>
        <v>0</v>
      </c>
      <c r="K286" s="164">
        <f t="shared" si="56"/>
        <v>0</v>
      </c>
      <c r="L286" s="164">
        <f t="shared" si="60"/>
        <v>0</v>
      </c>
      <c r="M286" s="164">
        <f t="shared" si="60"/>
        <v>0</v>
      </c>
      <c r="N286" s="164">
        <f t="shared" si="57"/>
        <v>0</v>
      </c>
      <c r="O286" s="164">
        <f t="shared" si="49"/>
        <v>0</v>
      </c>
      <c r="P286" s="164">
        <f t="shared" si="50"/>
        <v>0</v>
      </c>
      <c r="Q286" s="164">
        <f t="shared" si="51"/>
        <v>0</v>
      </c>
      <c r="R286" s="164">
        <f t="shared" si="59"/>
        <v>0</v>
      </c>
      <c r="S286" s="164">
        <f t="shared" si="52"/>
        <v>0</v>
      </c>
      <c r="T286" s="164">
        <f t="shared" si="53"/>
        <v>0</v>
      </c>
    </row>
    <row r="287" spans="6:20" x14ac:dyDescent="0.2">
      <c r="F287" s="158">
        <v>276</v>
      </c>
      <c r="G287" s="249">
        <f t="shared" si="54"/>
        <v>52047</v>
      </c>
      <c r="H287" s="158">
        <f t="shared" si="58"/>
        <v>30</v>
      </c>
      <c r="I287" s="254">
        <f>VLOOKUP(G287,'Прогноз переменной ставки'!$B$5:$E$304,4,1)</f>
        <v>9.9000000000000005E-2</v>
      </c>
      <c r="J287" s="164">
        <f t="shared" si="55"/>
        <v>0</v>
      </c>
      <c r="K287" s="164">
        <f t="shared" si="56"/>
        <v>0</v>
      </c>
      <c r="L287" s="164">
        <f t="shared" si="60"/>
        <v>0</v>
      </c>
      <c r="M287" s="164">
        <f t="shared" si="60"/>
        <v>0</v>
      </c>
      <c r="N287" s="164">
        <f t="shared" si="57"/>
        <v>0</v>
      </c>
      <c r="O287" s="164">
        <f t="shared" si="49"/>
        <v>0</v>
      </c>
      <c r="P287" s="164">
        <f t="shared" si="50"/>
        <v>0</v>
      </c>
      <c r="Q287" s="164">
        <f t="shared" si="51"/>
        <v>0</v>
      </c>
      <c r="R287" s="164">
        <f t="shared" si="59"/>
        <v>0</v>
      </c>
      <c r="S287" s="164">
        <f t="shared" si="52"/>
        <v>0</v>
      </c>
      <c r="T287" s="164">
        <f t="shared" si="53"/>
        <v>0</v>
      </c>
    </row>
    <row r="288" spans="6:20" x14ac:dyDescent="0.2">
      <c r="F288" s="158">
        <v>277</v>
      </c>
      <c r="G288" s="249">
        <f t="shared" si="54"/>
        <v>52078</v>
      </c>
      <c r="H288" s="158">
        <f t="shared" si="58"/>
        <v>31</v>
      </c>
      <c r="I288" s="254">
        <f>VLOOKUP(G288,'Прогноз переменной ставки'!$B$5:$E$304,4,1)</f>
        <v>9.9000000000000005E-2</v>
      </c>
      <c r="J288" s="164">
        <f t="shared" si="55"/>
        <v>0</v>
      </c>
      <c r="K288" s="164">
        <f t="shared" si="56"/>
        <v>0</v>
      </c>
      <c r="L288" s="164">
        <f t="shared" si="60"/>
        <v>0</v>
      </c>
      <c r="M288" s="164">
        <f t="shared" si="60"/>
        <v>0</v>
      </c>
      <c r="N288" s="164">
        <f t="shared" si="57"/>
        <v>0</v>
      </c>
      <c r="O288" s="164">
        <f t="shared" si="49"/>
        <v>0</v>
      </c>
      <c r="P288" s="164">
        <f t="shared" si="50"/>
        <v>0</v>
      </c>
      <c r="Q288" s="164">
        <f t="shared" si="51"/>
        <v>0</v>
      </c>
      <c r="R288" s="164">
        <f t="shared" si="59"/>
        <v>0</v>
      </c>
      <c r="S288" s="164">
        <f t="shared" si="52"/>
        <v>0</v>
      </c>
      <c r="T288" s="164">
        <f t="shared" si="53"/>
        <v>0</v>
      </c>
    </row>
    <row r="289" spans="6:20" x14ac:dyDescent="0.2">
      <c r="F289" s="158">
        <v>278</v>
      </c>
      <c r="G289" s="249">
        <f t="shared" si="54"/>
        <v>52109</v>
      </c>
      <c r="H289" s="158">
        <f t="shared" si="58"/>
        <v>31</v>
      </c>
      <c r="I289" s="254">
        <f>VLOOKUP(G289,'Прогноз переменной ставки'!$B$5:$E$304,4,1)</f>
        <v>9.9000000000000005E-2</v>
      </c>
      <c r="J289" s="164">
        <f t="shared" si="55"/>
        <v>0</v>
      </c>
      <c r="K289" s="164">
        <f t="shared" si="56"/>
        <v>0</v>
      </c>
      <c r="L289" s="164">
        <f t="shared" si="60"/>
        <v>0</v>
      </c>
      <c r="M289" s="164">
        <f t="shared" si="60"/>
        <v>0</v>
      </c>
      <c r="N289" s="164">
        <f t="shared" si="57"/>
        <v>0</v>
      </c>
      <c r="O289" s="164">
        <f t="shared" si="49"/>
        <v>0</v>
      </c>
      <c r="P289" s="164">
        <f t="shared" si="50"/>
        <v>0</v>
      </c>
      <c r="Q289" s="164">
        <f t="shared" si="51"/>
        <v>0</v>
      </c>
      <c r="R289" s="164">
        <f t="shared" si="59"/>
        <v>0</v>
      </c>
      <c r="S289" s="164">
        <f t="shared" si="52"/>
        <v>0</v>
      </c>
      <c r="T289" s="164">
        <f t="shared" si="53"/>
        <v>0</v>
      </c>
    </row>
    <row r="290" spans="6:20" x14ac:dyDescent="0.2">
      <c r="F290" s="158">
        <v>279</v>
      </c>
      <c r="G290" s="249">
        <f t="shared" si="54"/>
        <v>52139</v>
      </c>
      <c r="H290" s="158">
        <f t="shared" si="58"/>
        <v>30</v>
      </c>
      <c r="I290" s="254">
        <f>VLOOKUP(G290,'Прогноз переменной ставки'!$B$5:$E$304,4,1)</f>
        <v>9.9000000000000005E-2</v>
      </c>
      <c r="J290" s="164">
        <f t="shared" si="55"/>
        <v>0</v>
      </c>
      <c r="K290" s="164">
        <f t="shared" si="56"/>
        <v>0</v>
      </c>
      <c r="L290" s="164">
        <f t="shared" si="60"/>
        <v>0</v>
      </c>
      <c r="M290" s="164">
        <f t="shared" si="60"/>
        <v>0</v>
      </c>
      <c r="N290" s="164">
        <f t="shared" si="57"/>
        <v>0</v>
      </c>
      <c r="O290" s="164">
        <f t="shared" si="49"/>
        <v>0</v>
      </c>
      <c r="P290" s="164">
        <f t="shared" si="50"/>
        <v>0</v>
      </c>
      <c r="Q290" s="164">
        <f t="shared" si="51"/>
        <v>0</v>
      </c>
      <c r="R290" s="164">
        <f t="shared" si="59"/>
        <v>0</v>
      </c>
      <c r="S290" s="164">
        <f t="shared" si="52"/>
        <v>0</v>
      </c>
      <c r="T290" s="164">
        <f t="shared" si="53"/>
        <v>0</v>
      </c>
    </row>
    <row r="291" spans="6:20" x14ac:dyDescent="0.2">
      <c r="F291" s="158">
        <v>280</v>
      </c>
      <c r="G291" s="249">
        <f t="shared" si="54"/>
        <v>52170</v>
      </c>
      <c r="H291" s="158">
        <f t="shared" si="58"/>
        <v>31</v>
      </c>
      <c r="I291" s="254">
        <f>VLOOKUP(G291,'Прогноз переменной ставки'!$B$5:$E$304,4,1)</f>
        <v>9.9000000000000005E-2</v>
      </c>
      <c r="J291" s="164">
        <f t="shared" si="55"/>
        <v>0</v>
      </c>
      <c r="K291" s="164">
        <f t="shared" si="56"/>
        <v>0</v>
      </c>
      <c r="L291" s="164">
        <f t="shared" si="60"/>
        <v>0</v>
      </c>
      <c r="M291" s="164">
        <f t="shared" si="60"/>
        <v>0</v>
      </c>
      <c r="N291" s="164">
        <f t="shared" si="57"/>
        <v>0</v>
      </c>
      <c r="O291" s="164">
        <f t="shared" si="49"/>
        <v>0</v>
      </c>
      <c r="P291" s="164">
        <f t="shared" si="50"/>
        <v>0</v>
      </c>
      <c r="Q291" s="164">
        <f t="shared" si="51"/>
        <v>0</v>
      </c>
      <c r="R291" s="164">
        <f t="shared" si="59"/>
        <v>0</v>
      </c>
      <c r="S291" s="164">
        <f t="shared" si="52"/>
        <v>0</v>
      </c>
      <c r="T291" s="164">
        <f t="shared" si="53"/>
        <v>0</v>
      </c>
    </row>
    <row r="292" spans="6:20" x14ac:dyDescent="0.2">
      <c r="F292" s="158">
        <v>281</v>
      </c>
      <c r="G292" s="249">
        <f t="shared" si="54"/>
        <v>52200</v>
      </c>
      <c r="H292" s="158">
        <f t="shared" si="58"/>
        <v>30</v>
      </c>
      <c r="I292" s="254">
        <f>VLOOKUP(G292,'Прогноз переменной ставки'!$B$5:$E$304,4,1)</f>
        <v>9.9000000000000005E-2</v>
      </c>
      <c r="J292" s="164">
        <f t="shared" si="55"/>
        <v>0</v>
      </c>
      <c r="K292" s="164">
        <f t="shared" si="56"/>
        <v>0</v>
      </c>
      <c r="L292" s="164">
        <f t="shared" si="60"/>
        <v>0</v>
      </c>
      <c r="M292" s="164">
        <f t="shared" si="60"/>
        <v>0</v>
      </c>
      <c r="N292" s="164">
        <f t="shared" si="57"/>
        <v>0</v>
      </c>
      <c r="O292" s="164">
        <f t="shared" si="49"/>
        <v>0</v>
      </c>
      <c r="P292" s="164">
        <f t="shared" si="50"/>
        <v>0</v>
      </c>
      <c r="Q292" s="164">
        <f t="shared" si="51"/>
        <v>0</v>
      </c>
      <c r="R292" s="164">
        <f t="shared" si="59"/>
        <v>0</v>
      </c>
      <c r="S292" s="164">
        <f t="shared" si="52"/>
        <v>0</v>
      </c>
      <c r="T292" s="164">
        <f t="shared" si="53"/>
        <v>0</v>
      </c>
    </row>
    <row r="293" spans="6:20" x14ac:dyDescent="0.2">
      <c r="F293" s="158">
        <v>282</v>
      </c>
      <c r="G293" s="249">
        <f t="shared" si="54"/>
        <v>52231</v>
      </c>
      <c r="H293" s="158">
        <f t="shared" si="58"/>
        <v>31</v>
      </c>
      <c r="I293" s="254">
        <f>VLOOKUP(G293,'Прогноз переменной ставки'!$B$5:$E$304,4,1)</f>
        <v>9.9000000000000005E-2</v>
      </c>
      <c r="J293" s="164">
        <f t="shared" si="55"/>
        <v>0</v>
      </c>
      <c r="K293" s="164">
        <f t="shared" si="56"/>
        <v>0</v>
      </c>
      <c r="L293" s="164">
        <f t="shared" si="60"/>
        <v>0</v>
      </c>
      <c r="M293" s="164">
        <f t="shared" si="60"/>
        <v>0</v>
      </c>
      <c r="N293" s="164">
        <f t="shared" si="57"/>
        <v>0</v>
      </c>
      <c r="O293" s="164">
        <f t="shared" si="49"/>
        <v>0</v>
      </c>
      <c r="P293" s="164">
        <f t="shared" si="50"/>
        <v>0</v>
      </c>
      <c r="Q293" s="164">
        <f t="shared" si="51"/>
        <v>0</v>
      </c>
      <c r="R293" s="164">
        <f t="shared" si="59"/>
        <v>0</v>
      </c>
      <c r="S293" s="164">
        <f t="shared" si="52"/>
        <v>0</v>
      </c>
      <c r="T293" s="164">
        <f t="shared" si="53"/>
        <v>0</v>
      </c>
    </row>
    <row r="294" spans="6:20" x14ac:dyDescent="0.2">
      <c r="F294" s="158">
        <v>283</v>
      </c>
      <c r="G294" s="249">
        <f t="shared" si="54"/>
        <v>52262</v>
      </c>
      <c r="H294" s="158">
        <f t="shared" si="58"/>
        <v>31</v>
      </c>
      <c r="I294" s="254">
        <f>VLOOKUP(G294,'Прогноз переменной ставки'!$B$5:$E$304,4,1)</f>
        <v>9.9000000000000005E-2</v>
      </c>
      <c r="J294" s="164">
        <f t="shared" si="55"/>
        <v>0</v>
      </c>
      <c r="K294" s="164">
        <f t="shared" si="56"/>
        <v>0</v>
      </c>
      <c r="L294" s="164">
        <f t="shared" si="60"/>
        <v>0</v>
      </c>
      <c r="M294" s="164">
        <f t="shared" si="60"/>
        <v>0</v>
      </c>
      <c r="N294" s="164">
        <f t="shared" si="57"/>
        <v>0</v>
      </c>
      <c r="O294" s="164">
        <f t="shared" si="49"/>
        <v>0</v>
      </c>
      <c r="P294" s="164">
        <f t="shared" si="50"/>
        <v>0</v>
      </c>
      <c r="Q294" s="164">
        <f t="shared" si="51"/>
        <v>0</v>
      </c>
      <c r="R294" s="164">
        <f t="shared" si="59"/>
        <v>0</v>
      </c>
      <c r="S294" s="164">
        <f t="shared" si="52"/>
        <v>0</v>
      </c>
      <c r="T294" s="164">
        <f t="shared" si="53"/>
        <v>0</v>
      </c>
    </row>
    <row r="295" spans="6:20" x14ac:dyDescent="0.2">
      <c r="F295" s="158">
        <v>284</v>
      </c>
      <c r="G295" s="249">
        <f t="shared" si="54"/>
        <v>52290</v>
      </c>
      <c r="H295" s="158">
        <f t="shared" si="58"/>
        <v>28</v>
      </c>
      <c r="I295" s="254">
        <f>VLOOKUP(G295,'Прогноз переменной ставки'!$B$5:$E$304,4,1)</f>
        <v>9.9000000000000005E-2</v>
      </c>
      <c r="J295" s="164">
        <f t="shared" si="55"/>
        <v>0</v>
      </c>
      <c r="K295" s="164">
        <f t="shared" si="56"/>
        <v>0</v>
      </c>
      <c r="L295" s="164">
        <f t="shared" si="60"/>
        <v>0</v>
      </c>
      <c r="M295" s="164">
        <f t="shared" si="60"/>
        <v>0</v>
      </c>
      <c r="N295" s="164">
        <f t="shared" si="57"/>
        <v>0</v>
      </c>
      <c r="O295" s="164">
        <f t="shared" si="49"/>
        <v>0</v>
      </c>
      <c r="P295" s="164">
        <f t="shared" si="50"/>
        <v>0</v>
      </c>
      <c r="Q295" s="164">
        <f t="shared" si="51"/>
        <v>0</v>
      </c>
      <c r="R295" s="164">
        <f t="shared" si="59"/>
        <v>0</v>
      </c>
      <c r="S295" s="164">
        <f t="shared" si="52"/>
        <v>0</v>
      </c>
      <c r="T295" s="164">
        <f t="shared" si="53"/>
        <v>0</v>
      </c>
    </row>
    <row r="296" spans="6:20" x14ac:dyDescent="0.2">
      <c r="F296" s="158">
        <v>285</v>
      </c>
      <c r="G296" s="249">
        <f t="shared" si="54"/>
        <v>52321</v>
      </c>
      <c r="H296" s="158">
        <f t="shared" si="58"/>
        <v>31</v>
      </c>
      <c r="I296" s="254">
        <f>VLOOKUP(G296,'Прогноз переменной ставки'!$B$5:$E$304,4,1)</f>
        <v>9.9000000000000005E-2</v>
      </c>
      <c r="J296" s="164">
        <f t="shared" si="55"/>
        <v>0</v>
      </c>
      <c r="K296" s="164">
        <f t="shared" si="56"/>
        <v>0</v>
      </c>
      <c r="L296" s="164">
        <f t="shared" si="60"/>
        <v>0</v>
      </c>
      <c r="M296" s="164">
        <f t="shared" si="60"/>
        <v>0</v>
      </c>
      <c r="N296" s="164">
        <f t="shared" si="57"/>
        <v>0</v>
      </c>
      <c r="O296" s="164">
        <f t="shared" si="49"/>
        <v>0</v>
      </c>
      <c r="P296" s="164">
        <f t="shared" si="50"/>
        <v>0</v>
      </c>
      <c r="Q296" s="164">
        <f t="shared" si="51"/>
        <v>0</v>
      </c>
      <c r="R296" s="164">
        <f t="shared" si="59"/>
        <v>0</v>
      </c>
      <c r="S296" s="164">
        <f t="shared" si="52"/>
        <v>0</v>
      </c>
      <c r="T296" s="164">
        <f t="shared" si="53"/>
        <v>0</v>
      </c>
    </row>
    <row r="297" spans="6:20" x14ac:dyDescent="0.2">
      <c r="F297" s="158">
        <v>286</v>
      </c>
      <c r="G297" s="249">
        <f t="shared" si="54"/>
        <v>52351</v>
      </c>
      <c r="H297" s="158">
        <f t="shared" si="58"/>
        <v>30</v>
      </c>
      <c r="I297" s="254">
        <f>VLOOKUP(G297,'Прогноз переменной ставки'!$B$5:$E$304,4,1)</f>
        <v>9.9000000000000005E-2</v>
      </c>
      <c r="J297" s="164">
        <f t="shared" si="55"/>
        <v>0</v>
      </c>
      <c r="K297" s="164">
        <f t="shared" si="56"/>
        <v>0</v>
      </c>
      <c r="L297" s="164">
        <f t="shared" si="60"/>
        <v>0</v>
      </c>
      <c r="M297" s="164">
        <f t="shared" si="60"/>
        <v>0</v>
      </c>
      <c r="N297" s="164">
        <f t="shared" si="57"/>
        <v>0</v>
      </c>
      <c r="O297" s="164">
        <f t="shared" si="49"/>
        <v>0</v>
      </c>
      <c r="P297" s="164">
        <f t="shared" si="50"/>
        <v>0</v>
      </c>
      <c r="Q297" s="164">
        <f t="shared" si="51"/>
        <v>0</v>
      </c>
      <c r="R297" s="164">
        <f t="shared" si="59"/>
        <v>0</v>
      </c>
      <c r="S297" s="164">
        <f t="shared" si="52"/>
        <v>0</v>
      </c>
      <c r="T297" s="164">
        <f t="shared" si="53"/>
        <v>0</v>
      </c>
    </row>
    <row r="298" spans="6:20" x14ac:dyDescent="0.2">
      <c r="F298" s="158">
        <v>287</v>
      </c>
      <c r="G298" s="249">
        <f t="shared" si="54"/>
        <v>52382</v>
      </c>
      <c r="H298" s="158">
        <f t="shared" si="58"/>
        <v>31</v>
      </c>
      <c r="I298" s="254">
        <f>VLOOKUP(G298,'Прогноз переменной ставки'!$B$5:$E$304,4,1)</f>
        <v>9.9000000000000005E-2</v>
      </c>
      <c r="J298" s="164">
        <f t="shared" si="55"/>
        <v>0</v>
      </c>
      <c r="K298" s="164">
        <f t="shared" si="56"/>
        <v>0</v>
      </c>
      <c r="L298" s="164">
        <f t="shared" si="60"/>
        <v>0</v>
      </c>
      <c r="M298" s="164">
        <f t="shared" si="60"/>
        <v>0</v>
      </c>
      <c r="N298" s="164">
        <f t="shared" si="57"/>
        <v>0</v>
      </c>
      <c r="O298" s="164">
        <f t="shared" si="49"/>
        <v>0</v>
      </c>
      <c r="P298" s="164">
        <f t="shared" si="50"/>
        <v>0</v>
      </c>
      <c r="Q298" s="164">
        <f t="shared" si="51"/>
        <v>0</v>
      </c>
      <c r="R298" s="164">
        <f t="shared" si="59"/>
        <v>0</v>
      </c>
      <c r="S298" s="164">
        <f t="shared" si="52"/>
        <v>0</v>
      </c>
      <c r="T298" s="164">
        <f t="shared" si="53"/>
        <v>0</v>
      </c>
    </row>
    <row r="299" spans="6:20" x14ac:dyDescent="0.2">
      <c r="F299" s="158">
        <v>288</v>
      </c>
      <c r="G299" s="249">
        <f t="shared" si="54"/>
        <v>52412</v>
      </c>
      <c r="H299" s="158">
        <f t="shared" si="58"/>
        <v>30</v>
      </c>
      <c r="I299" s="254">
        <f>VLOOKUP(G299,'Прогноз переменной ставки'!$B$5:$E$304,4,1)</f>
        <v>9.9000000000000005E-2</v>
      </c>
      <c r="J299" s="164">
        <f t="shared" si="55"/>
        <v>0</v>
      </c>
      <c r="K299" s="164">
        <f t="shared" si="56"/>
        <v>0</v>
      </c>
      <c r="L299" s="164">
        <f t="shared" si="60"/>
        <v>0</v>
      </c>
      <c r="M299" s="164">
        <f t="shared" si="60"/>
        <v>0</v>
      </c>
      <c r="N299" s="164">
        <f t="shared" si="57"/>
        <v>0</v>
      </c>
      <c r="O299" s="164">
        <f t="shared" si="49"/>
        <v>0</v>
      </c>
      <c r="P299" s="164">
        <f t="shared" si="50"/>
        <v>0</v>
      </c>
      <c r="Q299" s="164">
        <f t="shared" si="51"/>
        <v>0</v>
      </c>
      <c r="R299" s="164">
        <f t="shared" si="59"/>
        <v>0</v>
      </c>
      <c r="S299" s="164">
        <f t="shared" si="52"/>
        <v>0</v>
      </c>
      <c r="T299" s="164">
        <f t="shared" si="53"/>
        <v>0</v>
      </c>
    </row>
    <row r="300" spans="6:20" x14ac:dyDescent="0.2">
      <c r="F300" s="158">
        <v>289</v>
      </c>
      <c r="G300" s="249">
        <f t="shared" si="54"/>
        <v>52443</v>
      </c>
      <c r="H300" s="158">
        <f t="shared" si="58"/>
        <v>31</v>
      </c>
      <c r="I300" s="254">
        <f>VLOOKUP(G300,'Прогноз переменной ставки'!$B$5:$E$304,4,1)</f>
        <v>9.9000000000000005E-2</v>
      </c>
      <c r="J300" s="164">
        <f t="shared" si="55"/>
        <v>0</v>
      </c>
      <c r="K300" s="164">
        <f t="shared" si="56"/>
        <v>0</v>
      </c>
      <c r="L300" s="164">
        <f t="shared" si="60"/>
        <v>0</v>
      </c>
      <c r="M300" s="164">
        <f t="shared" si="60"/>
        <v>0</v>
      </c>
      <c r="N300" s="164">
        <f t="shared" si="57"/>
        <v>0</v>
      </c>
      <c r="O300" s="164">
        <f t="shared" si="49"/>
        <v>0</v>
      </c>
      <c r="P300" s="164">
        <f t="shared" si="50"/>
        <v>0</v>
      </c>
      <c r="Q300" s="164">
        <f t="shared" si="51"/>
        <v>0</v>
      </c>
      <c r="R300" s="164">
        <f t="shared" si="59"/>
        <v>0</v>
      </c>
      <c r="S300" s="164">
        <f t="shared" si="52"/>
        <v>0</v>
      </c>
      <c r="T300" s="164">
        <f t="shared" si="53"/>
        <v>0</v>
      </c>
    </row>
    <row r="301" spans="6:20" x14ac:dyDescent="0.2">
      <c r="F301" s="158">
        <v>290</v>
      </c>
      <c r="G301" s="249">
        <f t="shared" si="54"/>
        <v>52474</v>
      </c>
      <c r="H301" s="158">
        <f t="shared" si="58"/>
        <v>31</v>
      </c>
      <c r="I301" s="254">
        <f>VLOOKUP(G301,'Прогноз переменной ставки'!$B$5:$E$304,4,1)</f>
        <v>9.9000000000000005E-2</v>
      </c>
      <c r="J301" s="164">
        <f t="shared" si="55"/>
        <v>0</v>
      </c>
      <c r="K301" s="164">
        <f t="shared" si="56"/>
        <v>0</v>
      </c>
      <c r="L301" s="164">
        <f t="shared" si="60"/>
        <v>0</v>
      </c>
      <c r="M301" s="164">
        <f t="shared" si="60"/>
        <v>0</v>
      </c>
      <c r="N301" s="164">
        <f t="shared" si="57"/>
        <v>0</v>
      </c>
      <c r="O301" s="164">
        <f t="shared" si="49"/>
        <v>0</v>
      </c>
      <c r="P301" s="164">
        <f t="shared" si="50"/>
        <v>0</v>
      </c>
      <c r="Q301" s="164">
        <f t="shared" si="51"/>
        <v>0</v>
      </c>
      <c r="R301" s="164">
        <f t="shared" si="59"/>
        <v>0</v>
      </c>
      <c r="S301" s="164">
        <f t="shared" si="52"/>
        <v>0</v>
      </c>
      <c r="T301" s="164">
        <f t="shared" si="53"/>
        <v>0</v>
      </c>
    </row>
    <row r="302" spans="6:20" x14ac:dyDescent="0.2">
      <c r="F302" s="158">
        <v>291</v>
      </c>
      <c r="G302" s="249">
        <f t="shared" si="54"/>
        <v>52504</v>
      </c>
      <c r="H302" s="158">
        <f t="shared" si="58"/>
        <v>30</v>
      </c>
      <c r="I302" s="254">
        <f>VLOOKUP(G302,'Прогноз переменной ставки'!$B$5:$E$304,4,1)</f>
        <v>9.9000000000000005E-2</v>
      </c>
      <c r="J302" s="164">
        <f t="shared" si="55"/>
        <v>0</v>
      </c>
      <c r="K302" s="164">
        <f t="shared" si="56"/>
        <v>0</v>
      </c>
      <c r="L302" s="164">
        <f t="shared" si="60"/>
        <v>0</v>
      </c>
      <c r="M302" s="164">
        <f t="shared" si="60"/>
        <v>0</v>
      </c>
      <c r="N302" s="164">
        <f t="shared" si="57"/>
        <v>0</v>
      </c>
      <c r="O302" s="164">
        <f t="shared" si="49"/>
        <v>0</v>
      </c>
      <c r="P302" s="164">
        <f t="shared" si="50"/>
        <v>0</v>
      </c>
      <c r="Q302" s="164">
        <f t="shared" si="51"/>
        <v>0</v>
      </c>
      <c r="R302" s="164">
        <f t="shared" si="59"/>
        <v>0</v>
      </c>
      <c r="S302" s="164">
        <f t="shared" si="52"/>
        <v>0</v>
      </c>
      <c r="T302" s="164">
        <f t="shared" si="53"/>
        <v>0</v>
      </c>
    </row>
    <row r="303" spans="6:20" x14ac:dyDescent="0.2">
      <c r="F303" s="158">
        <v>292</v>
      </c>
      <c r="G303" s="249">
        <f t="shared" si="54"/>
        <v>52535</v>
      </c>
      <c r="H303" s="158">
        <f t="shared" si="58"/>
        <v>31</v>
      </c>
      <c r="I303" s="254">
        <f>VLOOKUP(G303,'Прогноз переменной ставки'!$B$5:$E$304,4,1)</f>
        <v>9.9000000000000005E-2</v>
      </c>
      <c r="J303" s="164">
        <f t="shared" si="55"/>
        <v>0</v>
      </c>
      <c r="K303" s="164">
        <f t="shared" si="56"/>
        <v>0</v>
      </c>
      <c r="L303" s="164">
        <f t="shared" si="60"/>
        <v>0</v>
      </c>
      <c r="M303" s="164">
        <f t="shared" si="60"/>
        <v>0</v>
      </c>
      <c r="N303" s="164">
        <f t="shared" si="57"/>
        <v>0</v>
      </c>
      <c r="O303" s="164">
        <f t="shared" si="49"/>
        <v>0</v>
      </c>
      <c r="P303" s="164">
        <f t="shared" si="50"/>
        <v>0</v>
      </c>
      <c r="Q303" s="164">
        <f t="shared" si="51"/>
        <v>0</v>
      </c>
      <c r="R303" s="164">
        <f t="shared" si="59"/>
        <v>0</v>
      </c>
      <c r="S303" s="164">
        <f t="shared" si="52"/>
        <v>0</v>
      </c>
      <c r="T303" s="164">
        <f t="shared" si="53"/>
        <v>0</v>
      </c>
    </row>
    <row r="304" spans="6:20" x14ac:dyDescent="0.2">
      <c r="F304" s="158">
        <v>293</v>
      </c>
      <c r="G304" s="249">
        <f t="shared" si="54"/>
        <v>52565</v>
      </c>
      <c r="H304" s="158">
        <f t="shared" si="58"/>
        <v>30</v>
      </c>
      <c r="I304" s="254">
        <f>VLOOKUP(G304,'Прогноз переменной ставки'!$B$5:$E$304,4,1)</f>
        <v>9.9000000000000005E-2</v>
      </c>
      <c r="J304" s="164">
        <f t="shared" si="55"/>
        <v>0</v>
      </c>
      <c r="K304" s="164">
        <f t="shared" si="56"/>
        <v>0</v>
      </c>
      <c r="L304" s="164">
        <f t="shared" si="60"/>
        <v>0</v>
      </c>
      <c r="M304" s="164">
        <f t="shared" si="60"/>
        <v>0</v>
      </c>
      <c r="N304" s="164">
        <f t="shared" si="57"/>
        <v>0</v>
      </c>
      <c r="O304" s="164">
        <f t="shared" si="49"/>
        <v>0</v>
      </c>
      <c r="P304" s="164">
        <f t="shared" si="50"/>
        <v>0</v>
      </c>
      <c r="Q304" s="164">
        <f t="shared" si="51"/>
        <v>0</v>
      </c>
      <c r="R304" s="164">
        <f t="shared" si="59"/>
        <v>0</v>
      </c>
      <c r="S304" s="164">
        <f t="shared" si="52"/>
        <v>0</v>
      </c>
      <c r="T304" s="164">
        <f t="shared" si="53"/>
        <v>0</v>
      </c>
    </row>
    <row r="305" spans="6:20" x14ac:dyDescent="0.2">
      <c r="F305" s="158">
        <v>294</v>
      </c>
      <c r="G305" s="249">
        <f t="shared" si="54"/>
        <v>52596</v>
      </c>
      <c r="H305" s="158">
        <f t="shared" si="58"/>
        <v>31</v>
      </c>
      <c r="I305" s="254">
        <f>VLOOKUP(G305,'Прогноз переменной ставки'!$B$5:$E$304,4,1)</f>
        <v>9.9000000000000005E-2</v>
      </c>
      <c r="J305" s="164">
        <f t="shared" si="55"/>
        <v>0</v>
      </c>
      <c r="K305" s="164">
        <f t="shared" si="56"/>
        <v>0</v>
      </c>
      <c r="L305" s="164">
        <f t="shared" si="60"/>
        <v>0</v>
      </c>
      <c r="M305" s="164">
        <f t="shared" si="60"/>
        <v>0</v>
      </c>
      <c r="N305" s="164">
        <f t="shared" si="57"/>
        <v>0</v>
      </c>
      <c r="O305" s="164">
        <f t="shared" si="49"/>
        <v>0</v>
      </c>
      <c r="P305" s="164">
        <f t="shared" si="50"/>
        <v>0</v>
      </c>
      <c r="Q305" s="164">
        <f t="shared" si="51"/>
        <v>0</v>
      </c>
      <c r="R305" s="164">
        <f t="shared" si="59"/>
        <v>0</v>
      </c>
      <c r="S305" s="164">
        <f t="shared" si="52"/>
        <v>0</v>
      </c>
      <c r="T305" s="164">
        <f t="shared" si="53"/>
        <v>0</v>
      </c>
    </row>
    <row r="306" spans="6:20" x14ac:dyDescent="0.2">
      <c r="F306" s="158">
        <v>295</v>
      </c>
      <c r="G306" s="249">
        <f t="shared" si="54"/>
        <v>52627</v>
      </c>
      <c r="H306" s="158">
        <f t="shared" si="58"/>
        <v>31</v>
      </c>
      <c r="I306" s="254">
        <f>VLOOKUP(G306,'Прогноз переменной ставки'!$B$5:$E$304,4,1)</f>
        <v>9.9000000000000005E-2</v>
      </c>
      <c r="J306" s="164">
        <f t="shared" si="55"/>
        <v>0</v>
      </c>
      <c r="K306" s="164">
        <f t="shared" si="56"/>
        <v>0</v>
      </c>
      <c r="L306" s="164">
        <f t="shared" si="60"/>
        <v>0</v>
      </c>
      <c r="M306" s="164">
        <f t="shared" si="60"/>
        <v>0</v>
      </c>
      <c r="N306" s="164">
        <f t="shared" si="57"/>
        <v>0</v>
      </c>
      <c r="O306" s="164">
        <f t="shared" si="49"/>
        <v>0</v>
      </c>
      <c r="P306" s="164">
        <f t="shared" si="50"/>
        <v>0</v>
      </c>
      <c r="Q306" s="164">
        <f t="shared" si="51"/>
        <v>0</v>
      </c>
      <c r="R306" s="164">
        <f t="shared" si="59"/>
        <v>0</v>
      </c>
      <c r="S306" s="164">
        <f t="shared" si="52"/>
        <v>0</v>
      </c>
      <c r="T306" s="164">
        <f t="shared" si="53"/>
        <v>0</v>
      </c>
    </row>
    <row r="307" spans="6:20" x14ac:dyDescent="0.2">
      <c r="F307" s="158">
        <v>296</v>
      </c>
      <c r="G307" s="249">
        <f t="shared" si="54"/>
        <v>52656</v>
      </c>
      <c r="H307" s="158">
        <f t="shared" si="58"/>
        <v>29</v>
      </c>
      <c r="I307" s="254">
        <f>VLOOKUP(G307,'Прогноз переменной ставки'!$B$5:$E$304,4,1)</f>
        <v>9.9000000000000005E-2</v>
      </c>
      <c r="J307" s="164">
        <f t="shared" si="55"/>
        <v>0</v>
      </c>
      <c r="K307" s="164">
        <f t="shared" si="56"/>
        <v>0</v>
      </c>
      <c r="L307" s="164">
        <f t="shared" si="60"/>
        <v>0</v>
      </c>
      <c r="M307" s="164">
        <f t="shared" si="60"/>
        <v>0</v>
      </c>
      <c r="N307" s="164">
        <f t="shared" si="57"/>
        <v>0</v>
      </c>
      <c r="O307" s="164">
        <f t="shared" si="49"/>
        <v>0</v>
      </c>
      <c r="P307" s="164">
        <f t="shared" si="50"/>
        <v>0</v>
      </c>
      <c r="Q307" s="164">
        <f t="shared" si="51"/>
        <v>0</v>
      </c>
      <c r="R307" s="164">
        <f t="shared" si="59"/>
        <v>0</v>
      </c>
      <c r="S307" s="164">
        <f t="shared" si="52"/>
        <v>0</v>
      </c>
      <c r="T307" s="164">
        <f t="shared" si="53"/>
        <v>0</v>
      </c>
    </row>
    <row r="308" spans="6:20" x14ac:dyDescent="0.2">
      <c r="F308" s="158">
        <v>297</v>
      </c>
      <c r="G308" s="249">
        <f t="shared" si="54"/>
        <v>52687</v>
      </c>
      <c r="H308" s="158">
        <f t="shared" si="58"/>
        <v>31</v>
      </c>
      <c r="I308" s="254">
        <f>VLOOKUP(G308,'Прогноз переменной ставки'!$B$5:$E$304,4,1)</f>
        <v>9.9000000000000005E-2</v>
      </c>
      <c r="J308" s="164">
        <f t="shared" si="55"/>
        <v>0</v>
      </c>
      <c r="K308" s="164">
        <f t="shared" si="56"/>
        <v>0</v>
      </c>
      <c r="L308" s="164">
        <f t="shared" si="60"/>
        <v>0</v>
      </c>
      <c r="M308" s="164">
        <f t="shared" si="60"/>
        <v>0</v>
      </c>
      <c r="N308" s="164">
        <f t="shared" si="57"/>
        <v>0</v>
      </c>
      <c r="O308" s="164">
        <f t="shared" si="49"/>
        <v>0</v>
      </c>
      <c r="P308" s="164">
        <f t="shared" si="50"/>
        <v>0</v>
      </c>
      <c r="Q308" s="164">
        <f t="shared" si="51"/>
        <v>0</v>
      </c>
      <c r="R308" s="164">
        <f t="shared" si="59"/>
        <v>0</v>
      </c>
      <c r="S308" s="164">
        <f t="shared" si="52"/>
        <v>0</v>
      </c>
      <c r="T308" s="164">
        <f t="shared" si="53"/>
        <v>0</v>
      </c>
    </row>
    <row r="309" spans="6:20" x14ac:dyDescent="0.2">
      <c r="F309" s="158">
        <v>298</v>
      </c>
      <c r="G309" s="249">
        <f t="shared" si="54"/>
        <v>52717</v>
      </c>
      <c r="H309" s="158">
        <f t="shared" si="58"/>
        <v>30</v>
      </c>
      <c r="I309" s="254">
        <f>VLOOKUP(G309,'Прогноз переменной ставки'!$B$5:$E$304,4,1)</f>
        <v>9.9000000000000005E-2</v>
      </c>
      <c r="J309" s="164">
        <f t="shared" si="55"/>
        <v>0</v>
      </c>
      <c r="K309" s="164">
        <f t="shared" si="56"/>
        <v>0</v>
      </c>
      <c r="L309" s="164">
        <f t="shared" si="60"/>
        <v>0</v>
      </c>
      <c r="M309" s="164">
        <f t="shared" si="60"/>
        <v>0</v>
      </c>
      <c r="N309" s="164">
        <f t="shared" si="57"/>
        <v>0</v>
      </c>
      <c r="O309" s="164">
        <f t="shared" si="49"/>
        <v>0</v>
      </c>
      <c r="P309" s="164">
        <f t="shared" si="50"/>
        <v>0</v>
      </c>
      <c r="Q309" s="164">
        <f t="shared" si="51"/>
        <v>0</v>
      </c>
      <c r="R309" s="164">
        <f t="shared" si="59"/>
        <v>0</v>
      </c>
      <c r="S309" s="164">
        <f t="shared" si="52"/>
        <v>0</v>
      </c>
      <c r="T309" s="164">
        <f t="shared" si="53"/>
        <v>0</v>
      </c>
    </row>
    <row r="310" spans="6:20" x14ac:dyDescent="0.2">
      <c r="F310" s="158">
        <v>299</v>
      </c>
      <c r="G310" s="249">
        <f t="shared" si="54"/>
        <v>52748</v>
      </c>
      <c r="H310" s="158">
        <f t="shared" si="58"/>
        <v>31</v>
      </c>
      <c r="I310" s="254">
        <f>VLOOKUP(G310,'Прогноз переменной ставки'!$B$5:$E$304,4,1)</f>
        <v>9.9000000000000005E-2</v>
      </c>
      <c r="J310" s="164">
        <f t="shared" si="55"/>
        <v>0</v>
      </c>
      <c r="K310" s="164">
        <f t="shared" si="56"/>
        <v>0</v>
      </c>
      <c r="L310" s="164">
        <f t="shared" si="60"/>
        <v>0</v>
      </c>
      <c r="M310" s="164">
        <f t="shared" si="60"/>
        <v>0</v>
      </c>
      <c r="N310" s="164">
        <f t="shared" si="57"/>
        <v>0</v>
      </c>
      <c r="O310" s="164">
        <f t="shared" si="49"/>
        <v>0</v>
      </c>
      <c r="P310" s="164">
        <f t="shared" si="50"/>
        <v>0</v>
      </c>
      <c r="Q310" s="164">
        <f t="shared" si="51"/>
        <v>0</v>
      </c>
      <c r="R310" s="164">
        <f t="shared" si="59"/>
        <v>0</v>
      </c>
      <c r="S310" s="164">
        <f t="shared" si="52"/>
        <v>0</v>
      </c>
      <c r="T310" s="164">
        <f t="shared" si="53"/>
        <v>0</v>
      </c>
    </row>
    <row r="311" spans="6:20" x14ac:dyDescent="0.2">
      <c r="F311" s="158">
        <v>300</v>
      </c>
      <c r="G311" s="249">
        <f t="shared" si="54"/>
        <v>52778</v>
      </c>
      <c r="H311" s="158">
        <f t="shared" si="58"/>
        <v>30</v>
      </c>
      <c r="I311" s="254">
        <f>VLOOKUP(G311,'Прогноз переменной ставки'!$B$5:$E$304,4,1)</f>
        <v>9.9000000000000005E-2</v>
      </c>
      <c r="J311" s="164">
        <f t="shared" si="55"/>
        <v>0</v>
      </c>
      <c r="K311" s="164">
        <f t="shared" si="56"/>
        <v>0</v>
      </c>
      <c r="L311" s="164">
        <f t="shared" si="60"/>
        <v>0</v>
      </c>
      <c r="M311" s="164">
        <f t="shared" si="60"/>
        <v>0</v>
      </c>
      <c r="N311" s="164">
        <f t="shared" si="57"/>
        <v>0</v>
      </c>
      <c r="O311" s="164">
        <f t="shared" si="49"/>
        <v>0</v>
      </c>
      <c r="P311" s="164">
        <f t="shared" si="50"/>
        <v>0</v>
      </c>
      <c r="Q311" s="164">
        <f t="shared" si="51"/>
        <v>0</v>
      </c>
      <c r="R311" s="164">
        <f t="shared" si="59"/>
        <v>0</v>
      </c>
      <c r="S311" s="164">
        <f t="shared" si="52"/>
        <v>0</v>
      </c>
      <c r="T311" s="164">
        <f t="shared" si="53"/>
        <v>0</v>
      </c>
    </row>
    <row r="312" spans="6:20" x14ac:dyDescent="0.2">
      <c r="F312" s="255"/>
      <c r="G312" s="255"/>
      <c r="H312" s="255"/>
    </row>
  </sheetData>
  <customSheetViews>
    <customSheetView guid="{A6ED9047-BF5F-4715-989F-6B73F8A8D111}" state="hidden">
      <selection activeCell="L51" sqref="L5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B2:U312"/>
  <sheetViews>
    <sheetView workbookViewId="0">
      <selection activeCell="D7" sqref="D7"/>
    </sheetView>
  </sheetViews>
  <sheetFormatPr defaultColWidth="9.140625" defaultRowHeight="12.75" x14ac:dyDescent="0.2"/>
  <cols>
    <col min="1" max="1" width="2" style="144" customWidth="1"/>
    <col min="2" max="2" width="36.42578125" style="144" customWidth="1"/>
    <col min="3" max="3" width="1.42578125" style="144" customWidth="1"/>
    <col min="4" max="4" width="15" style="144" customWidth="1"/>
    <col min="5" max="5" width="2.42578125" style="144" customWidth="1"/>
    <col min="6" max="6" width="4" style="144" customWidth="1"/>
    <col min="7" max="7" width="15.5703125" style="144" customWidth="1"/>
    <col min="8" max="8" width="12.85546875" style="144" customWidth="1"/>
    <col min="9" max="9" width="11.85546875" style="144" customWidth="1"/>
    <col min="10" max="10" width="13.5703125" style="255" customWidth="1"/>
    <col min="11" max="11" width="14.42578125" style="145" customWidth="1"/>
    <col min="12" max="12" width="11.85546875" style="145" customWidth="1"/>
    <col min="13" max="13" width="13.5703125" style="145" customWidth="1"/>
    <col min="14" max="14" width="11.42578125" style="145" customWidth="1"/>
    <col min="15" max="15" width="11.5703125" style="145" customWidth="1"/>
    <col min="16" max="16" width="11.42578125" style="145" bestFit="1" customWidth="1"/>
    <col min="17" max="17" width="14" style="145" customWidth="1"/>
    <col min="18" max="18" width="15" style="145" customWidth="1"/>
    <col min="19" max="19" width="11.85546875" style="145" customWidth="1"/>
    <col min="20" max="20" width="15.42578125" style="145" customWidth="1"/>
    <col min="21" max="16384" width="9.140625" style="144"/>
  </cols>
  <sheetData>
    <row r="2" spans="2:21" ht="15" x14ac:dyDescent="0.25">
      <c r="B2" s="242" t="s">
        <v>301</v>
      </c>
      <c r="D2" s="242" t="s">
        <v>302</v>
      </c>
      <c r="J2" s="144"/>
      <c r="K2" s="243"/>
      <c r="L2" s="144"/>
      <c r="M2" s="144"/>
      <c r="N2" s="144"/>
      <c r="O2" s="144"/>
      <c r="P2" s="144"/>
      <c r="Q2" s="144"/>
      <c r="R2" s="144"/>
      <c r="S2" s="144"/>
      <c r="T2" s="144"/>
    </row>
    <row r="3" spans="2:21" x14ac:dyDescent="0.2">
      <c r="B3" s="158" t="s">
        <v>303</v>
      </c>
      <c r="D3" s="221">
        <f>'Калькулятор_от дохода'!$T$123</f>
        <v>4267000.9392289054</v>
      </c>
      <c r="E3" s="17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1" x14ac:dyDescent="0.2">
      <c r="B4" s="158" t="s">
        <v>304</v>
      </c>
      <c r="D4" s="221">
        <f>'Расчет по доходу заемщика'!$H$41</f>
        <v>300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1" x14ac:dyDescent="0.2">
      <c r="B5" s="158" t="s">
        <v>42</v>
      </c>
      <c r="D5" s="244">
        <f>'Калькулятор_от дохода'!$T$129</f>
        <v>60000.000000000007</v>
      </c>
      <c r="J5" s="144"/>
      <c r="K5" s="144"/>
      <c r="L5" s="144"/>
      <c r="M5" s="144"/>
      <c r="N5" s="144"/>
      <c r="O5" s="144"/>
      <c r="P5" s="144"/>
      <c r="Q5" s="144"/>
      <c r="R5" s="144"/>
      <c r="S5" s="245"/>
      <c r="T5" s="245"/>
      <c r="U5" s="245"/>
    </row>
    <row r="6" spans="2:21" x14ac:dyDescent="0.2">
      <c r="B6" s="158" t="s">
        <v>305</v>
      </c>
      <c r="D6" s="221">
        <f>MATCH(0,K12:K312,0)-1</f>
        <v>108</v>
      </c>
      <c r="F6" s="246"/>
      <c r="G6" s="246"/>
      <c r="H6" s="246"/>
      <c r="I6" s="24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2:21" x14ac:dyDescent="0.2">
      <c r="B7" s="158" t="s">
        <v>306</v>
      </c>
      <c r="D7" s="247">
        <f>VLOOKUP(D4+1,$F$12:$L$263,4)</f>
        <v>9.9000000000000005E-2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2:21" ht="15" x14ac:dyDescent="0.25">
      <c r="B8" s="224" t="s">
        <v>224</v>
      </c>
      <c r="D8" s="221">
        <f>SUM($J$12:$J$311)-D3</f>
        <v>2190443.7962441789</v>
      </c>
      <c r="J8" s="144"/>
      <c r="K8" s="144"/>
      <c r="L8" s="144"/>
      <c r="M8" s="248" t="s">
        <v>307</v>
      </c>
      <c r="N8" s="144"/>
      <c r="O8" s="144"/>
      <c r="P8" s="144"/>
      <c r="Q8" s="144"/>
      <c r="R8" s="144"/>
      <c r="S8" s="144"/>
      <c r="T8" s="144"/>
    </row>
    <row r="9" spans="2:21" ht="15" x14ac:dyDescent="0.25">
      <c r="B9" s="224" t="s">
        <v>308</v>
      </c>
      <c r="D9" s="249">
        <f>'Калькулятор_от дохода'!$V$114</f>
        <v>43647</v>
      </c>
      <c r="J9" s="144"/>
      <c r="K9" s="144"/>
      <c r="L9" s="144"/>
      <c r="M9" s="248"/>
      <c r="N9" s="144"/>
      <c r="O9" s="144"/>
      <c r="P9" s="144"/>
      <c r="Q9" s="144"/>
      <c r="R9" s="144"/>
      <c r="S9" s="144"/>
      <c r="T9" s="144"/>
    </row>
    <row r="10" spans="2:21" s="250" customFormat="1" ht="51" x14ac:dyDescent="0.2">
      <c r="B10" s="171"/>
      <c r="C10" s="171"/>
      <c r="D10" s="171"/>
      <c r="F10" s="251"/>
      <c r="G10" s="252" t="s">
        <v>0</v>
      </c>
      <c r="H10" s="252" t="s">
        <v>3</v>
      </c>
      <c r="I10" s="252" t="s">
        <v>309</v>
      </c>
      <c r="J10" s="252" t="s">
        <v>42</v>
      </c>
      <c r="K10" s="252" t="s">
        <v>310</v>
      </c>
      <c r="L10" s="252" t="s">
        <v>311</v>
      </c>
      <c r="M10" s="252" t="s">
        <v>312</v>
      </c>
      <c r="N10" s="252" t="s">
        <v>313</v>
      </c>
      <c r="O10" s="252" t="s">
        <v>314</v>
      </c>
      <c r="P10" s="252" t="s">
        <v>315</v>
      </c>
      <c r="Q10" s="252" t="s">
        <v>316</v>
      </c>
      <c r="R10" s="252" t="s">
        <v>317</v>
      </c>
      <c r="S10" s="252" t="s">
        <v>318</v>
      </c>
      <c r="T10" s="252" t="s">
        <v>319</v>
      </c>
    </row>
    <row r="11" spans="2:21" s="250" customFormat="1" x14ac:dyDescent="0.25">
      <c r="B11" s="253"/>
      <c r="D11" s="253"/>
      <c r="F11" s="251">
        <v>1</v>
      </c>
      <c r="G11" s="251">
        <v>2</v>
      </c>
      <c r="H11" s="251">
        <v>3</v>
      </c>
      <c r="I11" s="251">
        <v>2</v>
      </c>
      <c r="J11" s="251">
        <v>3</v>
      </c>
      <c r="K11" s="251">
        <v>4</v>
      </c>
      <c r="L11" s="251">
        <v>5</v>
      </c>
      <c r="M11" s="251">
        <v>6</v>
      </c>
      <c r="N11" s="251">
        <v>7</v>
      </c>
      <c r="O11" s="251">
        <v>8</v>
      </c>
      <c r="P11" s="251">
        <v>9</v>
      </c>
      <c r="Q11" s="251">
        <v>10</v>
      </c>
      <c r="R11" s="251">
        <v>11</v>
      </c>
      <c r="S11" s="251">
        <v>12</v>
      </c>
      <c r="T11" s="251">
        <v>13</v>
      </c>
    </row>
    <row r="12" spans="2:21" x14ac:dyDescent="0.2">
      <c r="B12" s="171"/>
      <c r="D12" s="171"/>
      <c r="F12" s="158">
        <v>1</v>
      </c>
      <c r="G12" s="249">
        <f>EOMONTH($D$9,F12-1)</f>
        <v>43677</v>
      </c>
      <c r="H12" s="158">
        <f>G12-D9</f>
        <v>30</v>
      </c>
      <c r="I12" s="254">
        <f>VLOOKUP(G12,'Прогноз переменной ставки'!$B$5:$E$304,4,1)</f>
        <v>9.9900000000000003E-2</v>
      </c>
      <c r="J12" s="164">
        <f>IF(F12=$D$4,K12+N12,MIN($D$5,K12+N12))</f>
        <v>60000.000000000007</v>
      </c>
      <c r="K12" s="164">
        <f>L12+M12</f>
        <v>4267000.9392289054</v>
      </c>
      <c r="L12" s="164">
        <f>D3</f>
        <v>4267000.9392289054</v>
      </c>
      <c r="M12" s="164">
        <v>0</v>
      </c>
      <c r="N12" s="164">
        <f>L12*I12/365.25*H12</f>
        <v>35012.188404843342</v>
      </c>
      <c r="O12" s="164">
        <f t="shared" ref="O12:O75" si="0">MIN(J12-Q12-P12,L12)</f>
        <v>24987.811595156665</v>
      </c>
      <c r="P12" s="164">
        <f t="shared" ref="P12:P75" si="1">MIN(J12-Q12,N12)</f>
        <v>35012.188404843342</v>
      </c>
      <c r="Q12" s="164">
        <f t="shared" ref="Q12:Q75" si="2">MIN(J12,M12)</f>
        <v>0</v>
      </c>
      <c r="R12" s="164">
        <f>MAX(N12-P12,0)</f>
        <v>0</v>
      </c>
      <c r="S12" s="164">
        <f t="shared" ref="S12:S75" si="3">L12-O12</f>
        <v>4242013.1276337486</v>
      </c>
      <c r="T12" s="164">
        <f t="shared" ref="T12:T75" si="4">M12+R12-Q12</f>
        <v>0</v>
      </c>
    </row>
    <row r="13" spans="2:21" x14ac:dyDescent="0.2">
      <c r="B13" s="171"/>
      <c r="D13" s="171"/>
      <c r="F13" s="158">
        <v>2</v>
      </c>
      <c r="G13" s="249">
        <f t="shared" ref="G13:G76" si="5">EOMONTH($D$9,F13-1)</f>
        <v>43708</v>
      </c>
      <c r="H13" s="158">
        <f>G13-G12</f>
        <v>31</v>
      </c>
      <c r="I13" s="254">
        <f>VLOOKUP(G13,'Прогноз переменной ставки'!$B$5:$E$304,4,1)</f>
        <v>9.9900000000000003E-2</v>
      </c>
      <c r="J13" s="164">
        <f t="shared" ref="J13:J76" si="6">IF(F13=$D$4,K13+N13,MIN($D$5,K13+N13))</f>
        <v>60000.000000000007</v>
      </c>
      <c r="K13" s="164">
        <f t="shared" ref="K13:K76" si="7">L13+M13</f>
        <v>4242013.1276337486</v>
      </c>
      <c r="L13" s="164">
        <f>S12</f>
        <v>4242013.1276337486</v>
      </c>
      <c r="M13" s="164">
        <f>T12</f>
        <v>0</v>
      </c>
      <c r="N13" s="164">
        <f t="shared" ref="N13:N76" si="8">L13*I13/365.25*H13</f>
        <v>35967.393442762375</v>
      </c>
      <c r="O13" s="164">
        <f t="shared" si="0"/>
        <v>24032.606557237632</v>
      </c>
      <c r="P13" s="164">
        <f t="shared" si="1"/>
        <v>35967.393442762375</v>
      </c>
      <c r="Q13" s="164">
        <f t="shared" si="2"/>
        <v>0</v>
      </c>
      <c r="R13" s="164">
        <f>MAX(N13-P13,0)</f>
        <v>0</v>
      </c>
      <c r="S13" s="164">
        <f t="shared" si="3"/>
        <v>4217980.5210765107</v>
      </c>
      <c r="T13" s="164">
        <f t="shared" si="4"/>
        <v>0</v>
      </c>
    </row>
    <row r="14" spans="2:21" x14ac:dyDescent="0.2">
      <c r="B14" s="171"/>
      <c r="D14" s="171"/>
      <c r="F14" s="158">
        <v>3</v>
      </c>
      <c r="G14" s="249">
        <f t="shared" si="5"/>
        <v>43738</v>
      </c>
      <c r="H14" s="158">
        <f t="shared" ref="H14:H77" si="9">G14-G13</f>
        <v>30</v>
      </c>
      <c r="I14" s="254">
        <f>VLOOKUP(G14,'Прогноз переменной ставки'!$B$5:$E$304,4,1)</f>
        <v>9.9900000000000003E-2</v>
      </c>
      <c r="J14" s="164">
        <f t="shared" si="6"/>
        <v>60000.000000000007</v>
      </c>
      <c r="K14" s="164">
        <f t="shared" si="7"/>
        <v>4217980.5210765107</v>
      </c>
      <c r="L14" s="164">
        <f t="shared" ref="L14:M77" si="10">S13</f>
        <v>4217980.5210765107</v>
      </c>
      <c r="M14" s="164">
        <f t="shared" si="10"/>
        <v>0</v>
      </c>
      <c r="N14" s="164">
        <f t="shared" si="8"/>
        <v>34609.959265342382</v>
      </c>
      <c r="O14" s="164">
        <f t="shared" si="0"/>
        <v>25390.040734657625</v>
      </c>
      <c r="P14" s="164">
        <f t="shared" si="1"/>
        <v>34609.959265342382</v>
      </c>
      <c r="Q14" s="164">
        <f t="shared" si="2"/>
        <v>0</v>
      </c>
      <c r="R14" s="164">
        <f t="shared" ref="R14:R77" si="11">MAX(N14-P14,0)</f>
        <v>0</v>
      </c>
      <c r="S14" s="164">
        <f t="shared" si="3"/>
        <v>4192590.4803418531</v>
      </c>
      <c r="T14" s="164">
        <f t="shared" si="4"/>
        <v>0</v>
      </c>
    </row>
    <row r="15" spans="2:21" x14ac:dyDescent="0.2">
      <c r="B15" s="171"/>
      <c r="D15" s="171"/>
      <c r="F15" s="158">
        <v>4</v>
      </c>
      <c r="G15" s="249">
        <f t="shared" si="5"/>
        <v>43769</v>
      </c>
      <c r="H15" s="158">
        <f t="shared" si="9"/>
        <v>31</v>
      </c>
      <c r="I15" s="254">
        <f>VLOOKUP(G15,'Прогноз переменной ставки'!$B$5:$E$304,4,1)</f>
        <v>9.9900000000000003E-2</v>
      </c>
      <c r="J15" s="164">
        <f t="shared" si="6"/>
        <v>60000.000000000007</v>
      </c>
      <c r="K15" s="164">
        <f t="shared" si="7"/>
        <v>4192590.4803418531</v>
      </c>
      <c r="L15" s="164">
        <f t="shared" si="10"/>
        <v>4192590.4803418531</v>
      </c>
      <c r="M15" s="164">
        <f t="shared" si="10"/>
        <v>0</v>
      </c>
      <c r="N15" s="164">
        <f t="shared" si="8"/>
        <v>35548.346224697292</v>
      </c>
      <c r="O15" s="164">
        <f t="shared" si="0"/>
        <v>24451.653775302715</v>
      </c>
      <c r="P15" s="164">
        <f t="shared" si="1"/>
        <v>35548.346224697292</v>
      </c>
      <c r="Q15" s="164">
        <f t="shared" si="2"/>
        <v>0</v>
      </c>
      <c r="R15" s="164">
        <f t="shared" si="11"/>
        <v>0</v>
      </c>
      <c r="S15" s="164">
        <f t="shared" si="3"/>
        <v>4168138.8265665504</v>
      </c>
      <c r="T15" s="164">
        <f t="shared" si="4"/>
        <v>0</v>
      </c>
    </row>
    <row r="16" spans="2:21" x14ac:dyDescent="0.2">
      <c r="B16" s="171"/>
      <c r="D16" s="171"/>
      <c r="F16" s="158">
        <v>5</v>
      </c>
      <c r="G16" s="249">
        <f t="shared" si="5"/>
        <v>43799</v>
      </c>
      <c r="H16" s="158">
        <f t="shared" si="9"/>
        <v>30</v>
      </c>
      <c r="I16" s="254">
        <f>VLOOKUP(G16,'Прогноз переменной ставки'!$B$5:$E$304,4,1)</f>
        <v>9.9900000000000003E-2</v>
      </c>
      <c r="J16" s="164">
        <f t="shared" si="6"/>
        <v>60000.000000000007</v>
      </c>
      <c r="K16" s="164">
        <f t="shared" si="7"/>
        <v>4168138.8265665504</v>
      </c>
      <c r="L16" s="164">
        <f t="shared" si="10"/>
        <v>4168138.8265665504</v>
      </c>
      <c r="M16" s="164">
        <f t="shared" si="10"/>
        <v>0</v>
      </c>
      <c r="N16" s="164">
        <f t="shared" si="8"/>
        <v>34200.991275071734</v>
      </c>
      <c r="O16" s="164">
        <f t="shared" si="0"/>
        <v>25799.008724928273</v>
      </c>
      <c r="P16" s="164">
        <f t="shared" si="1"/>
        <v>34200.991275071734</v>
      </c>
      <c r="Q16" s="164">
        <f t="shared" si="2"/>
        <v>0</v>
      </c>
      <c r="R16" s="164">
        <f t="shared" si="11"/>
        <v>0</v>
      </c>
      <c r="S16" s="164">
        <f t="shared" si="3"/>
        <v>4142339.817841622</v>
      </c>
      <c r="T16" s="164">
        <f t="shared" si="4"/>
        <v>0</v>
      </c>
    </row>
    <row r="17" spans="2:20" x14ac:dyDescent="0.2">
      <c r="B17" s="171"/>
      <c r="D17" s="171"/>
      <c r="F17" s="158">
        <v>6</v>
      </c>
      <c r="G17" s="249">
        <f t="shared" si="5"/>
        <v>43830</v>
      </c>
      <c r="H17" s="158">
        <f t="shared" si="9"/>
        <v>31</v>
      </c>
      <c r="I17" s="254">
        <f>VLOOKUP(G17,'Прогноз переменной ставки'!$B$5:$E$304,4,1)</f>
        <v>9.9900000000000003E-2</v>
      </c>
      <c r="J17" s="164">
        <f t="shared" si="6"/>
        <v>60000.000000000007</v>
      </c>
      <c r="K17" s="164">
        <f t="shared" si="7"/>
        <v>4142339.817841622</v>
      </c>
      <c r="L17" s="164">
        <f t="shared" si="10"/>
        <v>4142339.817841622</v>
      </c>
      <c r="M17" s="164">
        <f t="shared" si="10"/>
        <v>0</v>
      </c>
      <c r="N17" s="164">
        <f t="shared" si="8"/>
        <v>35122.278389797997</v>
      </c>
      <c r="O17" s="164">
        <f t="shared" si="0"/>
        <v>24877.72161020201</v>
      </c>
      <c r="P17" s="164">
        <f t="shared" si="1"/>
        <v>35122.278389797997</v>
      </c>
      <c r="Q17" s="164">
        <f t="shared" si="2"/>
        <v>0</v>
      </c>
      <c r="R17" s="164">
        <f t="shared" si="11"/>
        <v>0</v>
      </c>
      <c r="S17" s="164">
        <f t="shared" si="3"/>
        <v>4117462.0962314201</v>
      </c>
      <c r="T17" s="164">
        <f t="shared" si="4"/>
        <v>0</v>
      </c>
    </row>
    <row r="18" spans="2:20" x14ac:dyDescent="0.2">
      <c r="B18" s="171"/>
      <c r="D18" s="171"/>
      <c r="F18" s="158">
        <v>7</v>
      </c>
      <c r="G18" s="249">
        <f t="shared" si="5"/>
        <v>43861</v>
      </c>
      <c r="H18" s="158">
        <f t="shared" si="9"/>
        <v>31</v>
      </c>
      <c r="I18" s="254">
        <f>VLOOKUP(G18,'Прогноз переменной ставки'!$B$5:$E$304,4,1)</f>
        <v>9.9000000000000005E-2</v>
      </c>
      <c r="J18" s="164">
        <f t="shared" si="6"/>
        <v>60000.000000000007</v>
      </c>
      <c r="K18" s="164">
        <f t="shared" si="7"/>
        <v>4117462.0962314201</v>
      </c>
      <c r="L18" s="164">
        <f>S17</f>
        <v>4117462.0962314201</v>
      </c>
      <c r="M18" s="164">
        <f>T17</f>
        <v>0</v>
      </c>
      <c r="N18" s="164">
        <f t="shared" si="8"/>
        <v>34596.82730550097</v>
      </c>
      <c r="O18" s="164">
        <f t="shared" si="0"/>
        <v>25403.172694499037</v>
      </c>
      <c r="P18" s="164">
        <f t="shared" si="1"/>
        <v>34596.82730550097</v>
      </c>
      <c r="Q18" s="164">
        <f t="shared" si="2"/>
        <v>0</v>
      </c>
      <c r="R18" s="164">
        <f>MAX(N18-P18,0)</f>
        <v>0</v>
      </c>
      <c r="S18" s="164">
        <f t="shared" si="3"/>
        <v>4092058.9235369209</v>
      </c>
      <c r="T18" s="164">
        <f t="shared" si="4"/>
        <v>0</v>
      </c>
    </row>
    <row r="19" spans="2:20" x14ac:dyDescent="0.2">
      <c r="B19" s="171"/>
      <c r="D19" s="171"/>
      <c r="F19" s="158">
        <v>8</v>
      </c>
      <c r="G19" s="249">
        <f t="shared" si="5"/>
        <v>43890</v>
      </c>
      <c r="H19" s="158">
        <f t="shared" si="9"/>
        <v>29</v>
      </c>
      <c r="I19" s="254">
        <f>VLOOKUP(G19,'Прогноз переменной ставки'!$B$5:$E$304,4,1)</f>
        <v>9.9000000000000005E-2</v>
      </c>
      <c r="J19" s="164">
        <f t="shared" si="6"/>
        <v>60000.000000000007</v>
      </c>
      <c r="K19" s="164">
        <f t="shared" si="7"/>
        <v>4092058.9235369209</v>
      </c>
      <c r="L19" s="164">
        <f>S18</f>
        <v>4092058.9235369209</v>
      </c>
      <c r="M19" s="164">
        <f>T18</f>
        <v>0</v>
      </c>
      <c r="N19" s="164">
        <f t="shared" si="8"/>
        <v>32165.095604310747</v>
      </c>
      <c r="O19" s="164">
        <f t="shared" si="0"/>
        <v>27834.90439568926</v>
      </c>
      <c r="P19" s="164">
        <f t="shared" si="1"/>
        <v>32165.095604310747</v>
      </c>
      <c r="Q19" s="164">
        <f t="shared" si="2"/>
        <v>0</v>
      </c>
      <c r="R19" s="164">
        <f t="shared" si="11"/>
        <v>0</v>
      </c>
      <c r="S19" s="164">
        <f t="shared" si="3"/>
        <v>4064224.0191412317</v>
      </c>
      <c r="T19" s="164">
        <f t="shared" si="4"/>
        <v>0</v>
      </c>
    </row>
    <row r="20" spans="2:20" x14ac:dyDescent="0.2">
      <c r="B20" s="171"/>
      <c r="D20" s="171"/>
      <c r="F20" s="158">
        <v>9</v>
      </c>
      <c r="G20" s="249">
        <f t="shared" si="5"/>
        <v>43921</v>
      </c>
      <c r="H20" s="158">
        <f t="shared" si="9"/>
        <v>31</v>
      </c>
      <c r="I20" s="254">
        <f>VLOOKUP(G20,'Прогноз переменной ставки'!$B$5:$E$304,4,1)</f>
        <v>9.9000000000000005E-2</v>
      </c>
      <c r="J20" s="164">
        <f t="shared" si="6"/>
        <v>60000.000000000007</v>
      </c>
      <c r="K20" s="164">
        <f t="shared" si="7"/>
        <v>4064224.0191412317</v>
      </c>
      <c r="L20" s="164">
        <f t="shared" si="10"/>
        <v>4064224.0191412317</v>
      </c>
      <c r="M20" s="164">
        <f t="shared" si="10"/>
        <v>0</v>
      </c>
      <c r="N20" s="164">
        <f t="shared" si="8"/>
        <v>34149.496275823243</v>
      </c>
      <c r="O20" s="164">
        <f t="shared" si="0"/>
        <v>25850.503724176764</v>
      </c>
      <c r="P20" s="164">
        <f t="shared" si="1"/>
        <v>34149.496275823243</v>
      </c>
      <c r="Q20" s="164">
        <f t="shared" si="2"/>
        <v>0</v>
      </c>
      <c r="R20" s="164">
        <f t="shared" si="11"/>
        <v>0</v>
      </c>
      <c r="S20" s="164">
        <f t="shared" si="3"/>
        <v>4038373.5154170548</v>
      </c>
      <c r="T20" s="164">
        <f t="shared" si="4"/>
        <v>0</v>
      </c>
    </row>
    <row r="21" spans="2:20" x14ac:dyDescent="0.2">
      <c r="B21" s="171"/>
      <c r="D21" s="171"/>
      <c r="F21" s="158">
        <v>10</v>
      </c>
      <c r="G21" s="249">
        <f t="shared" si="5"/>
        <v>43951</v>
      </c>
      <c r="H21" s="158">
        <f t="shared" si="9"/>
        <v>30</v>
      </c>
      <c r="I21" s="254">
        <f>VLOOKUP(G21,'Прогноз переменной ставки'!$B$5:$E$304,4,1)</f>
        <v>9.9000000000000005E-2</v>
      </c>
      <c r="J21" s="164">
        <f t="shared" si="6"/>
        <v>60000.000000000007</v>
      </c>
      <c r="K21" s="164">
        <f t="shared" si="7"/>
        <v>4038373.5154170548</v>
      </c>
      <c r="L21" s="164">
        <f t="shared" si="10"/>
        <v>4038373.5154170548</v>
      </c>
      <c r="M21" s="164">
        <f t="shared" si="10"/>
        <v>0</v>
      </c>
      <c r="N21" s="164">
        <f t="shared" si="8"/>
        <v>32837.698400516507</v>
      </c>
      <c r="O21" s="164">
        <f t="shared" si="0"/>
        <v>27162.3015994835</v>
      </c>
      <c r="P21" s="164">
        <f t="shared" si="1"/>
        <v>32837.698400516507</v>
      </c>
      <c r="Q21" s="164">
        <f t="shared" si="2"/>
        <v>0</v>
      </c>
      <c r="R21" s="164">
        <f t="shared" si="11"/>
        <v>0</v>
      </c>
      <c r="S21" s="164">
        <f t="shared" si="3"/>
        <v>4011211.2138175713</v>
      </c>
      <c r="T21" s="164">
        <f t="shared" si="4"/>
        <v>0</v>
      </c>
    </row>
    <row r="22" spans="2:20" x14ac:dyDescent="0.2">
      <c r="B22" s="171"/>
      <c r="D22" s="171"/>
      <c r="F22" s="158">
        <v>11</v>
      </c>
      <c r="G22" s="249">
        <f t="shared" si="5"/>
        <v>43982</v>
      </c>
      <c r="H22" s="158">
        <f t="shared" si="9"/>
        <v>31</v>
      </c>
      <c r="I22" s="254">
        <f>VLOOKUP(G22,'Прогноз переменной ставки'!$B$5:$E$304,4,1)</f>
        <v>9.9000000000000005E-2</v>
      </c>
      <c r="J22" s="164">
        <f t="shared" si="6"/>
        <v>60000.000000000007</v>
      </c>
      <c r="K22" s="164">
        <f t="shared" si="7"/>
        <v>4011211.2138175713</v>
      </c>
      <c r="L22" s="164">
        <f t="shared" si="10"/>
        <v>4011211.2138175713</v>
      </c>
      <c r="M22" s="164">
        <f t="shared" si="10"/>
        <v>0</v>
      </c>
      <c r="N22" s="164">
        <f t="shared" si="8"/>
        <v>33704.058084068791</v>
      </c>
      <c r="O22" s="164">
        <f t="shared" si="0"/>
        <v>26295.941915931216</v>
      </c>
      <c r="P22" s="164">
        <f t="shared" si="1"/>
        <v>33704.058084068791</v>
      </c>
      <c r="Q22" s="164">
        <f t="shared" si="2"/>
        <v>0</v>
      </c>
      <c r="R22" s="164">
        <f t="shared" si="11"/>
        <v>0</v>
      </c>
      <c r="S22" s="164">
        <f t="shared" si="3"/>
        <v>3984915.2719016401</v>
      </c>
      <c r="T22" s="164">
        <f t="shared" si="4"/>
        <v>0</v>
      </c>
    </row>
    <row r="23" spans="2:20" x14ac:dyDescent="0.2">
      <c r="B23" s="171"/>
      <c r="D23" s="171"/>
      <c r="F23" s="158">
        <v>12</v>
      </c>
      <c r="G23" s="249">
        <f t="shared" si="5"/>
        <v>44012</v>
      </c>
      <c r="H23" s="158">
        <f t="shared" si="9"/>
        <v>30</v>
      </c>
      <c r="I23" s="254">
        <f>VLOOKUP(G23,'Прогноз переменной ставки'!$B$5:$E$304,4,1)</f>
        <v>9.9000000000000005E-2</v>
      </c>
      <c r="J23" s="164">
        <f t="shared" si="6"/>
        <v>60000.000000000007</v>
      </c>
      <c r="K23" s="164">
        <f t="shared" si="7"/>
        <v>3984915.2719016401</v>
      </c>
      <c r="L23" s="164">
        <f t="shared" si="10"/>
        <v>3984915.2719016401</v>
      </c>
      <c r="M23" s="164">
        <f t="shared" si="10"/>
        <v>0</v>
      </c>
      <c r="N23" s="164">
        <f t="shared" si="8"/>
        <v>32403.007139076995</v>
      </c>
      <c r="O23" s="164">
        <f t="shared" si="0"/>
        <v>27596.992860923012</v>
      </c>
      <c r="P23" s="164">
        <f t="shared" si="1"/>
        <v>32403.007139076995</v>
      </c>
      <c r="Q23" s="164">
        <f t="shared" si="2"/>
        <v>0</v>
      </c>
      <c r="R23" s="164">
        <f t="shared" si="11"/>
        <v>0</v>
      </c>
      <c r="S23" s="164">
        <f t="shared" si="3"/>
        <v>3957318.2790407171</v>
      </c>
      <c r="T23" s="164">
        <f t="shared" si="4"/>
        <v>0</v>
      </c>
    </row>
    <row r="24" spans="2:20" x14ac:dyDescent="0.2">
      <c r="B24" s="171"/>
      <c r="D24" s="171"/>
      <c r="F24" s="158">
        <v>13</v>
      </c>
      <c r="G24" s="249">
        <f t="shared" si="5"/>
        <v>44043</v>
      </c>
      <c r="H24" s="158">
        <f t="shared" si="9"/>
        <v>31</v>
      </c>
      <c r="I24" s="254">
        <f>VLOOKUP(G24,'Прогноз переменной ставки'!$B$5:$E$304,4,1)</f>
        <v>9.9000000000000005E-2</v>
      </c>
      <c r="J24" s="164">
        <f t="shared" si="6"/>
        <v>60000.000000000007</v>
      </c>
      <c r="K24" s="164">
        <f t="shared" si="7"/>
        <v>3957318.2790407171</v>
      </c>
      <c r="L24" s="164">
        <f>S23</f>
        <v>3957318.2790407171</v>
      </c>
      <c r="M24" s="164">
        <f>T23</f>
        <v>0</v>
      </c>
      <c r="N24" s="164">
        <f t="shared" si="8"/>
        <v>33251.224636210711</v>
      </c>
      <c r="O24" s="164">
        <f t="shared" si="0"/>
        <v>26748.775363789297</v>
      </c>
      <c r="P24" s="164">
        <f t="shared" si="1"/>
        <v>33251.224636210711</v>
      </c>
      <c r="Q24" s="164">
        <f t="shared" si="2"/>
        <v>0</v>
      </c>
      <c r="R24" s="164">
        <f t="shared" si="11"/>
        <v>0</v>
      </c>
      <c r="S24" s="164">
        <f t="shared" si="3"/>
        <v>3930569.5036769276</v>
      </c>
      <c r="T24" s="164">
        <f t="shared" si="4"/>
        <v>0</v>
      </c>
    </row>
    <row r="25" spans="2:20" x14ac:dyDescent="0.2">
      <c r="B25" s="171"/>
      <c r="D25" s="171"/>
      <c r="F25" s="158">
        <v>14</v>
      </c>
      <c r="G25" s="249">
        <f t="shared" si="5"/>
        <v>44074</v>
      </c>
      <c r="H25" s="158">
        <f t="shared" si="9"/>
        <v>31</v>
      </c>
      <c r="I25" s="254">
        <f>VLOOKUP(G25,'Прогноз переменной ставки'!$B$5:$E$304,4,1)</f>
        <v>9.9000000000000005E-2</v>
      </c>
      <c r="J25" s="164">
        <f t="shared" si="6"/>
        <v>60000.000000000007</v>
      </c>
      <c r="K25" s="164">
        <f t="shared" si="7"/>
        <v>3930569.5036769276</v>
      </c>
      <c r="L25" s="164">
        <f t="shared" si="10"/>
        <v>3930569.5036769276</v>
      </c>
      <c r="M25" s="164">
        <f t="shared" si="10"/>
        <v>0</v>
      </c>
      <c r="N25" s="164">
        <f t="shared" si="8"/>
        <v>33026.46901241476</v>
      </c>
      <c r="O25" s="164">
        <f t="shared" si="0"/>
        <v>26973.530987585247</v>
      </c>
      <c r="P25" s="164">
        <f t="shared" si="1"/>
        <v>33026.46901241476</v>
      </c>
      <c r="Q25" s="164">
        <f t="shared" si="2"/>
        <v>0</v>
      </c>
      <c r="R25" s="164">
        <f t="shared" si="11"/>
        <v>0</v>
      </c>
      <c r="S25" s="164">
        <f t="shared" si="3"/>
        <v>3903595.9726893422</v>
      </c>
      <c r="T25" s="164">
        <f t="shared" si="4"/>
        <v>0</v>
      </c>
    </row>
    <row r="26" spans="2:20" x14ac:dyDescent="0.2">
      <c r="B26" s="171"/>
      <c r="D26" s="171"/>
      <c r="F26" s="158">
        <v>15</v>
      </c>
      <c r="G26" s="249">
        <f t="shared" si="5"/>
        <v>44104</v>
      </c>
      <c r="H26" s="158">
        <f t="shared" si="9"/>
        <v>30</v>
      </c>
      <c r="I26" s="254">
        <f>VLOOKUP(G26,'Прогноз переменной ставки'!$B$5:$E$304,4,1)</f>
        <v>9.9000000000000005E-2</v>
      </c>
      <c r="J26" s="164">
        <f t="shared" si="6"/>
        <v>60000.000000000007</v>
      </c>
      <c r="K26" s="164">
        <f t="shared" si="7"/>
        <v>3903595.9726893422</v>
      </c>
      <c r="L26" s="164">
        <f t="shared" si="10"/>
        <v>3903595.9726893422</v>
      </c>
      <c r="M26" s="164">
        <f t="shared" si="10"/>
        <v>0</v>
      </c>
      <c r="N26" s="164">
        <f t="shared" si="8"/>
        <v>31741.766020225456</v>
      </c>
      <c r="O26" s="164">
        <f t="shared" si="0"/>
        <v>28258.233979774552</v>
      </c>
      <c r="P26" s="164">
        <f t="shared" si="1"/>
        <v>31741.766020225456</v>
      </c>
      <c r="Q26" s="164">
        <f t="shared" si="2"/>
        <v>0</v>
      </c>
      <c r="R26" s="164">
        <f t="shared" si="11"/>
        <v>0</v>
      </c>
      <c r="S26" s="164">
        <f t="shared" si="3"/>
        <v>3875337.7387095676</v>
      </c>
      <c r="T26" s="164">
        <f t="shared" si="4"/>
        <v>0</v>
      </c>
    </row>
    <row r="27" spans="2:20" x14ac:dyDescent="0.2">
      <c r="B27" s="171"/>
      <c r="D27" s="171"/>
      <c r="F27" s="158">
        <v>16</v>
      </c>
      <c r="G27" s="249">
        <f t="shared" si="5"/>
        <v>44135</v>
      </c>
      <c r="H27" s="158">
        <f t="shared" si="9"/>
        <v>31</v>
      </c>
      <c r="I27" s="254">
        <f>VLOOKUP(G27,'Прогноз переменной ставки'!$B$5:$E$304,4,1)</f>
        <v>9.9000000000000005E-2</v>
      </c>
      <c r="J27" s="164">
        <f t="shared" si="6"/>
        <v>60000.000000000007</v>
      </c>
      <c r="K27" s="164">
        <f t="shared" si="7"/>
        <v>3875337.7387095676</v>
      </c>
      <c r="L27" s="164">
        <f t="shared" si="10"/>
        <v>3875337.7387095676</v>
      </c>
      <c r="M27" s="164">
        <f t="shared" si="10"/>
        <v>0</v>
      </c>
      <c r="N27" s="164">
        <f t="shared" si="8"/>
        <v>32562.386091990862</v>
      </c>
      <c r="O27" s="164">
        <f t="shared" si="0"/>
        <v>27437.613908009145</v>
      </c>
      <c r="P27" s="164">
        <f t="shared" si="1"/>
        <v>32562.386091990862</v>
      </c>
      <c r="Q27" s="164">
        <f t="shared" si="2"/>
        <v>0</v>
      </c>
      <c r="R27" s="164">
        <f t="shared" si="11"/>
        <v>0</v>
      </c>
      <c r="S27" s="164">
        <f t="shared" si="3"/>
        <v>3847900.1248015584</v>
      </c>
      <c r="T27" s="164">
        <f t="shared" si="4"/>
        <v>0</v>
      </c>
    </row>
    <row r="28" spans="2:20" x14ac:dyDescent="0.2">
      <c r="B28" s="171"/>
      <c r="D28" s="171"/>
      <c r="F28" s="158">
        <v>17</v>
      </c>
      <c r="G28" s="249">
        <f t="shared" si="5"/>
        <v>44165</v>
      </c>
      <c r="H28" s="158">
        <f t="shared" si="9"/>
        <v>30</v>
      </c>
      <c r="I28" s="254">
        <f>VLOOKUP(G28,'Прогноз переменной ставки'!$B$5:$E$304,4,1)</f>
        <v>9.9000000000000005E-2</v>
      </c>
      <c r="J28" s="164">
        <f t="shared" si="6"/>
        <v>60000.000000000007</v>
      </c>
      <c r="K28" s="164">
        <f t="shared" si="7"/>
        <v>3847900.1248015584</v>
      </c>
      <c r="L28" s="164">
        <f t="shared" si="10"/>
        <v>3847900.1248015584</v>
      </c>
      <c r="M28" s="164">
        <f t="shared" si="10"/>
        <v>0</v>
      </c>
      <c r="N28" s="164">
        <f t="shared" si="8"/>
        <v>31288.879864916165</v>
      </c>
      <c r="O28" s="164">
        <f t="shared" si="0"/>
        <v>28711.120135083842</v>
      </c>
      <c r="P28" s="164">
        <f t="shared" si="1"/>
        <v>31288.879864916165</v>
      </c>
      <c r="Q28" s="164">
        <f t="shared" si="2"/>
        <v>0</v>
      </c>
      <c r="R28" s="164">
        <f t="shared" si="11"/>
        <v>0</v>
      </c>
      <c r="S28" s="164">
        <f t="shared" si="3"/>
        <v>3819189.0046664746</v>
      </c>
      <c r="T28" s="164">
        <f t="shared" si="4"/>
        <v>0</v>
      </c>
    </row>
    <row r="29" spans="2:20" x14ac:dyDescent="0.2">
      <c r="B29" s="171"/>
      <c r="D29" s="171"/>
      <c r="F29" s="158">
        <v>18</v>
      </c>
      <c r="G29" s="249">
        <f t="shared" si="5"/>
        <v>44196</v>
      </c>
      <c r="H29" s="158">
        <f t="shared" si="9"/>
        <v>31</v>
      </c>
      <c r="I29" s="254">
        <f>VLOOKUP(G29,'Прогноз переменной ставки'!$B$5:$E$304,4,1)</f>
        <v>9.9000000000000005E-2</v>
      </c>
      <c r="J29" s="164">
        <f t="shared" si="6"/>
        <v>60000.000000000007</v>
      </c>
      <c r="K29" s="164">
        <f t="shared" si="7"/>
        <v>3819189.0046664746</v>
      </c>
      <c r="L29" s="164">
        <f t="shared" si="10"/>
        <v>3819189.0046664746</v>
      </c>
      <c r="M29" s="164">
        <f t="shared" si="10"/>
        <v>0</v>
      </c>
      <c r="N29" s="164">
        <f t="shared" si="8"/>
        <v>32090.598371858756</v>
      </c>
      <c r="O29" s="164">
        <f t="shared" si="0"/>
        <v>27909.401628141251</v>
      </c>
      <c r="P29" s="164">
        <f t="shared" si="1"/>
        <v>32090.598371858756</v>
      </c>
      <c r="Q29" s="164">
        <f t="shared" si="2"/>
        <v>0</v>
      </c>
      <c r="R29" s="164">
        <f t="shared" si="11"/>
        <v>0</v>
      </c>
      <c r="S29" s="164">
        <f t="shared" si="3"/>
        <v>3791279.6030383334</v>
      </c>
      <c r="T29" s="164">
        <f t="shared" si="4"/>
        <v>0</v>
      </c>
    </row>
    <row r="30" spans="2:20" x14ac:dyDescent="0.2">
      <c r="B30" s="171"/>
      <c r="D30" s="171"/>
      <c r="F30" s="158">
        <v>19</v>
      </c>
      <c r="G30" s="249">
        <f t="shared" si="5"/>
        <v>44227</v>
      </c>
      <c r="H30" s="158">
        <f t="shared" si="9"/>
        <v>31</v>
      </c>
      <c r="I30" s="254">
        <f>VLOOKUP(G30,'Прогноз переменной ставки'!$B$5:$E$304,4,1)</f>
        <v>9.9000000000000005E-2</v>
      </c>
      <c r="J30" s="164">
        <f t="shared" si="6"/>
        <v>60000.000000000007</v>
      </c>
      <c r="K30" s="164">
        <f t="shared" si="7"/>
        <v>3791279.6030383334</v>
      </c>
      <c r="L30" s="164">
        <f t="shared" si="10"/>
        <v>3791279.6030383334</v>
      </c>
      <c r="M30" s="164">
        <f t="shared" si="10"/>
        <v>0</v>
      </c>
      <c r="N30" s="164">
        <f t="shared" si="8"/>
        <v>31856.090627582875</v>
      </c>
      <c r="O30" s="164">
        <f t="shared" si="0"/>
        <v>28143.909372417133</v>
      </c>
      <c r="P30" s="164">
        <f t="shared" si="1"/>
        <v>31856.090627582875</v>
      </c>
      <c r="Q30" s="164">
        <f t="shared" si="2"/>
        <v>0</v>
      </c>
      <c r="R30" s="164">
        <f t="shared" si="11"/>
        <v>0</v>
      </c>
      <c r="S30" s="164">
        <f t="shared" si="3"/>
        <v>3763135.6936659161</v>
      </c>
      <c r="T30" s="164">
        <f t="shared" si="4"/>
        <v>0</v>
      </c>
    </row>
    <row r="31" spans="2:20" x14ac:dyDescent="0.2">
      <c r="B31" s="171"/>
      <c r="D31" s="171"/>
      <c r="F31" s="158">
        <v>20</v>
      </c>
      <c r="G31" s="249">
        <f t="shared" si="5"/>
        <v>44255</v>
      </c>
      <c r="H31" s="158">
        <f t="shared" si="9"/>
        <v>28</v>
      </c>
      <c r="I31" s="254">
        <f>VLOOKUP(G31,'Прогноз переменной ставки'!$B$5:$E$304,4,1)</f>
        <v>9.9000000000000005E-2</v>
      </c>
      <c r="J31" s="164">
        <f t="shared" si="6"/>
        <v>60000.000000000007</v>
      </c>
      <c r="K31" s="164">
        <f t="shared" si="7"/>
        <v>3763135.6936659161</v>
      </c>
      <c r="L31" s="164">
        <f t="shared" si="10"/>
        <v>3763135.6936659161</v>
      </c>
      <c r="M31" s="164">
        <f t="shared" si="10"/>
        <v>0</v>
      </c>
      <c r="N31" s="164">
        <f t="shared" si="8"/>
        <v>28559.64994617911</v>
      </c>
      <c r="O31" s="164">
        <f t="shared" si="0"/>
        <v>31440.350053820897</v>
      </c>
      <c r="P31" s="164">
        <f t="shared" si="1"/>
        <v>28559.64994617911</v>
      </c>
      <c r="Q31" s="164">
        <f t="shared" si="2"/>
        <v>0</v>
      </c>
      <c r="R31" s="164">
        <f t="shared" si="11"/>
        <v>0</v>
      </c>
      <c r="S31" s="164">
        <f t="shared" si="3"/>
        <v>3731695.3436120953</v>
      </c>
      <c r="T31" s="164">
        <f t="shared" si="4"/>
        <v>0</v>
      </c>
    </row>
    <row r="32" spans="2:20" x14ac:dyDescent="0.2">
      <c r="B32" s="171"/>
      <c r="D32" s="171"/>
      <c r="F32" s="158">
        <v>21</v>
      </c>
      <c r="G32" s="249">
        <f t="shared" si="5"/>
        <v>44286</v>
      </c>
      <c r="H32" s="158">
        <f t="shared" si="9"/>
        <v>31</v>
      </c>
      <c r="I32" s="254">
        <f>VLOOKUP(G32,'Прогноз переменной ставки'!$B$5:$E$304,4,1)</f>
        <v>9.9000000000000005E-2</v>
      </c>
      <c r="J32" s="164">
        <f t="shared" si="6"/>
        <v>60000.000000000007</v>
      </c>
      <c r="K32" s="164">
        <f t="shared" si="7"/>
        <v>3731695.3436120953</v>
      </c>
      <c r="L32" s="164">
        <f t="shared" si="10"/>
        <v>3731695.3436120953</v>
      </c>
      <c r="M32" s="164">
        <f t="shared" si="10"/>
        <v>0</v>
      </c>
      <c r="N32" s="164">
        <f t="shared" si="8"/>
        <v>31355.43602887206</v>
      </c>
      <c r="O32" s="164">
        <f t="shared" si="0"/>
        <v>28644.563971127947</v>
      </c>
      <c r="P32" s="164">
        <f t="shared" si="1"/>
        <v>31355.43602887206</v>
      </c>
      <c r="Q32" s="164">
        <f t="shared" si="2"/>
        <v>0</v>
      </c>
      <c r="R32" s="164">
        <f t="shared" si="11"/>
        <v>0</v>
      </c>
      <c r="S32" s="164">
        <f t="shared" si="3"/>
        <v>3703050.7796409675</v>
      </c>
      <c r="T32" s="164">
        <f t="shared" si="4"/>
        <v>0</v>
      </c>
    </row>
    <row r="33" spans="2:20" x14ac:dyDescent="0.2">
      <c r="B33" s="171"/>
      <c r="D33" s="171"/>
      <c r="F33" s="158">
        <v>22</v>
      </c>
      <c r="G33" s="249">
        <f t="shared" si="5"/>
        <v>44316</v>
      </c>
      <c r="H33" s="158">
        <f t="shared" si="9"/>
        <v>30</v>
      </c>
      <c r="I33" s="254">
        <f>VLOOKUP(G33,'Прогноз переменной ставки'!$B$5:$E$304,4,1)</f>
        <v>9.9000000000000005E-2</v>
      </c>
      <c r="J33" s="164">
        <f t="shared" si="6"/>
        <v>60000.000000000007</v>
      </c>
      <c r="K33" s="164">
        <f t="shared" si="7"/>
        <v>3703050.7796409675</v>
      </c>
      <c r="L33" s="164">
        <f t="shared" si="10"/>
        <v>3703050.7796409675</v>
      </c>
      <c r="M33" s="164">
        <f t="shared" si="10"/>
        <v>0</v>
      </c>
      <c r="N33" s="164">
        <f t="shared" si="8"/>
        <v>30111.049460735587</v>
      </c>
      <c r="O33" s="164">
        <f t="shared" si="0"/>
        <v>29888.950539264421</v>
      </c>
      <c r="P33" s="164">
        <f t="shared" si="1"/>
        <v>30111.049460735587</v>
      </c>
      <c r="Q33" s="164">
        <f t="shared" si="2"/>
        <v>0</v>
      </c>
      <c r="R33" s="164">
        <f t="shared" si="11"/>
        <v>0</v>
      </c>
      <c r="S33" s="164">
        <f t="shared" si="3"/>
        <v>3673161.8291017031</v>
      </c>
      <c r="T33" s="164">
        <f t="shared" si="4"/>
        <v>0</v>
      </c>
    </row>
    <row r="34" spans="2:20" x14ac:dyDescent="0.2">
      <c r="B34" s="171"/>
      <c r="D34" s="171"/>
      <c r="F34" s="158">
        <v>23</v>
      </c>
      <c r="G34" s="249">
        <f t="shared" si="5"/>
        <v>44347</v>
      </c>
      <c r="H34" s="158">
        <f t="shared" si="9"/>
        <v>31</v>
      </c>
      <c r="I34" s="254">
        <f>VLOOKUP(G34,'Прогноз переменной ставки'!$B$5:$E$304,4,1)</f>
        <v>9.9000000000000005E-2</v>
      </c>
      <c r="J34" s="164">
        <f t="shared" si="6"/>
        <v>60000.000000000007</v>
      </c>
      <c r="K34" s="164">
        <f t="shared" si="7"/>
        <v>3673161.8291017031</v>
      </c>
      <c r="L34" s="164">
        <f t="shared" si="10"/>
        <v>3673161.8291017031</v>
      </c>
      <c r="M34" s="164">
        <f t="shared" si="10"/>
        <v>0</v>
      </c>
      <c r="N34" s="164">
        <f t="shared" si="8"/>
        <v>30863.610276558866</v>
      </c>
      <c r="O34" s="164">
        <f t="shared" si="0"/>
        <v>29136.389723441142</v>
      </c>
      <c r="P34" s="164">
        <f t="shared" si="1"/>
        <v>30863.610276558866</v>
      </c>
      <c r="Q34" s="164">
        <f t="shared" si="2"/>
        <v>0</v>
      </c>
      <c r="R34" s="164">
        <f t="shared" si="11"/>
        <v>0</v>
      </c>
      <c r="S34" s="164">
        <f t="shared" si="3"/>
        <v>3644025.439378262</v>
      </c>
      <c r="T34" s="164">
        <f t="shared" si="4"/>
        <v>0</v>
      </c>
    </row>
    <row r="35" spans="2:20" x14ac:dyDescent="0.2">
      <c r="B35" s="171"/>
      <c r="D35" s="171"/>
      <c r="F35" s="158">
        <v>24</v>
      </c>
      <c r="G35" s="249">
        <f t="shared" si="5"/>
        <v>44377</v>
      </c>
      <c r="H35" s="158">
        <f t="shared" si="9"/>
        <v>30</v>
      </c>
      <c r="I35" s="254">
        <f>VLOOKUP(G35,'Прогноз переменной ставки'!$B$5:$E$304,4,1)</f>
        <v>9.9000000000000005E-2</v>
      </c>
      <c r="J35" s="164">
        <f t="shared" si="6"/>
        <v>60000.000000000007</v>
      </c>
      <c r="K35" s="164">
        <f t="shared" si="7"/>
        <v>3644025.439378262</v>
      </c>
      <c r="L35" s="164">
        <f t="shared" si="10"/>
        <v>3644025.439378262</v>
      </c>
      <c r="M35" s="164">
        <f t="shared" si="10"/>
        <v>0</v>
      </c>
      <c r="N35" s="164">
        <f t="shared" si="8"/>
        <v>29631.089815067593</v>
      </c>
      <c r="O35" s="164">
        <f t="shared" si="0"/>
        <v>30368.910184932414</v>
      </c>
      <c r="P35" s="164">
        <f t="shared" si="1"/>
        <v>29631.089815067593</v>
      </c>
      <c r="Q35" s="164">
        <f t="shared" si="2"/>
        <v>0</v>
      </c>
      <c r="R35" s="164">
        <f t="shared" si="11"/>
        <v>0</v>
      </c>
      <c r="S35" s="164">
        <f t="shared" si="3"/>
        <v>3613656.5291933296</v>
      </c>
      <c r="T35" s="164">
        <f t="shared" si="4"/>
        <v>0</v>
      </c>
    </row>
    <row r="36" spans="2:20" x14ac:dyDescent="0.2">
      <c r="B36" s="171"/>
      <c r="D36" s="171"/>
      <c r="F36" s="158">
        <v>25</v>
      </c>
      <c r="G36" s="249">
        <f t="shared" si="5"/>
        <v>44408</v>
      </c>
      <c r="H36" s="158">
        <f t="shared" si="9"/>
        <v>31</v>
      </c>
      <c r="I36" s="254">
        <f>VLOOKUP(G36,'Прогноз переменной ставки'!$B$5:$E$304,4,1)</f>
        <v>9.9000000000000005E-2</v>
      </c>
      <c r="J36" s="164">
        <f t="shared" si="6"/>
        <v>60000.000000000007</v>
      </c>
      <c r="K36" s="164">
        <f t="shared" si="7"/>
        <v>3613656.5291933296</v>
      </c>
      <c r="L36" s="164">
        <f t="shared" si="10"/>
        <v>3613656.5291933296</v>
      </c>
      <c r="M36" s="164">
        <f t="shared" si="10"/>
        <v>0</v>
      </c>
      <c r="N36" s="164">
        <f t="shared" si="8"/>
        <v>30363.619132359559</v>
      </c>
      <c r="O36" s="164">
        <f t="shared" si="0"/>
        <v>29636.380867640448</v>
      </c>
      <c r="P36" s="164">
        <f t="shared" si="1"/>
        <v>30363.619132359559</v>
      </c>
      <c r="Q36" s="164">
        <f t="shared" si="2"/>
        <v>0</v>
      </c>
      <c r="R36" s="164">
        <f t="shared" si="11"/>
        <v>0</v>
      </c>
      <c r="S36" s="164">
        <f t="shared" si="3"/>
        <v>3584020.1483256891</v>
      </c>
      <c r="T36" s="164">
        <f t="shared" si="4"/>
        <v>0</v>
      </c>
    </row>
    <row r="37" spans="2:20" x14ac:dyDescent="0.2">
      <c r="B37" s="171"/>
      <c r="D37" s="171"/>
      <c r="F37" s="158">
        <v>26</v>
      </c>
      <c r="G37" s="249">
        <f t="shared" si="5"/>
        <v>44439</v>
      </c>
      <c r="H37" s="158">
        <f t="shared" si="9"/>
        <v>31</v>
      </c>
      <c r="I37" s="254">
        <f>VLOOKUP(G37,'Прогноз переменной ставки'!$B$5:$E$304,4,1)</f>
        <v>9.9000000000000005E-2</v>
      </c>
      <c r="J37" s="164">
        <f t="shared" si="6"/>
        <v>60000.000000000007</v>
      </c>
      <c r="K37" s="164">
        <f t="shared" si="7"/>
        <v>3584020.1483256891</v>
      </c>
      <c r="L37" s="164">
        <f t="shared" si="10"/>
        <v>3584020.1483256891</v>
      </c>
      <c r="M37" s="164">
        <f t="shared" si="10"/>
        <v>0</v>
      </c>
      <c r="N37" s="164">
        <f t="shared" si="8"/>
        <v>30114.600507081563</v>
      </c>
      <c r="O37" s="164">
        <f t="shared" si="0"/>
        <v>29885.399492918445</v>
      </c>
      <c r="P37" s="164">
        <f t="shared" si="1"/>
        <v>30114.600507081563</v>
      </c>
      <c r="Q37" s="164">
        <f t="shared" si="2"/>
        <v>0</v>
      </c>
      <c r="R37" s="164">
        <f t="shared" si="11"/>
        <v>0</v>
      </c>
      <c r="S37" s="164">
        <f t="shared" si="3"/>
        <v>3554134.7488327706</v>
      </c>
      <c r="T37" s="164">
        <f t="shared" si="4"/>
        <v>0</v>
      </c>
    </row>
    <row r="38" spans="2:20" x14ac:dyDescent="0.2">
      <c r="B38" s="171"/>
      <c r="D38" s="171"/>
      <c r="F38" s="158">
        <v>27</v>
      </c>
      <c r="G38" s="249">
        <f t="shared" si="5"/>
        <v>44469</v>
      </c>
      <c r="H38" s="158">
        <f t="shared" si="9"/>
        <v>30</v>
      </c>
      <c r="I38" s="254">
        <f>VLOOKUP(G38,'Прогноз переменной ставки'!$B$5:$E$304,4,1)</f>
        <v>9.9000000000000005E-2</v>
      </c>
      <c r="J38" s="164">
        <f t="shared" si="6"/>
        <v>60000.000000000007</v>
      </c>
      <c r="K38" s="164">
        <f t="shared" si="7"/>
        <v>3554134.7488327706</v>
      </c>
      <c r="L38" s="164">
        <f t="shared" si="10"/>
        <v>3554134.7488327706</v>
      </c>
      <c r="M38" s="164">
        <f t="shared" si="10"/>
        <v>0</v>
      </c>
      <c r="N38" s="164">
        <f t="shared" si="8"/>
        <v>28900.151140406102</v>
      </c>
      <c r="O38" s="164">
        <f t="shared" si="0"/>
        <v>31099.848859593905</v>
      </c>
      <c r="P38" s="164">
        <f t="shared" si="1"/>
        <v>28900.151140406102</v>
      </c>
      <c r="Q38" s="164">
        <f t="shared" si="2"/>
        <v>0</v>
      </c>
      <c r="R38" s="164">
        <f t="shared" si="11"/>
        <v>0</v>
      </c>
      <c r="S38" s="164">
        <f t="shared" si="3"/>
        <v>3523034.8999731769</v>
      </c>
      <c r="T38" s="164">
        <f t="shared" si="4"/>
        <v>0</v>
      </c>
    </row>
    <row r="39" spans="2:20" x14ac:dyDescent="0.2">
      <c r="B39" s="171"/>
      <c r="D39" s="171"/>
      <c r="F39" s="158">
        <v>28</v>
      </c>
      <c r="G39" s="249">
        <f t="shared" si="5"/>
        <v>44500</v>
      </c>
      <c r="H39" s="158">
        <f t="shared" si="9"/>
        <v>31</v>
      </c>
      <c r="I39" s="254">
        <f>VLOOKUP(G39,'Прогноз переменной ставки'!$B$5:$E$304,4,1)</f>
        <v>9.9000000000000005E-2</v>
      </c>
      <c r="J39" s="164">
        <f t="shared" si="6"/>
        <v>60000.000000000007</v>
      </c>
      <c r="K39" s="164">
        <f t="shared" si="7"/>
        <v>3523034.8999731769</v>
      </c>
      <c r="L39" s="164">
        <f t="shared" si="10"/>
        <v>3523034.8999731769</v>
      </c>
      <c r="M39" s="164">
        <f t="shared" si="10"/>
        <v>0</v>
      </c>
      <c r="N39" s="164">
        <f t="shared" si="8"/>
        <v>29602.174149261275</v>
      </c>
      <c r="O39" s="164">
        <f t="shared" si="0"/>
        <v>30397.825850738733</v>
      </c>
      <c r="P39" s="164">
        <f t="shared" si="1"/>
        <v>29602.174149261275</v>
      </c>
      <c r="Q39" s="164">
        <f t="shared" si="2"/>
        <v>0</v>
      </c>
      <c r="R39" s="164">
        <f t="shared" si="11"/>
        <v>0</v>
      </c>
      <c r="S39" s="164">
        <f t="shared" si="3"/>
        <v>3492637.0741224382</v>
      </c>
      <c r="T39" s="164">
        <f t="shared" si="4"/>
        <v>0</v>
      </c>
    </row>
    <row r="40" spans="2:20" x14ac:dyDescent="0.2">
      <c r="B40" s="171"/>
      <c r="D40" s="171"/>
      <c r="F40" s="158">
        <v>29</v>
      </c>
      <c r="G40" s="249">
        <f t="shared" si="5"/>
        <v>44530</v>
      </c>
      <c r="H40" s="158">
        <f t="shared" si="9"/>
        <v>30</v>
      </c>
      <c r="I40" s="254">
        <f>VLOOKUP(G40,'Прогноз переменной ставки'!$B$5:$E$304,4,1)</f>
        <v>9.9000000000000005E-2</v>
      </c>
      <c r="J40" s="164">
        <f t="shared" si="6"/>
        <v>60000.000000000007</v>
      </c>
      <c r="K40" s="164">
        <f t="shared" si="7"/>
        <v>3492637.0741224382</v>
      </c>
      <c r="L40" s="164">
        <f t="shared" si="10"/>
        <v>3492637.0741224382</v>
      </c>
      <c r="M40" s="164">
        <f t="shared" si="10"/>
        <v>0</v>
      </c>
      <c r="N40" s="164">
        <f t="shared" si="8"/>
        <v>28400.087912782044</v>
      </c>
      <c r="O40" s="164">
        <f t="shared" si="0"/>
        <v>31599.912087217963</v>
      </c>
      <c r="P40" s="164">
        <f t="shared" si="1"/>
        <v>28400.087912782044</v>
      </c>
      <c r="Q40" s="164">
        <f t="shared" si="2"/>
        <v>0</v>
      </c>
      <c r="R40" s="164">
        <f t="shared" si="11"/>
        <v>0</v>
      </c>
      <c r="S40" s="164">
        <f t="shared" si="3"/>
        <v>3461037.1620352203</v>
      </c>
      <c r="T40" s="164">
        <f t="shared" si="4"/>
        <v>0</v>
      </c>
    </row>
    <row r="41" spans="2:20" x14ac:dyDescent="0.2">
      <c r="B41" s="171"/>
      <c r="D41" s="171"/>
      <c r="F41" s="158">
        <v>30</v>
      </c>
      <c r="G41" s="249">
        <f t="shared" si="5"/>
        <v>44561</v>
      </c>
      <c r="H41" s="158">
        <f t="shared" si="9"/>
        <v>31</v>
      </c>
      <c r="I41" s="254">
        <f>VLOOKUP(G41,'Прогноз переменной ставки'!$B$5:$E$304,4,1)</f>
        <v>9.9000000000000005E-2</v>
      </c>
      <c r="J41" s="164">
        <f t="shared" si="6"/>
        <v>60000.000000000007</v>
      </c>
      <c r="K41" s="164">
        <f t="shared" si="7"/>
        <v>3461037.1620352203</v>
      </c>
      <c r="L41" s="164">
        <f t="shared" si="10"/>
        <v>3461037.1620352203</v>
      </c>
      <c r="M41" s="164">
        <f t="shared" si="10"/>
        <v>0</v>
      </c>
      <c r="N41" s="164">
        <f t="shared" si="8"/>
        <v>29081.240384082386</v>
      </c>
      <c r="O41" s="164">
        <f t="shared" si="0"/>
        <v>30918.759615917621</v>
      </c>
      <c r="P41" s="164">
        <f t="shared" si="1"/>
        <v>29081.240384082386</v>
      </c>
      <c r="Q41" s="164">
        <f t="shared" si="2"/>
        <v>0</v>
      </c>
      <c r="R41" s="164">
        <f t="shared" si="11"/>
        <v>0</v>
      </c>
      <c r="S41" s="164">
        <f t="shared" si="3"/>
        <v>3430118.4024193026</v>
      </c>
      <c r="T41" s="164">
        <f t="shared" si="4"/>
        <v>0</v>
      </c>
    </row>
    <row r="42" spans="2:20" x14ac:dyDescent="0.2">
      <c r="B42" s="171"/>
      <c r="D42" s="171"/>
      <c r="F42" s="158">
        <v>31</v>
      </c>
      <c r="G42" s="249">
        <f t="shared" si="5"/>
        <v>44592</v>
      </c>
      <c r="H42" s="158">
        <f t="shared" si="9"/>
        <v>31</v>
      </c>
      <c r="I42" s="254">
        <f>VLOOKUP(G42,'Прогноз переменной ставки'!$B$5:$E$304,4,1)</f>
        <v>9.9000000000000005E-2</v>
      </c>
      <c r="J42" s="164">
        <f t="shared" si="6"/>
        <v>60000.000000000007</v>
      </c>
      <c r="K42" s="164">
        <f t="shared" si="7"/>
        <v>3430118.4024193026</v>
      </c>
      <c r="L42" s="164">
        <f t="shared" si="10"/>
        <v>3430118.4024193026</v>
      </c>
      <c r="M42" s="164">
        <f t="shared" si="10"/>
        <v>0</v>
      </c>
      <c r="N42" s="164">
        <f t="shared" si="8"/>
        <v>28821.446617453359</v>
      </c>
      <c r="O42" s="164">
        <f t="shared" si="0"/>
        <v>31178.553382546648</v>
      </c>
      <c r="P42" s="164">
        <f t="shared" si="1"/>
        <v>28821.446617453359</v>
      </c>
      <c r="Q42" s="164">
        <f t="shared" si="2"/>
        <v>0</v>
      </c>
      <c r="R42" s="164">
        <f t="shared" si="11"/>
        <v>0</v>
      </c>
      <c r="S42" s="164">
        <f t="shared" si="3"/>
        <v>3398939.849036756</v>
      </c>
      <c r="T42" s="164">
        <f t="shared" si="4"/>
        <v>0</v>
      </c>
    </row>
    <row r="43" spans="2:20" x14ac:dyDescent="0.2">
      <c r="B43" s="171"/>
      <c r="D43" s="171"/>
      <c r="F43" s="158">
        <v>32</v>
      </c>
      <c r="G43" s="249">
        <f t="shared" si="5"/>
        <v>44620</v>
      </c>
      <c r="H43" s="158">
        <f t="shared" si="9"/>
        <v>28</v>
      </c>
      <c r="I43" s="254">
        <f>VLOOKUP(G43,'Прогноз переменной ставки'!$B$5:$E$304,4,1)</f>
        <v>9.9000000000000005E-2</v>
      </c>
      <c r="J43" s="164">
        <f t="shared" si="6"/>
        <v>60000.000000000007</v>
      </c>
      <c r="K43" s="164">
        <f t="shared" si="7"/>
        <v>3398939.849036756</v>
      </c>
      <c r="L43" s="164">
        <f t="shared" si="10"/>
        <v>3398939.849036756</v>
      </c>
      <c r="M43" s="164">
        <f t="shared" si="10"/>
        <v>0</v>
      </c>
      <c r="N43" s="164">
        <f t="shared" si="8"/>
        <v>25795.65027112906</v>
      </c>
      <c r="O43" s="164">
        <f t="shared" si="0"/>
        <v>34204.349728870948</v>
      </c>
      <c r="P43" s="164">
        <f t="shared" si="1"/>
        <v>25795.65027112906</v>
      </c>
      <c r="Q43" s="164">
        <f t="shared" si="2"/>
        <v>0</v>
      </c>
      <c r="R43" s="164">
        <f t="shared" si="11"/>
        <v>0</v>
      </c>
      <c r="S43" s="164">
        <f t="shared" si="3"/>
        <v>3364735.4993078848</v>
      </c>
      <c r="T43" s="164">
        <f t="shared" si="4"/>
        <v>0</v>
      </c>
    </row>
    <row r="44" spans="2:20" x14ac:dyDescent="0.2">
      <c r="B44" s="171"/>
      <c r="D44" s="171"/>
      <c r="F44" s="158">
        <v>33</v>
      </c>
      <c r="G44" s="249">
        <f t="shared" si="5"/>
        <v>44651</v>
      </c>
      <c r="H44" s="158">
        <f t="shared" si="9"/>
        <v>31</v>
      </c>
      <c r="I44" s="254">
        <f>VLOOKUP(G44,'Прогноз переменной ставки'!$B$5:$E$304,4,1)</f>
        <v>9.9000000000000005E-2</v>
      </c>
      <c r="J44" s="164">
        <f t="shared" si="6"/>
        <v>60000.000000000007</v>
      </c>
      <c r="K44" s="164">
        <f t="shared" si="7"/>
        <v>3364735.4993078848</v>
      </c>
      <c r="L44" s="164">
        <f t="shared" si="10"/>
        <v>3364735.4993078848</v>
      </c>
      <c r="M44" s="164">
        <f t="shared" si="10"/>
        <v>0</v>
      </c>
      <c r="N44" s="164">
        <f t="shared" si="8"/>
        <v>28272.069123547979</v>
      </c>
      <c r="O44" s="164">
        <f t="shared" si="0"/>
        <v>31727.930876452028</v>
      </c>
      <c r="P44" s="164">
        <f t="shared" si="1"/>
        <v>28272.069123547979</v>
      </c>
      <c r="Q44" s="164">
        <f t="shared" si="2"/>
        <v>0</v>
      </c>
      <c r="R44" s="164">
        <f t="shared" si="11"/>
        <v>0</v>
      </c>
      <c r="S44" s="164">
        <f t="shared" si="3"/>
        <v>3333007.5684314328</v>
      </c>
      <c r="T44" s="164">
        <f t="shared" si="4"/>
        <v>0</v>
      </c>
    </row>
    <row r="45" spans="2:20" x14ac:dyDescent="0.2">
      <c r="B45" s="171"/>
      <c r="D45" s="171"/>
      <c r="F45" s="158">
        <v>34</v>
      </c>
      <c r="G45" s="249">
        <f t="shared" si="5"/>
        <v>44681</v>
      </c>
      <c r="H45" s="158">
        <f t="shared" si="9"/>
        <v>30</v>
      </c>
      <c r="I45" s="254">
        <f>VLOOKUP(G45,'Прогноз переменной ставки'!$B$5:$E$304,4,1)</f>
        <v>9.9000000000000005E-2</v>
      </c>
      <c r="J45" s="164">
        <f t="shared" si="6"/>
        <v>60000.000000000007</v>
      </c>
      <c r="K45" s="164">
        <f t="shared" si="7"/>
        <v>3333007.5684314328</v>
      </c>
      <c r="L45" s="164">
        <f t="shared" si="10"/>
        <v>3333007.5684314328</v>
      </c>
      <c r="M45" s="164">
        <f t="shared" si="10"/>
        <v>0</v>
      </c>
      <c r="N45" s="164">
        <f t="shared" si="8"/>
        <v>27102.073862399335</v>
      </c>
      <c r="O45" s="164">
        <f t="shared" si="0"/>
        <v>32897.926137600676</v>
      </c>
      <c r="P45" s="164">
        <f t="shared" si="1"/>
        <v>27102.073862399335</v>
      </c>
      <c r="Q45" s="164">
        <f t="shared" si="2"/>
        <v>0</v>
      </c>
      <c r="R45" s="164">
        <f t="shared" si="11"/>
        <v>0</v>
      </c>
      <c r="S45" s="164">
        <f t="shared" si="3"/>
        <v>3300109.6422938323</v>
      </c>
      <c r="T45" s="164">
        <f t="shared" si="4"/>
        <v>0</v>
      </c>
    </row>
    <row r="46" spans="2:20" x14ac:dyDescent="0.2">
      <c r="B46" s="171"/>
      <c r="D46" s="171"/>
      <c r="F46" s="158">
        <v>35</v>
      </c>
      <c r="G46" s="249">
        <f t="shared" si="5"/>
        <v>44712</v>
      </c>
      <c r="H46" s="158">
        <f t="shared" si="9"/>
        <v>31</v>
      </c>
      <c r="I46" s="254">
        <f>VLOOKUP(G46,'Прогноз переменной ставки'!$B$5:$E$304,4,1)</f>
        <v>9.9000000000000005E-2</v>
      </c>
      <c r="J46" s="164">
        <f t="shared" si="6"/>
        <v>60000.000000000007</v>
      </c>
      <c r="K46" s="164">
        <f t="shared" si="7"/>
        <v>3300109.6422938323</v>
      </c>
      <c r="L46" s="164">
        <f t="shared" si="10"/>
        <v>3300109.6422938323</v>
      </c>
      <c r="M46" s="164">
        <f t="shared" si="10"/>
        <v>0</v>
      </c>
      <c r="N46" s="164">
        <f t="shared" si="8"/>
        <v>27729.052682271791</v>
      </c>
      <c r="O46" s="164">
        <f t="shared" si="0"/>
        <v>32270.947317728216</v>
      </c>
      <c r="P46" s="164">
        <f t="shared" si="1"/>
        <v>27729.052682271791</v>
      </c>
      <c r="Q46" s="164">
        <f t="shared" si="2"/>
        <v>0</v>
      </c>
      <c r="R46" s="164">
        <f t="shared" si="11"/>
        <v>0</v>
      </c>
      <c r="S46" s="164">
        <f t="shared" si="3"/>
        <v>3267838.694976104</v>
      </c>
      <c r="T46" s="164">
        <f t="shared" si="4"/>
        <v>0</v>
      </c>
    </row>
    <row r="47" spans="2:20" x14ac:dyDescent="0.2">
      <c r="B47" s="171"/>
      <c r="D47" s="171"/>
      <c r="F47" s="158">
        <v>36</v>
      </c>
      <c r="G47" s="249">
        <f t="shared" si="5"/>
        <v>44742</v>
      </c>
      <c r="H47" s="158">
        <f t="shared" si="9"/>
        <v>30</v>
      </c>
      <c r="I47" s="254">
        <f>VLOOKUP(G47,'Прогноз переменной ставки'!$B$5:$E$304,4,1)</f>
        <v>9.9000000000000005E-2</v>
      </c>
      <c r="J47" s="164">
        <f t="shared" si="6"/>
        <v>60000.000000000007</v>
      </c>
      <c r="K47" s="164">
        <f t="shared" si="7"/>
        <v>3267838.694976104</v>
      </c>
      <c r="L47" s="164">
        <f t="shared" si="10"/>
        <v>3267838.694976104</v>
      </c>
      <c r="M47" s="164">
        <f t="shared" si="10"/>
        <v>0</v>
      </c>
      <c r="N47" s="164">
        <f t="shared" si="8"/>
        <v>26572.158587485363</v>
      </c>
      <c r="O47" s="164">
        <f t="shared" si="0"/>
        <v>33427.841412514645</v>
      </c>
      <c r="P47" s="164">
        <f t="shared" si="1"/>
        <v>26572.158587485363</v>
      </c>
      <c r="Q47" s="164">
        <f t="shared" si="2"/>
        <v>0</v>
      </c>
      <c r="R47" s="164">
        <f t="shared" si="11"/>
        <v>0</v>
      </c>
      <c r="S47" s="164">
        <f t="shared" si="3"/>
        <v>3234410.8535635895</v>
      </c>
      <c r="T47" s="164">
        <f t="shared" si="4"/>
        <v>0</v>
      </c>
    </row>
    <row r="48" spans="2:20" x14ac:dyDescent="0.2">
      <c r="B48" s="171"/>
      <c r="D48" s="171"/>
      <c r="F48" s="158">
        <v>37</v>
      </c>
      <c r="G48" s="249">
        <f t="shared" si="5"/>
        <v>44773</v>
      </c>
      <c r="H48" s="158">
        <f t="shared" si="9"/>
        <v>31</v>
      </c>
      <c r="I48" s="254">
        <f>VLOOKUP(G48,'Прогноз переменной ставки'!$B$5:$E$304,4,1)</f>
        <v>9.9000000000000005E-2</v>
      </c>
      <c r="J48" s="164">
        <f t="shared" si="6"/>
        <v>60000.000000000007</v>
      </c>
      <c r="K48" s="164">
        <f t="shared" si="7"/>
        <v>3234410.8535635895</v>
      </c>
      <c r="L48" s="164">
        <f t="shared" si="10"/>
        <v>3234410.8535635895</v>
      </c>
      <c r="M48" s="164">
        <f t="shared" si="10"/>
        <v>0</v>
      </c>
      <c r="N48" s="164">
        <f t="shared" si="8"/>
        <v>27177.020970805359</v>
      </c>
      <c r="O48" s="164">
        <f t="shared" si="0"/>
        <v>32822.979029194648</v>
      </c>
      <c r="P48" s="164">
        <f t="shared" si="1"/>
        <v>27177.020970805359</v>
      </c>
      <c r="Q48" s="164">
        <f t="shared" si="2"/>
        <v>0</v>
      </c>
      <c r="R48" s="164">
        <f t="shared" si="11"/>
        <v>0</v>
      </c>
      <c r="S48" s="164">
        <f t="shared" si="3"/>
        <v>3201587.8745343951</v>
      </c>
      <c r="T48" s="164">
        <f t="shared" si="4"/>
        <v>0</v>
      </c>
    </row>
    <row r="49" spans="2:20" x14ac:dyDescent="0.2">
      <c r="B49" s="171"/>
      <c r="D49" s="171"/>
      <c r="F49" s="158">
        <v>38</v>
      </c>
      <c r="G49" s="249">
        <f t="shared" si="5"/>
        <v>44804</v>
      </c>
      <c r="H49" s="158">
        <f t="shared" si="9"/>
        <v>31</v>
      </c>
      <c r="I49" s="254">
        <f>VLOOKUP(G49,'Прогноз переменной ставки'!$B$5:$E$304,4,1)</f>
        <v>9.9000000000000005E-2</v>
      </c>
      <c r="J49" s="164">
        <f t="shared" si="6"/>
        <v>60000.000000000007</v>
      </c>
      <c r="K49" s="164">
        <f t="shared" si="7"/>
        <v>3201587.8745343951</v>
      </c>
      <c r="L49" s="164">
        <f t="shared" si="10"/>
        <v>3201587.8745343951</v>
      </c>
      <c r="M49" s="164">
        <f t="shared" si="10"/>
        <v>0</v>
      </c>
      <c r="N49" s="164">
        <f t="shared" si="8"/>
        <v>26901.227068983051</v>
      </c>
      <c r="O49" s="164">
        <f t="shared" si="0"/>
        <v>33098.772931016952</v>
      </c>
      <c r="P49" s="164">
        <f t="shared" si="1"/>
        <v>26901.227068983051</v>
      </c>
      <c r="Q49" s="164">
        <f t="shared" si="2"/>
        <v>0</v>
      </c>
      <c r="R49" s="164">
        <f t="shared" si="11"/>
        <v>0</v>
      </c>
      <c r="S49" s="164">
        <f t="shared" si="3"/>
        <v>3168489.1016033781</v>
      </c>
      <c r="T49" s="164">
        <f t="shared" si="4"/>
        <v>0</v>
      </c>
    </row>
    <row r="50" spans="2:20" x14ac:dyDescent="0.2">
      <c r="B50" s="171"/>
      <c r="D50" s="171"/>
      <c r="F50" s="158">
        <v>39</v>
      </c>
      <c r="G50" s="249">
        <f t="shared" si="5"/>
        <v>44834</v>
      </c>
      <c r="H50" s="158">
        <f t="shared" si="9"/>
        <v>30</v>
      </c>
      <c r="I50" s="254">
        <f>VLOOKUP(G50,'Прогноз переменной ставки'!$B$5:$E$304,4,1)</f>
        <v>9.9000000000000005E-2</v>
      </c>
      <c r="J50" s="164">
        <f t="shared" si="6"/>
        <v>60000.000000000007</v>
      </c>
      <c r="K50" s="164">
        <f t="shared" si="7"/>
        <v>3168489.1016033781</v>
      </c>
      <c r="L50" s="164">
        <f t="shared" si="10"/>
        <v>3168489.1016033781</v>
      </c>
      <c r="M50" s="164">
        <f t="shared" si="10"/>
        <v>0</v>
      </c>
      <c r="N50" s="164">
        <f t="shared" si="8"/>
        <v>25764.305631107556</v>
      </c>
      <c r="O50" s="164">
        <f t="shared" si="0"/>
        <v>34235.694368892451</v>
      </c>
      <c r="P50" s="164">
        <f t="shared" si="1"/>
        <v>25764.305631107556</v>
      </c>
      <c r="Q50" s="164">
        <f t="shared" si="2"/>
        <v>0</v>
      </c>
      <c r="R50" s="164">
        <f t="shared" si="11"/>
        <v>0</v>
      </c>
      <c r="S50" s="164">
        <f t="shared" si="3"/>
        <v>3134253.4072344857</v>
      </c>
      <c r="T50" s="164">
        <f t="shared" si="4"/>
        <v>0</v>
      </c>
    </row>
    <row r="51" spans="2:20" x14ac:dyDescent="0.2">
      <c r="B51" s="171"/>
      <c r="D51" s="171"/>
      <c r="F51" s="158">
        <v>40</v>
      </c>
      <c r="G51" s="249">
        <f t="shared" si="5"/>
        <v>44865</v>
      </c>
      <c r="H51" s="158">
        <f t="shared" si="9"/>
        <v>31</v>
      </c>
      <c r="I51" s="254">
        <f>VLOOKUP(G51,'Прогноз переменной ставки'!$B$5:$E$304,4,1)</f>
        <v>9.9000000000000005E-2</v>
      </c>
      <c r="J51" s="164">
        <f t="shared" si="6"/>
        <v>60000.000000000007</v>
      </c>
      <c r="K51" s="164">
        <f t="shared" si="7"/>
        <v>3134253.4072344857</v>
      </c>
      <c r="L51" s="164">
        <f t="shared" si="10"/>
        <v>3134253.4072344857</v>
      </c>
      <c r="M51" s="164">
        <f t="shared" si="10"/>
        <v>0</v>
      </c>
      <c r="N51" s="164">
        <f t="shared" si="8"/>
        <v>26335.451627111943</v>
      </c>
      <c r="O51" s="164">
        <f t="shared" si="0"/>
        <v>33664.548372888064</v>
      </c>
      <c r="P51" s="164">
        <f t="shared" si="1"/>
        <v>26335.451627111943</v>
      </c>
      <c r="Q51" s="164">
        <f t="shared" si="2"/>
        <v>0</v>
      </c>
      <c r="R51" s="164">
        <f t="shared" si="11"/>
        <v>0</v>
      </c>
      <c r="S51" s="164">
        <f t="shared" si="3"/>
        <v>3100588.8588615977</v>
      </c>
      <c r="T51" s="164">
        <f t="shared" si="4"/>
        <v>0</v>
      </c>
    </row>
    <row r="52" spans="2:20" x14ac:dyDescent="0.2">
      <c r="B52" s="171"/>
      <c r="D52" s="171"/>
      <c r="F52" s="158">
        <v>41</v>
      </c>
      <c r="G52" s="249">
        <f t="shared" si="5"/>
        <v>44895</v>
      </c>
      <c r="H52" s="158">
        <f t="shared" si="9"/>
        <v>30</v>
      </c>
      <c r="I52" s="254">
        <f>VLOOKUP(G52,'Прогноз переменной ставки'!$B$5:$E$304,4,1)</f>
        <v>9.9000000000000005E-2</v>
      </c>
      <c r="J52" s="164">
        <f t="shared" si="6"/>
        <v>60000.000000000007</v>
      </c>
      <c r="K52" s="164">
        <f t="shared" si="7"/>
        <v>3100588.8588615977</v>
      </c>
      <c r="L52" s="164">
        <f t="shared" si="10"/>
        <v>3100588.8588615977</v>
      </c>
      <c r="M52" s="164">
        <f t="shared" si="10"/>
        <v>0</v>
      </c>
      <c r="N52" s="164">
        <f t="shared" si="8"/>
        <v>25212.18045398753</v>
      </c>
      <c r="O52" s="164">
        <f t="shared" si="0"/>
        <v>34787.819546012477</v>
      </c>
      <c r="P52" s="164">
        <f t="shared" si="1"/>
        <v>25212.18045398753</v>
      </c>
      <c r="Q52" s="164">
        <f t="shared" si="2"/>
        <v>0</v>
      </c>
      <c r="R52" s="164">
        <f t="shared" si="11"/>
        <v>0</v>
      </c>
      <c r="S52" s="164">
        <f t="shared" si="3"/>
        <v>3065801.039315585</v>
      </c>
      <c r="T52" s="164">
        <f t="shared" si="4"/>
        <v>0</v>
      </c>
    </row>
    <row r="53" spans="2:20" x14ac:dyDescent="0.2">
      <c r="B53" s="171"/>
      <c r="D53" s="171"/>
      <c r="F53" s="158">
        <v>42</v>
      </c>
      <c r="G53" s="249">
        <f t="shared" si="5"/>
        <v>44926</v>
      </c>
      <c r="H53" s="158">
        <f t="shared" si="9"/>
        <v>31</v>
      </c>
      <c r="I53" s="254">
        <f>VLOOKUP(G53,'Прогноз переменной ставки'!$B$5:$E$304,4,1)</f>
        <v>9.9000000000000005E-2</v>
      </c>
      <c r="J53" s="164">
        <f t="shared" si="6"/>
        <v>60000.000000000007</v>
      </c>
      <c r="K53" s="164">
        <f t="shared" si="7"/>
        <v>3065801.039315585</v>
      </c>
      <c r="L53" s="164">
        <f t="shared" si="10"/>
        <v>3065801.039315585</v>
      </c>
      <c r="M53" s="164">
        <f t="shared" si="10"/>
        <v>0</v>
      </c>
      <c r="N53" s="164">
        <f t="shared" si="8"/>
        <v>25760.283065460728</v>
      </c>
      <c r="O53" s="164">
        <f t="shared" si="0"/>
        <v>34239.716934539276</v>
      </c>
      <c r="P53" s="164">
        <f t="shared" si="1"/>
        <v>25760.283065460728</v>
      </c>
      <c r="Q53" s="164">
        <f t="shared" si="2"/>
        <v>0</v>
      </c>
      <c r="R53" s="164">
        <f t="shared" si="11"/>
        <v>0</v>
      </c>
      <c r="S53" s="164">
        <f t="shared" si="3"/>
        <v>3031561.3223810457</v>
      </c>
      <c r="T53" s="164">
        <f t="shared" si="4"/>
        <v>0</v>
      </c>
    </row>
    <row r="54" spans="2:20" x14ac:dyDescent="0.2">
      <c r="B54" s="171"/>
      <c r="D54" s="171"/>
      <c r="F54" s="158">
        <v>43</v>
      </c>
      <c r="G54" s="249">
        <f t="shared" si="5"/>
        <v>44957</v>
      </c>
      <c r="H54" s="158">
        <f t="shared" si="9"/>
        <v>31</v>
      </c>
      <c r="I54" s="254">
        <f>VLOOKUP(G54,'Прогноз переменной ставки'!$B$5:$E$304,4,1)</f>
        <v>9.9000000000000005E-2</v>
      </c>
      <c r="J54" s="164">
        <f t="shared" si="6"/>
        <v>60000.000000000007</v>
      </c>
      <c r="K54" s="164">
        <f t="shared" si="7"/>
        <v>3031561.3223810457</v>
      </c>
      <c r="L54" s="164">
        <f t="shared" si="10"/>
        <v>3031561.3223810457</v>
      </c>
      <c r="M54" s="164">
        <f t="shared" si="10"/>
        <v>0</v>
      </c>
      <c r="N54" s="164">
        <f t="shared" si="8"/>
        <v>25472.585074298229</v>
      </c>
      <c r="O54" s="164">
        <f t="shared" si="0"/>
        <v>34527.414925701778</v>
      </c>
      <c r="P54" s="164">
        <f t="shared" si="1"/>
        <v>25472.585074298229</v>
      </c>
      <c r="Q54" s="164">
        <f t="shared" si="2"/>
        <v>0</v>
      </c>
      <c r="R54" s="164">
        <f t="shared" si="11"/>
        <v>0</v>
      </c>
      <c r="S54" s="164">
        <f t="shared" si="3"/>
        <v>2997033.9074553438</v>
      </c>
      <c r="T54" s="164">
        <f t="shared" si="4"/>
        <v>0</v>
      </c>
    </row>
    <row r="55" spans="2:20" x14ac:dyDescent="0.2">
      <c r="B55" s="171"/>
      <c r="D55" s="171"/>
      <c r="F55" s="158">
        <v>44</v>
      </c>
      <c r="G55" s="249">
        <f t="shared" si="5"/>
        <v>44985</v>
      </c>
      <c r="H55" s="158">
        <f t="shared" si="9"/>
        <v>28</v>
      </c>
      <c r="I55" s="254">
        <f>VLOOKUP(G55,'Прогноз переменной ставки'!$B$5:$E$304,4,1)</f>
        <v>9.9000000000000005E-2</v>
      </c>
      <c r="J55" s="164">
        <f t="shared" si="6"/>
        <v>60000.000000000007</v>
      </c>
      <c r="K55" s="164">
        <f t="shared" si="7"/>
        <v>2997033.9074553438</v>
      </c>
      <c r="L55" s="164">
        <f t="shared" si="10"/>
        <v>2997033.9074553438</v>
      </c>
      <c r="M55" s="164">
        <f t="shared" si="10"/>
        <v>0</v>
      </c>
      <c r="N55" s="164">
        <f t="shared" si="8"/>
        <v>22745.456513254521</v>
      </c>
      <c r="O55" s="164">
        <f t="shared" si="0"/>
        <v>37254.54348674549</v>
      </c>
      <c r="P55" s="164">
        <f t="shared" si="1"/>
        <v>22745.456513254521</v>
      </c>
      <c r="Q55" s="164">
        <f t="shared" si="2"/>
        <v>0</v>
      </c>
      <c r="R55" s="164">
        <f t="shared" si="11"/>
        <v>0</v>
      </c>
      <c r="S55" s="164">
        <f t="shared" si="3"/>
        <v>2959779.3639685982</v>
      </c>
      <c r="T55" s="164">
        <f t="shared" si="4"/>
        <v>0</v>
      </c>
    </row>
    <row r="56" spans="2:20" x14ac:dyDescent="0.2">
      <c r="B56" s="171"/>
      <c r="D56" s="171"/>
      <c r="F56" s="158">
        <v>45</v>
      </c>
      <c r="G56" s="249">
        <f t="shared" si="5"/>
        <v>45016</v>
      </c>
      <c r="H56" s="158">
        <f t="shared" si="9"/>
        <v>31</v>
      </c>
      <c r="I56" s="254">
        <f>VLOOKUP(G56,'Прогноз переменной ставки'!$B$5:$E$304,4,1)</f>
        <v>9.9000000000000005E-2</v>
      </c>
      <c r="J56" s="164">
        <f t="shared" si="6"/>
        <v>60000.000000000007</v>
      </c>
      <c r="K56" s="164">
        <f t="shared" si="7"/>
        <v>2959779.3639685982</v>
      </c>
      <c r="L56" s="164">
        <f t="shared" si="10"/>
        <v>2959779.3639685982</v>
      </c>
      <c r="M56" s="164">
        <f t="shared" si="10"/>
        <v>0</v>
      </c>
      <c r="N56" s="164">
        <f t="shared" si="8"/>
        <v>24869.439748171466</v>
      </c>
      <c r="O56" s="164">
        <f t="shared" si="0"/>
        <v>35130.560251828545</v>
      </c>
      <c r="P56" s="164">
        <f t="shared" si="1"/>
        <v>24869.439748171466</v>
      </c>
      <c r="Q56" s="164">
        <f t="shared" si="2"/>
        <v>0</v>
      </c>
      <c r="R56" s="164">
        <f t="shared" si="11"/>
        <v>0</v>
      </c>
      <c r="S56" s="164">
        <f t="shared" si="3"/>
        <v>2924648.8037167694</v>
      </c>
      <c r="T56" s="164">
        <f t="shared" si="4"/>
        <v>0</v>
      </c>
    </row>
    <row r="57" spans="2:20" x14ac:dyDescent="0.2">
      <c r="B57" s="171"/>
      <c r="D57" s="171"/>
      <c r="F57" s="158">
        <v>46</v>
      </c>
      <c r="G57" s="249">
        <f t="shared" si="5"/>
        <v>45046</v>
      </c>
      <c r="H57" s="158">
        <f t="shared" si="9"/>
        <v>30</v>
      </c>
      <c r="I57" s="254">
        <f>VLOOKUP(G57,'Прогноз переменной ставки'!$B$5:$E$304,4,1)</f>
        <v>9.9000000000000005E-2</v>
      </c>
      <c r="J57" s="164">
        <f t="shared" si="6"/>
        <v>60000.000000000007</v>
      </c>
      <c r="K57" s="164">
        <f t="shared" si="7"/>
        <v>2924648.8037167694</v>
      </c>
      <c r="L57" s="164">
        <f t="shared" si="10"/>
        <v>2924648.8037167694</v>
      </c>
      <c r="M57" s="164">
        <f t="shared" si="10"/>
        <v>0</v>
      </c>
      <c r="N57" s="164">
        <f t="shared" si="8"/>
        <v>23781.538527142518</v>
      </c>
      <c r="O57" s="164">
        <f t="shared" si="0"/>
        <v>36218.461472857489</v>
      </c>
      <c r="P57" s="164">
        <f t="shared" si="1"/>
        <v>23781.538527142518</v>
      </c>
      <c r="Q57" s="164">
        <f t="shared" si="2"/>
        <v>0</v>
      </c>
      <c r="R57" s="164">
        <f t="shared" si="11"/>
        <v>0</v>
      </c>
      <c r="S57" s="164">
        <f t="shared" si="3"/>
        <v>2888430.3422439122</v>
      </c>
      <c r="T57" s="164">
        <f t="shared" si="4"/>
        <v>0</v>
      </c>
    </row>
    <row r="58" spans="2:20" x14ac:dyDescent="0.2">
      <c r="B58" s="171"/>
      <c r="D58" s="171"/>
      <c r="F58" s="158">
        <v>47</v>
      </c>
      <c r="G58" s="249">
        <f t="shared" si="5"/>
        <v>45077</v>
      </c>
      <c r="H58" s="158">
        <f t="shared" si="9"/>
        <v>31</v>
      </c>
      <c r="I58" s="254">
        <f>VLOOKUP(G58,'Прогноз переменной ставки'!$B$5:$E$304,4,1)</f>
        <v>9.9000000000000005E-2</v>
      </c>
      <c r="J58" s="164">
        <f t="shared" si="6"/>
        <v>60000.000000000007</v>
      </c>
      <c r="K58" s="164">
        <f t="shared" si="7"/>
        <v>2888430.3422439122</v>
      </c>
      <c r="L58" s="164">
        <f t="shared" si="10"/>
        <v>2888430.3422439122</v>
      </c>
      <c r="M58" s="164">
        <f t="shared" si="10"/>
        <v>0</v>
      </c>
      <c r="N58" s="164">
        <f t="shared" si="8"/>
        <v>24269.93215700634</v>
      </c>
      <c r="O58" s="164">
        <f t="shared" si="0"/>
        <v>35730.067842993667</v>
      </c>
      <c r="P58" s="164">
        <f t="shared" si="1"/>
        <v>24269.93215700634</v>
      </c>
      <c r="Q58" s="164">
        <f t="shared" si="2"/>
        <v>0</v>
      </c>
      <c r="R58" s="164">
        <f t="shared" si="11"/>
        <v>0</v>
      </c>
      <c r="S58" s="164">
        <f t="shared" si="3"/>
        <v>2852700.2744009183</v>
      </c>
      <c r="T58" s="164">
        <f t="shared" si="4"/>
        <v>0</v>
      </c>
    </row>
    <row r="59" spans="2:20" x14ac:dyDescent="0.2">
      <c r="B59" s="171"/>
      <c r="D59" s="171"/>
      <c r="F59" s="158">
        <v>48</v>
      </c>
      <c r="G59" s="249">
        <f t="shared" si="5"/>
        <v>45107</v>
      </c>
      <c r="H59" s="158">
        <f t="shared" si="9"/>
        <v>30</v>
      </c>
      <c r="I59" s="254">
        <f>VLOOKUP(G59,'Прогноз переменной ставки'!$B$5:$E$304,4,1)</f>
        <v>9.9000000000000005E-2</v>
      </c>
      <c r="J59" s="164">
        <f t="shared" si="6"/>
        <v>60000.000000000007</v>
      </c>
      <c r="K59" s="164">
        <f t="shared" si="7"/>
        <v>2852700.2744009183</v>
      </c>
      <c r="L59" s="164">
        <f t="shared" si="10"/>
        <v>2852700.2744009183</v>
      </c>
      <c r="M59" s="164">
        <f t="shared" si="10"/>
        <v>0</v>
      </c>
      <c r="N59" s="164">
        <f t="shared" si="8"/>
        <v>23196.495044409934</v>
      </c>
      <c r="O59" s="164">
        <f t="shared" si="0"/>
        <v>36803.504955590077</v>
      </c>
      <c r="P59" s="164">
        <f t="shared" si="1"/>
        <v>23196.495044409934</v>
      </c>
      <c r="Q59" s="164">
        <f t="shared" si="2"/>
        <v>0</v>
      </c>
      <c r="R59" s="164">
        <f t="shared" si="11"/>
        <v>0</v>
      </c>
      <c r="S59" s="164">
        <f t="shared" si="3"/>
        <v>2815896.769445328</v>
      </c>
      <c r="T59" s="164">
        <f t="shared" si="4"/>
        <v>0</v>
      </c>
    </row>
    <row r="60" spans="2:20" x14ac:dyDescent="0.2">
      <c r="B60" s="171"/>
      <c r="D60" s="171"/>
      <c r="F60" s="158">
        <v>49</v>
      </c>
      <c r="G60" s="249">
        <f t="shared" si="5"/>
        <v>45138</v>
      </c>
      <c r="H60" s="158">
        <f t="shared" si="9"/>
        <v>31</v>
      </c>
      <c r="I60" s="254">
        <f>VLOOKUP(G60,'Прогноз переменной ставки'!$B$5:$E$304,4,1)</f>
        <v>9.9000000000000005E-2</v>
      </c>
      <c r="J60" s="164">
        <f t="shared" si="6"/>
        <v>60000.000000000007</v>
      </c>
      <c r="K60" s="164">
        <f t="shared" si="7"/>
        <v>2815896.769445328</v>
      </c>
      <c r="L60" s="164">
        <f t="shared" si="10"/>
        <v>2815896.769445328</v>
      </c>
      <c r="M60" s="164">
        <f t="shared" si="10"/>
        <v>0</v>
      </c>
      <c r="N60" s="164">
        <f t="shared" si="8"/>
        <v>23660.471418008794</v>
      </c>
      <c r="O60" s="164">
        <f t="shared" si="0"/>
        <v>36339.52858199121</v>
      </c>
      <c r="P60" s="164">
        <f t="shared" si="1"/>
        <v>23660.471418008794</v>
      </c>
      <c r="Q60" s="164">
        <f t="shared" si="2"/>
        <v>0</v>
      </c>
      <c r="R60" s="164">
        <f t="shared" si="11"/>
        <v>0</v>
      </c>
      <c r="S60" s="164">
        <f t="shared" si="3"/>
        <v>2779557.2408633367</v>
      </c>
      <c r="T60" s="164">
        <f t="shared" si="4"/>
        <v>0</v>
      </c>
    </row>
    <row r="61" spans="2:20" x14ac:dyDescent="0.2">
      <c r="B61" s="171"/>
      <c r="D61" s="171"/>
      <c r="F61" s="158">
        <v>50</v>
      </c>
      <c r="G61" s="249">
        <f t="shared" si="5"/>
        <v>45169</v>
      </c>
      <c r="H61" s="158">
        <f t="shared" si="9"/>
        <v>31</v>
      </c>
      <c r="I61" s="254">
        <f>VLOOKUP(G61,'Прогноз переменной ставки'!$B$5:$E$304,4,1)</f>
        <v>9.9000000000000005E-2</v>
      </c>
      <c r="J61" s="164">
        <f t="shared" si="6"/>
        <v>60000.000000000007</v>
      </c>
      <c r="K61" s="164">
        <f t="shared" si="7"/>
        <v>2779557.2408633367</v>
      </c>
      <c r="L61" s="164">
        <f t="shared" si="10"/>
        <v>2779557.2408633367</v>
      </c>
      <c r="M61" s="164">
        <f t="shared" si="10"/>
        <v>0</v>
      </c>
      <c r="N61" s="164">
        <f t="shared" si="8"/>
        <v>23355.129834933829</v>
      </c>
      <c r="O61" s="164">
        <f t="shared" si="0"/>
        <v>36644.870165066182</v>
      </c>
      <c r="P61" s="164">
        <f t="shared" si="1"/>
        <v>23355.129834933829</v>
      </c>
      <c r="Q61" s="164">
        <f t="shared" si="2"/>
        <v>0</v>
      </c>
      <c r="R61" s="164">
        <f t="shared" si="11"/>
        <v>0</v>
      </c>
      <c r="S61" s="164">
        <f t="shared" si="3"/>
        <v>2742912.3706982704</v>
      </c>
      <c r="T61" s="164">
        <f t="shared" si="4"/>
        <v>0</v>
      </c>
    </row>
    <row r="62" spans="2:20" x14ac:dyDescent="0.2">
      <c r="B62" s="171"/>
      <c r="D62" s="171"/>
      <c r="F62" s="158">
        <v>51</v>
      </c>
      <c r="G62" s="249">
        <f t="shared" si="5"/>
        <v>45199</v>
      </c>
      <c r="H62" s="158">
        <f t="shared" si="9"/>
        <v>30</v>
      </c>
      <c r="I62" s="254">
        <f>VLOOKUP(G62,'Прогноз переменной ставки'!$B$5:$E$304,4,1)</f>
        <v>9.9000000000000005E-2</v>
      </c>
      <c r="J62" s="164">
        <f t="shared" si="6"/>
        <v>60000.000000000007</v>
      </c>
      <c r="K62" s="164">
        <f t="shared" si="7"/>
        <v>2742912.3706982704</v>
      </c>
      <c r="L62" s="164">
        <f t="shared" si="10"/>
        <v>2742912.3706982704</v>
      </c>
      <c r="M62" s="164">
        <f t="shared" si="10"/>
        <v>0</v>
      </c>
      <c r="N62" s="164">
        <f t="shared" si="8"/>
        <v>22303.763835657395</v>
      </c>
      <c r="O62" s="164">
        <f t="shared" si="0"/>
        <v>37696.236164342612</v>
      </c>
      <c r="P62" s="164">
        <f t="shared" si="1"/>
        <v>22303.763835657395</v>
      </c>
      <c r="Q62" s="164">
        <f t="shared" si="2"/>
        <v>0</v>
      </c>
      <c r="R62" s="164">
        <f t="shared" si="11"/>
        <v>0</v>
      </c>
      <c r="S62" s="164">
        <f t="shared" si="3"/>
        <v>2705216.1345339278</v>
      </c>
      <c r="T62" s="164">
        <f t="shared" si="4"/>
        <v>0</v>
      </c>
    </row>
    <row r="63" spans="2:20" x14ac:dyDescent="0.2">
      <c r="B63" s="171"/>
      <c r="D63" s="171"/>
      <c r="F63" s="158">
        <v>52</v>
      </c>
      <c r="G63" s="249">
        <f t="shared" si="5"/>
        <v>45230</v>
      </c>
      <c r="H63" s="158">
        <f t="shared" si="9"/>
        <v>31</v>
      </c>
      <c r="I63" s="254">
        <f>VLOOKUP(G63,'Прогноз переменной ставки'!$B$5:$E$304,4,1)</f>
        <v>9.9000000000000005E-2</v>
      </c>
      <c r="J63" s="164">
        <f t="shared" si="6"/>
        <v>60000.000000000007</v>
      </c>
      <c r="K63" s="164">
        <f t="shared" si="7"/>
        <v>2705216.1345339278</v>
      </c>
      <c r="L63" s="164">
        <f t="shared" si="10"/>
        <v>2705216.1345339278</v>
      </c>
      <c r="M63" s="164">
        <f t="shared" si="10"/>
        <v>0</v>
      </c>
      <c r="N63" s="164">
        <f t="shared" si="8"/>
        <v>22730.481360395963</v>
      </c>
      <c r="O63" s="164">
        <f t="shared" si="0"/>
        <v>37269.518639604044</v>
      </c>
      <c r="P63" s="164">
        <f t="shared" si="1"/>
        <v>22730.481360395963</v>
      </c>
      <c r="Q63" s="164">
        <f t="shared" si="2"/>
        <v>0</v>
      </c>
      <c r="R63" s="164">
        <f t="shared" si="11"/>
        <v>0</v>
      </c>
      <c r="S63" s="164">
        <f t="shared" si="3"/>
        <v>2667946.6158943237</v>
      </c>
      <c r="T63" s="164">
        <f t="shared" si="4"/>
        <v>0</v>
      </c>
    </row>
    <row r="64" spans="2:20" x14ac:dyDescent="0.2">
      <c r="B64" s="171"/>
      <c r="D64" s="171"/>
      <c r="F64" s="158">
        <v>53</v>
      </c>
      <c r="G64" s="249">
        <f t="shared" si="5"/>
        <v>45260</v>
      </c>
      <c r="H64" s="158">
        <f t="shared" si="9"/>
        <v>30</v>
      </c>
      <c r="I64" s="254">
        <f>VLOOKUP(G64,'Прогноз переменной ставки'!$B$5:$E$304,4,1)</f>
        <v>9.9000000000000005E-2</v>
      </c>
      <c r="J64" s="164">
        <f t="shared" si="6"/>
        <v>60000.000000000007</v>
      </c>
      <c r="K64" s="164">
        <f t="shared" si="7"/>
        <v>2667946.6158943237</v>
      </c>
      <c r="L64" s="164">
        <f t="shared" si="10"/>
        <v>2667946.6158943237</v>
      </c>
      <c r="M64" s="164">
        <f t="shared" si="10"/>
        <v>0</v>
      </c>
      <c r="N64" s="164">
        <f t="shared" si="8"/>
        <v>21694.186034787523</v>
      </c>
      <c r="O64" s="164">
        <f t="shared" si="0"/>
        <v>38305.813965212481</v>
      </c>
      <c r="P64" s="164">
        <f t="shared" si="1"/>
        <v>21694.186034787523</v>
      </c>
      <c r="Q64" s="164">
        <f t="shared" si="2"/>
        <v>0</v>
      </c>
      <c r="R64" s="164">
        <f t="shared" si="11"/>
        <v>0</v>
      </c>
      <c r="S64" s="164">
        <f t="shared" si="3"/>
        <v>2629640.8019291111</v>
      </c>
      <c r="T64" s="164">
        <f t="shared" si="4"/>
        <v>0</v>
      </c>
    </row>
    <row r="65" spans="2:20" x14ac:dyDescent="0.2">
      <c r="B65" s="171"/>
      <c r="D65" s="171"/>
      <c r="F65" s="158">
        <v>54</v>
      </c>
      <c r="G65" s="249">
        <f t="shared" si="5"/>
        <v>45291</v>
      </c>
      <c r="H65" s="158">
        <f t="shared" si="9"/>
        <v>31</v>
      </c>
      <c r="I65" s="254">
        <f>VLOOKUP(G65,'Прогноз переменной ставки'!$B$5:$E$304,4,1)</f>
        <v>9.9000000000000005E-2</v>
      </c>
      <c r="J65" s="164">
        <f t="shared" si="6"/>
        <v>60000.000000000007</v>
      </c>
      <c r="K65" s="164">
        <f t="shared" si="7"/>
        <v>2629640.8019291111</v>
      </c>
      <c r="L65" s="164">
        <f t="shared" si="10"/>
        <v>2629640.8019291111</v>
      </c>
      <c r="M65" s="164">
        <f t="shared" si="10"/>
        <v>0</v>
      </c>
      <c r="N65" s="164">
        <f t="shared" si="8"/>
        <v>22095.462343930027</v>
      </c>
      <c r="O65" s="164">
        <f t="shared" si="0"/>
        <v>37904.537656069981</v>
      </c>
      <c r="P65" s="164">
        <f t="shared" si="1"/>
        <v>22095.462343930027</v>
      </c>
      <c r="Q65" s="164">
        <f t="shared" si="2"/>
        <v>0</v>
      </c>
      <c r="R65" s="164">
        <f t="shared" si="11"/>
        <v>0</v>
      </c>
      <c r="S65" s="164">
        <f t="shared" si="3"/>
        <v>2591736.2642730409</v>
      </c>
      <c r="T65" s="164">
        <f t="shared" si="4"/>
        <v>0</v>
      </c>
    </row>
    <row r="66" spans="2:20" x14ac:dyDescent="0.2">
      <c r="B66" s="171"/>
      <c r="D66" s="171"/>
      <c r="F66" s="158">
        <v>55</v>
      </c>
      <c r="G66" s="249">
        <f t="shared" si="5"/>
        <v>45322</v>
      </c>
      <c r="H66" s="158">
        <f t="shared" si="9"/>
        <v>31</v>
      </c>
      <c r="I66" s="254">
        <f>VLOOKUP(G66,'Прогноз переменной ставки'!$B$5:$E$304,4,1)</f>
        <v>9.9000000000000005E-2</v>
      </c>
      <c r="J66" s="164">
        <f t="shared" si="6"/>
        <v>60000.000000000007</v>
      </c>
      <c r="K66" s="164">
        <f t="shared" si="7"/>
        <v>2591736.2642730409</v>
      </c>
      <c r="L66" s="164">
        <f t="shared" si="10"/>
        <v>2591736.2642730409</v>
      </c>
      <c r="M66" s="164">
        <f t="shared" si="10"/>
        <v>0</v>
      </c>
      <c r="N66" s="164">
        <f t="shared" si="8"/>
        <v>21776.970828347603</v>
      </c>
      <c r="O66" s="164">
        <f t="shared" si="0"/>
        <v>38223.029171652408</v>
      </c>
      <c r="P66" s="164">
        <f t="shared" si="1"/>
        <v>21776.970828347603</v>
      </c>
      <c r="Q66" s="164">
        <f t="shared" si="2"/>
        <v>0</v>
      </c>
      <c r="R66" s="164">
        <f t="shared" si="11"/>
        <v>0</v>
      </c>
      <c r="S66" s="164">
        <f t="shared" si="3"/>
        <v>2553513.2351013883</v>
      </c>
      <c r="T66" s="164">
        <f t="shared" si="4"/>
        <v>0</v>
      </c>
    </row>
    <row r="67" spans="2:20" x14ac:dyDescent="0.2">
      <c r="B67" s="171"/>
      <c r="D67" s="171"/>
      <c r="F67" s="158">
        <v>56</v>
      </c>
      <c r="G67" s="249">
        <f t="shared" si="5"/>
        <v>45351</v>
      </c>
      <c r="H67" s="158">
        <f t="shared" si="9"/>
        <v>29</v>
      </c>
      <c r="I67" s="254">
        <f>VLOOKUP(G67,'Прогноз переменной ставки'!$B$5:$E$304,4,1)</f>
        <v>9.9000000000000005E-2</v>
      </c>
      <c r="J67" s="164">
        <f t="shared" si="6"/>
        <v>60000.000000000007</v>
      </c>
      <c r="K67" s="164">
        <f t="shared" si="7"/>
        <v>2553513.2351013883</v>
      </c>
      <c r="L67" s="164">
        <f t="shared" si="10"/>
        <v>2553513.2351013883</v>
      </c>
      <c r="M67" s="164">
        <f t="shared" si="10"/>
        <v>0</v>
      </c>
      <c r="N67" s="164">
        <f t="shared" si="8"/>
        <v>20071.557831556704</v>
      </c>
      <c r="O67" s="164">
        <f t="shared" si="0"/>
        <v>39928.442168443304</v>
      </c>
      <c r="P67" s="164">
        <f t="shared" si="1"/>
        <v>20071.557831556704</v>
      </c>
      <c r="Q67" s="164">
        <f t="shared" si="2"/>
        <v>0</v>
      </c>
      <c r="R67" s="164">
        <f t="shared" si="11"/>
        <v>0</v>
      </c>
      <c r="S67" s="164">
        <f t="shared" si="3"/>
        <v>2513584.7929329448</v>
      </c>
      <c r="T67" s="164">
        <f t="shared" si="4"/>
        <v>0</v>
      </c>
    </row>
    <row r="68" spans="2:20" x14ac:dyDescent="0.2">
      <c r="B68" s="171"/>
      <c r="D68" s="171"/>
      <c r="F68" s="158">
        <v>57</v>
      </c>
      <c r="G68" s="249">
        <f t="shared" si="5"/>
        <v>45382</v>
      </c>
      <c r="H68" s="158">
        <f t="shared" si="9"/>
        <v>31</v>
      </c>
      <c r="I68" s="254">
        <f>VLOOKUP(G68,'Прогноз переменной ставки'!$B$5:$E$304,4,1)</f>
        <v>9.9000000000000005E-2</v>
      </c>
      <c r="J68" s="164">
        <f t="shared" si="6"/>
        <v>60000.000000000007</v>
      </c>
      <c r="K68" s="164">
        <f t="shared" si="7"/>
        <v>2513584.7929329448</v>
      </c>
      <c r="L68" s="164">
        <f t="shared" si="10"/>
        <v>2513584.7929329448</v>
      </c>
      <c r="M68" s="164">
        <f t="shared" si="10"/>
        <v>0</v>
      </c>
      <c r="N68" s="164">
        <f t="shared" si="8"/>
        <v>21120.305898730207</v>
      </c>
      <c r="O68" s="164">
        <f t="shared" si="0"/>
        <v>38879.694101269801</v>
      </c>
      <c r="P68" s="164">
        <f t="shared" si="1"/>
        <v>21120.305898730207</v>
      </c>
      <c r="Q68" s="164">
        <f t="shared" si="2"/>
        <v>0</v>
      </c>
      <c r="R68" s="164">
        <f t="shared" si="11"/>
        <v>0</v>
      </c>
      <c r="S68" s="164">
        <f t="shared" si="3"/>
        <v>2474705.098831675</v>
      </c>
      <c r="T68" s="164">
        <f t="shared" si="4"/>
        <v>0</v>
      </c>
    </row>
    <row r="69" spans="2:20" x14ac:dyDescent="0.2">
      <c r="B69" s="171"/>
      <c r="D69" s="171"/>
      <c r="F69" s="158">
        <v>58</v>
      </c>
      <c r="G69" s="249">
        <f t="shared" si="5"/>
        <v>45412</v>
      </c>
      <c r="H69" s="158">
        <f t="shared" si="9"/>
        <v>30</v>
      </c>
      <c r="I69" s="254">
        <f>VLOOKUP(G69,'Прогноз переменной ставки'!$B$5:$E$304,4,1)</f>
        <v>9.9000000000000005E-2</v>
      </c>
      <c r="J69" s="164">
        <f t="shared" si="6"/>
        <v>60000.000000000007</v>
      </c>
      <c r="K69" s="164">
        <f t="shared" si="7"/>
        <v>2474705.098831675</v>
      </c>
      <c r="L69" s="164">
        <f t="shared" si="10"/>
        <v>2474705.098831675</v>
      </c>
      <c r="M69" s="164">
        <f t="shared" si="10"/>
        <v>0</v>
      </c>
      <c r="N69" s="164">
        <f t="shared" si="8"/>
        <v>20122.858709185697</v>
      </c>
      <c r="O69" s="164">
        <f t="shared" si="0"/>
        <v>39877.14129081431</v>
      </c>
      <c r="P69" s="164">
        <f t="shared" si="1"/>
        <v>20122.858709185697</v>
      </c>
      <c r="Q69" s="164">
        <f t="shared" si="2"/>
        <v>0</v>
      </c>
      <c r="R69" s="164">
        <f t="shared" si="11"/>
        <v>0</v>
      </c>
      <c r="S69" s="164">
        <f t="shared" si="3"/>
        <v>2434827.9575408609</v>
      </c>
      <c r="T69" s="164">
        <f t="shared" si="4"/>
        <v>0</v>
      </c>
    </row>
    <row r="70" spans="2:20" x14ac:dyDescent="0.2">
      <c r="B70" s="171"/>
      <c r="D70" s="171"/>
      <c r="F70" s="158">
        <v>59</v>
      </c>
      <c r="G70" s="249">
        <f t="shared" si="5"/>
        <v>45443</v>
      </c>
      <c r="H70" s="158">
        <f t="shared" si="9"/>
        <v>31</v>
      </c>
      <c r="I70" s="254">
        <f>VLOOKUP(G70,'Прогноз переменной ставки'!$B$5:$E$304,4,1)</f>
        <v>9.9000000000000005E-2</v>
      </c>
      <c r="J70" s="164">
        <f t="shared" si="6"/>
        <v>60000.000000000007</v>
      </c>
      <c r="K70" s="164">
        <f t="shared" si="7"/>
        <v>2434827.9575408609</v>
      </c>
      <c r="L70" s="164">
        <f t="shared" si="10"/>
        <v>2434827.9575408609</v>
      </c>
      <c r="M70" s="164">
        <f t="shared" si="10"/>
        <v>0</v>
      </c>
      <c r="N70" s="164">
        <f t="shared" si="8"/>
        <v>20458.554419419306</v>
      </c>
      <c r="O70" s="164">
        <f t="shared" si="0"/>
        <v>39541.445580580701</v>
      </c>
      <c r="P70" s="164">
        <f t="shared" si="1"/>
        <v>20458.554419419306</v>
      </c>
      <c r="Q70" s="164">
        <f t="shared" si="2"/>
        <v>0</v>
      </c>
      <c r="R70" s="164">
        <f t="shared" si="11"/>
        <v>0</v>
      </c>
      <c r="S70" s="164">
        <f t="shared" si="3"/>
        <v>2395286.5119602801</v>
      </c>
      <c r="T70" s="164">
        <f t="shared" si="4"/>
        <v>0</v>
      </c>
    </row>
    <row r="71" spans="2:20" x14ac:dyDescent="0.2">
      <c r="B71" s="171"/>
      <c r="D71" s="171"/>
      <c r="F71" s="158">
        <v>60</v>
      </c>
      <c r="G71" s="249">
        <f t="shared" si="5"/>
        <v>45473</v>
      </c>
      <c r="H71" s="158">
        <f t="shared" si="9"/>
        <v>30</v>
      </c>
      <c r="I71" s="254">
        <f>VLOOKUP(G71,'Прогноз переменной ставки'!$B$5:$E$304,4,1)</f>
        <v>9.9000000000000005E-2</v>
      </c>
      <c r="J71" s="164">
        <f t="shared" si="6"/>
        <v>60000.000000000007</v>
      </c>
      <c r="K71" s="164">
        <f t="shared" si="7"/>
        <v>2395286.5119602801</v>
      </c>
      <c r="L71" s="164">
        <f t="shared" si="10"/>
        <v>2395286.5119602801</v>
      </c>
      <c r="M71" s="164">
        <f t="shared" si="10"/>
        <v>0</v>
      </c>
      <c r="N71" s="164">
        <f t="shared" si="8"/>
        <v>19477.073074666754</v>
      </c>
      <c r="O71" s="164">
        <f t="shared" si="0"/>
        <v>40522.926925333253</v>
      </c>
      <c r="P71" s="164">
        <f t="shared" si="1"/>
        <v>19477.073074666754</v>
      </c>
      <c r="Q71" s="164">
        <f t="shared" si="2"/>
        <v>0</v>
      </c>
      <c r="R71" s="164">
        <f t="shared" si="11"/>
        <v>0</v>
      </c>
      <c r="S71" s="164">
        <f t="shared" si="3"/>
        <v>2354763.5850349469</v>
      </c>
      <c r="T71" s="164">
        <f t="shared" si="4"/>
        <v>0</v>
      </c>
    </row>
    <row r="72" spans="2:20" x14ac:dyDescent="0.2">
      <c r="B72" s="171"/>
      <c r="D72" s="171"/>
      <c r="F72" s="158">
        <v>61</v>
      </c>
      <c r="G72" s="249">
        <f t="shared" si="5"/>
        <v>45504</v>
      </c>
      <c r="H72" s="158">
        <f t="shared" si="9"/>
        <v>31</v>
      </c>
      <c r="I72" s="254">
        <f>VLOOKUP(G72,'Прогноз переменной ставки'!$B$5:$E$304,4,1)</f>
        <v>9.9000000000000005E-2</v>
      </c>
      <c r="J72" s="164">
        <f t="shared" si="6"/>
        <v>60000.000000000007</v>
      </c>
      <c r="K72" s="164">
        <f t="shared" si="7"/>
        <v>2354763.5850349469</v>
      </c>
      <c r="L72" s="164">
        <f t="shared" si="10"/>
        <v>2354763.5850349469</v>
      </c>
      <c r="M72" s="164">
        <f t="shared" si="10"/>
        <v>0</v>
      </c>
      <c r="N72" s="164">
        <f t="shared" si="8"/>
        <v>19785.816406494872</v>
      </c>
      <c r="O72" s="164">
        <f t="shared" si="0"/>
        <v>40214.183593505135</v>
      </c>
      <c r="P72" s="164">
        <f t="shared" si="1"/>
        <v>19785.816406494872</v>
      </c>
      <c r="Q72" s="164">
        <f t="shared" si="2"/>
        <v>0</v>
      </c>
      <c r="R72" s="164">
        <f t="shared" si="11"/>
        <v>0</v>
      </c>
      <c r="S72" s="164">
        <f t="shared" si="3"/>
        <v>2314549.4014414418</v>
      </c>
      <c r="T72" s="164">
        <f t="shared" si="4"/>
        <v>0</v>
      </c>
    </row>
    <row r="73" spans="2:20" x14ac:dyDescent="0.2">
      <c r="B73" s="171"/>
      <c r="D73" s="171"/>
      <c r="F73" s="158">
        <v>62</v>
      </c>
      <c r="G73" s="249">
        <f t="shared" si="5"/>
        <v>45535</v>
      </c>
      <c r="H73" s="158">
        <f t="shared" si="9"/>
        <v>31</v>
      </c>
      <c r="I73" s="254">
        <f>VLOOKUP(G73,'Прогноз переменной ставки'!$B$5:$E$304,4,1)</f>
        <v>9.9000000000000005E-2</v>
      </c>
      <c r="J73" s="164">
        <f t="shared" si="6"/>
        <v>60000.000000000007</v>
      </c>
      <c r="K73" s="164">
        <f t="shared" si="7"/>
        <v>2314549.4014414418</v>
      </c>
      <c r="L73" s="164">
        <f t="shared" si="10"/>
        <v>2314549.4014414418</v>
      </c>
      <c r="M73" s="164">
        <f t="shared" si="10"/>
        <v>0</v>
      </c>
      <c r="N73" s="164">
        <f t="shared" si="8"/>
        <v>19447.918173918646</v>
      </c>
      <c r="O73" s="164">
        <f t="shared" si="0"/>
        <v>40552.081826081361</v>
      </c>
      <c r="P73" s="164">
        <f t="shared" si="1"/>
        <v>19447.918173918646</v>
      </c>
      <c r="Q73" s="164">
        <f t="shared" si="2"/>
        <v>0</v>
      </c>
      <c r="R73" s="164">
        <f t="shared" si="11"/>
        <v>0</v>
      </c>
      <c r="S73" s="164">
        <f t="shared" si="3"/>
        <v>2273997.3196153603</v>
      </c>
      <c r="T73" s="164">
        <f t="shared" si="4"/>
        <v>0</v>
      </c>
    </row>
    <row r="74" spans="2:20" x14ac:dyDescent="0.2">
      <c r="B74" s="171"/>
      <c r="D74" s="171"/>
      <c r="F74" s="158">
        <v>63</v>
      </c>
      <c r="G74" s="249">
        <f t="shared" si="5"/>
        <v>45565</v>
      </c>
      <c r="H74" s="158">
        <f t="shared" si="9"/>
        <v>30</v>
      </c>
      <c r="I74" s="254">
        <f>VLOOKUP(G74,'Прогноз переменной ставки'!$B$5:$E$304,4,1)</f>
        <v>9.9000000000000005E-2</v>
      </c>
      <c r="J74" s="164">
        <f t="shared" si="6"/>
        <v>60000.000000000007</v>
      </c>
      <c r="K74" s="164">
        <f t="shared" si="7"/>
        <v>2273997.3196153603</v>
      </c>
      <c r="L74" s="164">
        <f t="shared" si="10"/>
        <v>2273997.3196153603</v>
      </c>
      <c r="M74" s="164">
        <f t="shared" si="10"/>
        <v>0</v>
      </c>
      <c r="N74" s="164">
        <f t="shared" si="8"/>
        <v>18490.820093792252</v>
      </c>
      <c r="O74" s="164">
        <f t="shared" si="0"/>
        <v>41509.179906207755</v>
      </c>
      <c r="P74" s="164">
        <f t="shared" si="1"/>
        <v>18490.820093792252</v>
      </c>
      <c r="Q74" s="164">
        <f t="shared" si="2"/>
        <v>0</v>
      </c>
      <c r="R74" s="164">
        <f t="shared" si="11"/>
        <v>0</v>
      </c>
      <c r="S74" s="164">
        <f t="shared" si="3"/>
        <v>2232488.1397091527</v>
      </c>
      <c r="T74" s="164">
        <f t="shared" si="4"/>
        <v>0</v>
      </c>
    </row>
    <row r="75" spans="2:20" x14ac:dyDescent="0.2">
      <c r="B75" s="171"/>
      <c r="D75" s="171"/>
      <c r="F75" s="158">
        <v>64</v>
      </c>
      <c r="G75" s="249">
        <f t="shared" si="5"/>
        <v>45596</v>
      </c>
      <c r="H75" s="158">
        <f t="shared" si="9"/>
        <v>31</v>
      </c>
      <c r="I75" s="254">
        <f>VLOOKUP(G75,'Прогноз переменной ставки'!$B$5:$E$304,4,1)</f>
        <v>9.9000000000000005E-2</v>
      </c>
      <c r="J75" s="164">
        <f t="shared" si="6"/>
        <v>60000.000000000007</v>
      </c>
      <c r="K75" s="164">
        <f t="shared" si="7"/>
        <v>2232488.1397091527</v>
      </c>
      <c r="L75" s="164">
        <f t="shared" si="10"/>
        <v>2232488.1397091527</v>
      </c>
      <c r="M75" s="164">
        <f t="shared" si="10"/>
        <v>0</v>
      </c>
      <c r="N75" s="164">
        <f t="shared" si="8"/>
        <v>18758.401371026393</v>
      </c>
      <c r="O75" s="164">
        <f t="shared" si="0"/>
        <v>41241.598628973617</v>
      </c>
      <c r="P75" s="164">
        <f t="shared" si="1"/>
        <v>18758.401371026393</v>
      </c>
      <c r="Q75" s="164">
        <f t="shared" si="2"/>
        <v>0</v>
      </c>
      <c r="R75" s="164">
        <f t="shared" si="11"/>
        <v>0</v>
      </c>
      <c r="S75" s="164">
        <f t="shared" si="3"/>
        <v>2191246.5410801792</v>
      </c>
      <c r="T75" s="164">
        <f t="shared" si="4"/>
        <v>0</v>
      </c>
    </row>
    <row r="76" spans="2:20" x14ac:dyDescent="0.2">
      <c r="B76" s="171"/>
      <c r="D76" s="171"/>
      <c r="F76" s="158">
        <v>65</v>
      </c>
      <c r="G76" s="249">
        <f t="shared" si="5"/>
        <v>45626</v>
      </c>
      <c r="H76" s="158">
        <f t="shared" si="9"/>
        <v>30</v>
      </c>
      <c r="I76" s="254">
        <f>VLOOKUP(G76,'Прогноз переменной ставки'!$B$5:$E$304,4,1)</f>
        <v>9.9000000000000005E-2</v>
      </c>
      <c r="J76" s="164">
        <f t="shared" si="6"/>
        <v>60000.000000000007</v>
      </c>
      <c r="K76" s="164">
        <f t="shared" si="7"/>
        <v>2191246.5410801792</v>
      </c>
      <c r="L76" s="164">
        <f t="shared" si="10"/>
        <v>2191246.5410801792</v>
      </c>
      <c r="M76" s="164">
        <f t="shared" si="10"/>
        <v>0</v>
      </c>
      <c r="N76" s="164">
        <f t="shared" si="8"/>
        <v>17817.939019871683</v>
      </c>
      <c r="O76" s="164">
        <f t="shared" ref="O76:O139" si="12">MIN(J76-Q76-P76,L76)</f>
        <v>42182.060980128328</v>
      </c>
      <c r="P76" s="164">
        <f t="shared" ref="P76:P139" si="13">MIN(J76-Q76,N76)</f>
        <v>17817.939019871683</v>
      </c>
      <c r="Q76" s="164">
        <f t="shared" ref="Q76:Q139" si="14">MIN(J76,M76)</f>
        <v>0</v>
      </c>
      <c r="R76" s="164">
        <f t="shared" si="11"/>
        <v>0</v>
      </c>
      <c r="S76" s="164">
        <f t="shared" ref="S76:S139" si="15">L76-O76</f>
        <v>2149064.480100051</v>
      </c>
      <c r="T76" s="164">
        <f t="shared" ref="T76:T139" si="16">M76+R76-Q76</f>
        <v>0</v>
      </c>
    </row>
    <row r="77" spans="2:20" x14ac:dyDescent="0.2">
      <c r="B77" s="171"/>
      <c r="D77" s="171"/>
      <c r="F77" s="158">
        <v>66</v>
      </c>
      <c r="G77" s="249">
        <f t="shared" ref="G77:G140" si="17">EOMONTH($D$9,F77-1)</f>
        <v>45657</v>
      </c>
      <c r="H77" s="158">
        <f t="shared" si="9"/>
        <v>31</v>
      </c>
      <c r="I77" s="254">
        <f>VLOOKUP(G77,'Прогноз переменной ставки'!$B$5:$E$304,4,1)</f>
        <v>9.9000000000000005E-2</v>
      </c>
      <c r="J77" s="164">
        <f t="shared" ref="J77:J140" si="18">IF(F77=$D$4,K77+N77,MIN($D$5,K77+N77))</f>
        <v>60000.000000000007</v>
      </c>
      <c r="K77" s="164">
        <f t="shared" ref="K77:K140" si="19">L77+M77</f>
        <v>2149064.480100051</v>
      </c>
      <c r="L77" s="164">
        <f t="shared" si="10"/>
        <v>2149064.480100051</v>
      </c>
      <c r="M77" s="164">
        <f t="shared" si="10"/>
        <v>0</v>
      </c>
      <c r="N77" s="164">
        <f t="shared" ref="N77:N140" si="20">L77*I77/365.25*H77</f>
        <v>18057.437068931027</v>
      </c>
      <c r="O77" s="164">
        <f t="shared" si="12"/>
        <v>41942.562931068984</v>
      </c>
      <c r="P77" s="164">
        <f t="shared" si="13"/>
        <v>18057.437068931027</v>
      </c>
      <c r="Q77" s="164">
        <f t="shared" si="14"/>
        <v>0</v>
      </c>
      <c r="R77" s="164">
        <f t="shared" si="11"/>
        <v>0</v>
      </c>
      <c r="S77" s="164">
        <f t="shared" si="15"/>
        <v>2107121.9171689819</v>
      </c>
      <c r="T77" s="164">
        <f t="shared" si="16"/>
        <v>0</v>
      </c>
    </row>
    <row r="78" spans="2:20" x14ac:dyDescent="0.2">
      <c r="B78" s="171"/>
      <c r="D78" s="171"/>
      <c r="F78" s="158">
        <v>67</v>
      </c>
      <c r="G78" s="249">
        <f t="shared" si="17"/>
        <v>45688</v>
      </c>
      <c r="H78" s="158">
        <f t="shared" ref="H78:H141" si="21">G78-G77</f>
        <v>31</v>
      </c>
      <c r="I78" s="254">
        <f>VLOOKUP(G78,'Прогноз переменной ставки'!$B$5:$E$304,4,1)</f>
        <v>9.9000000000000005E-2</v>
      </c>
      <c r="J78" s="164">
        <f t="shared" si="18"/>
        <v>60000.000000000007</v>
      </c>
      <c r="K78" s="164">
        <f t="shared" si="19"/>
        <v>2107121.9171689819</v>
      </c>
      <c r="L78" s="164">
        <f t="shared" ref="L78:M141" si="22">S77</f>
        <v>2107121.9171689819</v>
      </c>
      <c r="M78" s="164">
        <f t="shared" si="22"/>
        <v>0</v>
      </c>
      <c r="N78" s="164">
        <f t="shared" si="20"/>
        <v>17705.016191079005</v>
      </c>
      <c r="O78" s="164">
        <f t="shared" si="12"/>
        <v>42294.983808921002</v>
      </c>
      <c r="P78" s="164">
        <f t="shared" si="13"/>
        <v>17705.016191079005</v>
      </c>
      <c r="Q78" s="164">
        <f t="shared" si="14"/>
        <v>0</v>
      </c>
      <c r="R78" s="164">
        <f t="shared" ref="R78:R141" si="23">MAX(N78-P78,0)</f>
        <v>0</v>
      </c>
      <c r="S78" s="164">
        <f t="shared" si="15"/>
        <v>2064826.9333600609</v>
      </c>
      <c r="T78" s="164">
        <f t="shared" si="16"/>
        <v>0</v>
      </c>
    </row>
    <row r="79" spans="2:20" x14ac:dyDescent="0.2">
      <c r="B79" s="171"/>
      <c r="D79" s="171"/>
      <c r="F79" s="158">
        <v>68</v>
      </c>
      <c r="G79" s="249">
        <f t="shared" si="17"/>
        <v>45716</v>
      </c>
      <c r="H79" s="158">
        <f t="shared" si="21"/>
        <v>28</v>
      </c>
      <c r="I79" s="254">
        <f>VLOOKUP(G79,'Прогноз переменной ставки'!$B$5:$E$304,4,1)</f>
        <v>9.9000000000000005E-2</v>
      </c>
      <c r="J79" s="164">
        <f t="shared" si="18"/>
        <v>60000.000000000007</v>
      </c>
      <c r="K79" s="164">
        <f t="shared" si="19"/>
        <v>2064826.9333600609</v>
      </c>
      <c r="L79" s="164">
        <f t="shared" si="22"/>
        <v>2064826.9333600609</v>
      </c>
      <c r="M79" s="164">
        <f t="shared" si="22"/>
        <v>0</v>
      </c>
      <c r="N79" s="164">
        <f t="shared" si="20"/>
        <v>15670.637260161777</v>
      </c>
      <c r="O79" s="164">
        <f t="shared" si="12"/>
        <v>44329.36273983823</v>
      </c>
      <c r="P79" s="164">
        <f t="shared" si="13"/>
        <v>15670.637260161777</v>
      </c>
      <c r="Q79" s="164">
        <f t="shared" si="14"/>
        <v>0</v>
      </c>
      <c r="R79" s="164">
        <f t="shared" si="23"/>
        <v>0</v>
      </c>
      <c r="S79" s="164">
        <f t="shared" si="15"/>
        <v>2020497.5706202227</v>
      </c>
      <c r="T79" s="164">
        <f t="shared" si="16"/>
        <v>0</v>
      </c>
    </row>
    <row r="80" spans="2:20" x14ac:dyDescent="0.2">
      <c r="B80" s="171"/>
      <c r="D80" s="171"/>
      <c r="F80" s="158">
        <v>69</v>
      </c>
      <c r="G80" s="249">
        <f t="shared" si="17"/>
        <v>45747</v>
      </c>
      <c r="H80" s="158">
        <f t="shared" si="21"/>
        <v>31</v>
      </c>
      <c r="I80" s="254">
        <f>VLOOKUP(G80,'Прогноз переменной ставки'!$B$5:$E$304,4,1)</f>
        <v>9.9000000000000005E-2</v>
      </c>
      <c r="J80" s="164">
        <f t="shared" si="18"/>
        <v>60000.000000000007</v>
      </c>
      <c r="K80" s="164">
        <f t="shared" si="19"/>
        <v>2020497.5706202227</v>
      </c>
      <c r="L80" s="164">
        <f t="shared" si="22"/>
        <v>2020497.5706202227</v>
      </c>
      <c r="M80" s="164">
        <f t="shared" si="22"/>
        <v>0</v>
      </c>
      <c r="N80" s="164">
        <f t="shared" si="20"/>
        <v>16977.158231987582</v>
      </c>
      <c r="O80" s="164">
        <f t="shared" si="12"/>
        <v>43022.841768012426</v>
      </c>
      <c r="P80" s="164">
        <f t="shared" si="13"/>
        <v>16977.158231987582</v>
      </c>
      <c r="Q80" s="164">
        <f t="shared" si="14"/>
        <v>0</v>
      </c>
      <c r="R80" s="164">
        <f t="shared" si="23"/>
        <v>0</v>
      </c>
      <c r="S80" s="164">
        <f t="shared" si="15"/>
        <v>1977474.7288522103</v>
      </c>
      <c r="T80" s="164">
        <f t="shared" si="16"/>
        <v>0</v>
      </c>
    </row>
    <row r="81" spans="2:20" x14ac:dyDescent="0.2">
      <c r="B81" s="171"/>
      <c r="D81" s="171"/>
      <c r="F81" s="158">
        <v>70</v>
      </c>
      <c r="G81" s="249">
        <f t="shared" si="17"/>
        <v>45777</v>
      </c>
      <c r="H81" s="158">
        <f t="shared" si="21"/>
        <v>30</v>
      </c>
      <c r="I81" s="254">
        <f>VLOOKUP(G81,'Прогноз переменной ставки'!$B$5:$E$304,4,1)</f>
        <v>9.9000000000000005E-2</v>
      </c>
      <c r="J81" s="164">
        <f t="shared" si="18"/>
        <v>60000.000000000007</v>
      </c>
      <c r="K81" s="164">
        <f t="shared" si="19"/>
        <v>1977474.7288522103</v>
      </c>
      <c r="L81" s="164">
        <f t="shared" si="22"/>
        <v>1977474.7288522103</v>
      </c>
      <c r="M81" s="164">
        <f t="shared" si="22"/>
        <v>0</v>
      </c>
      <c r="N81" s="164">
        <f t="shared" si="20"/>
        <v>16079.671306477931</v>
      </c>
      <c r="O81" s="164">
        <f t="shared" si="12"/>
        <v>43920.328693522075</v>
      </c>
      <c r="P81" s="164">
        <f t="shared" si="13"/>
        <v>16079.671306477931</v>
      </c>
      <c r="Q81" s="164">
        <f t="shared" si="14"/>
        <v>0</v>
      </c>
      <c r="R81" s="164">
        <f t="shared" si="23"/>
        <v>0</v>
      </c>
      <c r="S81" s="164">
        <f t="shared" si="15"/>
        <v>1933554.4001586882</v>
      </c>
      <c r="T81" s="164">
        <f t="shared" si="16"/>
        <v>0</v>
      </c>
    </row>
    <row r="82" spans="2:20" x14ac:dyDescent="0.2">
      <c r="B82" s="171"/>
      <c r="D82" s="171"/>
      <c r="F82" s="158">
        <v>71</v>
      </c>
      <c r="G82" s="249">
        <f t="shared" si="17"/>
        <v>45808</v>
      </c>
      <c r="H82" s="158">
        <f t="shared" si="21"/>
        <v>31</v>
      </c>
      <c r="I82" s="254">
        <f>VLOOKUP(G82,'Прогноз переменной ставки'!$B$5:$E$304,4,1)</f>
        <v>9.9000000000000005E-2</v>
      </c>
      <c r="J82" s="164">
        <f t="shared" si="18"/>
        <v>60000.000000000007</v>
      </c>
      <c r="K82" s="164">
        <f t="shared" si="19"/>
        <v>1933554.4001586882</v>
      </c>
      <c r="L82" s="164">
        <f t="shared" si="22"/>
        <v>1933554.4001586882</v>
      </c>
      <c r="M82" s="164">
        <f t="shared" si="22"/>
        <v>0</v>
      </c>
      <c r="N82" s="164">
        <f t="shared" si="20"/>
        <v>16246.621366425776</v>
      </c>
      <c r="O82" s="164">
        <f t="shared" si="12"/>
        <v>43753.378633574233</v>
      </c>
      <c r="P82" s="164">
        <f t="shared" si="13"/>
        <v>16246.621366425776</v>
      </c>
      <c r="Q82" s="164">
        <f t="shared" si="14"/>
        <v>0</v>
      </c>
      <c r="R82" s="164">
        <f t="shared" si="23"/>
        <v>0</v>
      </c>
      <c r="S82" s="164">
        <f t="shared" si="15"/>
        <v>1889801.0215251138</v>
      </c>
      <c r="T82" s="164">
        <f t="shared" si="16"/>
        <v>0</v>
      </c>
    </row>
    <row r="83" spans="2:20" x14ac:dyDescent="0.2">
      <c r="B83" s="171"/>
      <c r="D83" s="171"/>
      <c r="F83" s="158">
        <v>72</v>
      </c>
      <c r="G83" s="249">
        <f t="shared" si="17"/>
        <v>45838</v>
      </c>
      <c r="H83" s="158">
        <f t="shared" si="21"/>
        <v>30</v>
      </c>
      <c r="I83" s="254">
        <f>VLOOKUP(G83,'Прогноз переменной ставки'!$B$5:$E$304,4,1)</f>
        <v>9.9000000000000005E-2</v>
      </c>
      <c r="J83" s="164">
        <f t="shared" si="18"/>
        <v>60000.000000000007</v>
      </c>
      <c r="K83" s="164">
        <f t="shared" si="19"/>
        <v>1889801.0215251138</v>
      </c>
      <c r="L83" s="164">
        <f t="shared" si="22"/>
        <v>1889801.0215251138</v>
      </c>
      <c r="M83" s="164">
        <f t="shared" si="22"/>
        <v>0</v>
      </c>
      <c r="N83" s="164">
        <f t="shared" si="20"/>
        <v>15366.759846487577</v>
      </c>
      <c r="O83" s="164">
        <f t="shared" si="12"/>
        <v>44633.24015351243</v>
      </c>
      <c r="P83" s="164">
        <f t="shared" si="13"/>
        <v>15366.759846487577</v>
      </c>
      <c r="Q83" s="164">
        <f t="shared" si="14"/>
        <v>0</v>
      </c>
      <c r="R83" s="164">
        <f t="shared" si="23"/>
        <v>0</v>
      </c>
      <c r="S83" s="164">
        <f t="shared" si="15"/>
        <v>1845167.7813716014</v>
      </c>
      <c r="T83" s="164">
        <f t="shared" si="16"/>
        <v>0</v>
      </c>
    </row>
    <row r="84" spans="2:20" x14ac:dyDescent="0.2">
      <c r="B84" s="171"/>
      <c r="D84" s="171"/>
      <c r="F84" s="158">
        <v>73</v>
      </c>
      <c r="G84" s="249">
        <f t="shared" si="17"/>
        <v>45869</v>
      </c>
      <c r="H84" s="158">
        <f t="shared" si="21"/>
        <v>31</v>
      </c>
      <c r="I84" s="254">
        <f>VLOOKUP(G84,'Прогноз переменной ставки'!$B$5:$E$304,4,1)</f>
        <v>9.9000000000000005E-2</v>
      </c>
      <c r="J84" s="164">
        <f t="shared" si="18"/>
        <v>60000.000000000007</v>
      </c>
      <c r="K84" s="164">
        <f t="shared" si="19"/>
        <v>1845167.7813716014</v>
      </c>
      <c r="L84" s="164">
        <f t="shared" si="22"/>
        <v>1845167.7813716014</v>
      </c>
      <c r="M84" s="164">
        <f t="shared" si="22"/>
        <v>0</v>
      </c>
      <c r="N84" s="164">
        <f t="shared" si="20"/>
        <v>15503.95597817781</v>
      </c>
      <c r="O84" s="164">
        <f t="shared" si="12"/>
        <v>44496.044021822199</v>
      </c>
      <c r="P84" s="164">
        <f t="shared" si="13"/>
        <v>15503.95597817781</v>
      </c>
      <c r="Q84" s="164">
        <f t="shared" si="14"/>
        <v>0</v>
      </c>
      <c r="R84" s="164">
        <f t="shared" si="23"/>
        <v>0</v>
      </c>
      <c r="S84" s="164">
        <f t="shared" si="15"/>
        <v>1800671.7373497791</v>
      </c>
      <c r="T84" s="164">
        <f t="shared" si="16"/>
        <v>0</v>
      </c>
    </row>
    <row r="85" spans="2:20" x14ac:dyDescent="0.2">
      <c r="B85" s="171"/>
      <c r="D85" s="171"/>
      <c r="F85" s="158">
        <v>74</v>
      </c>
      <c r="G85" s="249">
        <f t="shared" si="17"/>
        <v>45900</v>
      </c>
      <c r="H85" s="158">
        <f t="shared" si="21"/>
        <v>31</v>
      </c>
      <c r="I85" s="254">
        <f>VLOOKUP(G85,'Прогноз переменной ставки'!$B$5:$E$304,4,1)</f>
        <v>9.9000000000000005E-2</v>
      </c>
      <c r="J85" s="164">
        <f t="shared" si="18"/>
        <v>60000.000000000007</v>
      </c>
      <c r="K85" s="164">
        <f t="shared" si="19"/>
        <v>1800671.7373497791</v>
      </c>
      <c r="L85" s="164">
        <f t="shared" si="22"/>
        <v>1800671.7373497791</v>
      </c>
      <c r="M85" s="164">
        <f t="shared" si="22"/>
        <v>0</v>
      </c>
      <c r="N85" s="164">
        <f t="shared" si="20"/>
        <v>15130.079567218268</v>
      </c>
      <c r="O85" s="164">
        <f t="shared" si="12"/>
        <v>44869.920432781742</v>
      </c>
      <c r="P85" s="164">
        <f t="shared" si="13"/>
        <v>15130.079567218268</v>
      </c>
      <c r="Q85" s="164">
        <f t="shared" si="14"/>
        <v>0</v>
      </c>
      <c r="R85" s="164">
        <f t="shared" si="23"/>
        <v>0</v>
      </c>
      <c r="S85" s="164">
        <f t="shared" si="15"/>
        <v>1755801.8169169973</v>
      </c>
      <c r="T85" s="164">
        <f t="shared" si="16"/>
        <v>0</v>
      </c>
    </row>
    <row r="86" spans="2:20" x14ac:dyDescent="0.2">
      <c r="B86" s="171"/>
      <c r="D86" s="171"/>
      <c r="F86" s="158">
        <v>75</v>
      </c>
      <c r="G86" s="249">
        <f t="shared" si="17"/>
        <v>45930</v>
      </c>
      <c r="H86" s="158">
        <f t="shared" si="21"/>
        <v>30</v>
      </c>
      <c r="I86" s="254">
        <f>VLOOKUP(G86,'Прогноз переменной ставки'!$B$5:$E$304,4,1)</f>
        <v>9.9000000000000005E-2</v>
      </c>
      <c r="J86" s="164">
        <f t="shared" si="18"/>
        <v>60000.000000000007</v>
      </c>
      <c r="K86" s="164">
        <f t="shared" si="19"/>
        <v>1755801.8169169973</v>
      </c>
      <c r="L86" s="164">
        <f t="shared" si="22"/>
        <v>1755801.8169169973</v>
      </c>
      <c r="M86" s="164">
        <f t="shared" si="22"/>
        <v>0</v>
      </c>
      <c r="N86" s="164">
        <f t="shared" si="20"/>
        <v>14277.156457887701</v>
      </c>
      <c r="O86" s="164">
        <f t="shared" si="12"/>
        <v>45722.843542112307</v>
      </c>
      <c r="P86" s="164">
        <f t="shared" si="13"/>
        <v>14277.156457887701</v>
      </c>
      <c r="Q86" s="164">
        <f t="shared" si="14"/>
        <v>0</v>
      </c>
      <c r="R86" s="164">
        <f t="shared" si="23"/>
        <v>0</v>
      </c>
      <c r="S86" s="164">
        <f t="shared" si="15"/>
        <v>1710078.973374885</v>
      </c>
      <c r="T86" s="164">
        <f t="shared" si="16"/>
        <v>0</v>
      </c>
    </row>
    <row r="87" spans="2:20" x14ac:dyDescent="0.2">
      <c r="B87" s="171"/>
      <c r="D87" s="171"/>
      <c r="F87" s="158">
        <v>76</v>
      </c>
      <c r="G87" s="249">
        <f t="shared" si="17"/>
        <v>45961</v>
      </c>
      <c r="H87" s="158">
        <f t="shared" si="21"/>
        <v>31</v>
      </c>
      <c r="I87" s="254">
        <f>VLOOKUP(G87,'Прогноз переменной ставки'!$B$5:$E$304,4,1)</f>
        <v>9.9000000000000005E-2</v>
      </c>
      <c r="J87" s="164">
        <f t="shared" si="18"/>
        <v>60000.000000000007</v>
      </c>
      <c r="K87" s="164">
        <f t="shared" si="19"/>
        <v>1710078.973374885</v>
      </c>
      <c r="L87" s="164">
        <f t="shared" si="22"/>
        <v>1710078.973374885</v>
      </c>
      <c r="M87" s="164">
        <f t="shared" si="22"/>
        <v>0</v>
      </c>
      <c r="N87" s="164">
        <f t="shared" si="20"/>
        <v>14368.877123306016</v>
      </c>
      <c r="O87" s="164">
        <f t="shared" si="12"/>
        <v>45631.122876693989</v>
      </c>
      <c r="P87" s="164">
        <f t="shared" si="13"/>
        <v>14368.877123306016</v>
      </c>
      <c r="Q87" s="164">
        <f t="shared" si="14"/>
        <v>0</v>
      </c>
      <c r="R87" s="164">
        <f t="shared" si="23"/>
        <v>0</v>
      </c>
      <c r="S87" s="164">
        <f t="shared" si="15"/>
        <v>1664447.8504981911</v>
      </c>
      <c r="T87" s="164">
        <f t="shared" si="16"/>
        <v>0</v>
      </c>
    </row>
    <row r="88" spans="2:20" x14ac:dyDescent="0.2">
      <c r="B88" s="171"/>
      <c r="D88" s="171"/>
      <c r="F88" s="158">
        <v>77</v>
      </c>
      <c r="G88" s="249">
        <f t="shared" si="17"/>
        <v>45991</v>
      </c>
      <c r="H88" s="158">
        <f t="shared" si="21"/>
        <v>30</v>
      </c>
      <c r="I88" s="254">
        <f>VLOOKUP(G88,'Прогноз переменной ставки'!$B$5:$E$304,4,1)</f>
        <v>9.9000000000000005E-2</v>
      </c>
      <c r="J88" s="164">
        <f t="shared" si="18"/>
        <v>60000.000000000007</v>
      </c>
      <c r="K88" s="164">
        <f t="shared" si="19"/>
        <v>1664447.8504981911</v>
      </c>
      <c r="L88" s="164">
        <f t="shared" si="22"/>
        <v>1664447.8504981911</v>
      </c>
      <c r="M88" s="164">
        <f t="shared" si="22"/>
        <v>0</v>
      </c>
      <c r="N88" s="164">
        <f t="shared" si="20"/>
        <v>13534.319277151617</v>
      </c>
      <c r="O88" s="164">
        <f t="shared" si="12"/>
        <v>46465.680722848389</v>
      </c>
      <c r="P88" s="164">
        <f t="shared" si="13"/>
        <v>13534.319277151617</v>
      </c>
      <c r="Q88" s="164">
        <f t="shared" si="14"/>
        <v>0</v>
      </c>
      <c r="R88" s="164">
        <f t="shared" si="23"/>
        <v>0</v>
      </c>
      <c r="S88" s="164">
        <f t="shared" si="15"/>
        <v>1617982.1697753428</v>
      </c>
      <c r="T88" s="164">
        <f t="shared" si="16"/>
        <v>0</v>
      </c>
    </row>
    <row r="89" spans="2:20" x14ac:dyDescent="0.2">
      <c r="B89" s="171"/>
      <c r="D89" s="171"/>
      <c r="F89" s="158">
        <v>78</v>
      </c>
      <c r="G89" s="249">
        <f t="shared" si="17"/>
        <v>46022</v>
      </c>
      <c r="H89" s="158">
        <f t="shared" si="21"/>
        <v>31</v>
      </c>
      <c r="I89" s="254">
        <f>VLOOKUP(G89,'Прогноз переменной ставки'!$B$5:$E$304,4,1)</f>
        <v>9.9000000000000005E-2</v>
      </c>
      <c r="J89" s="164">
        <f t="shared" si="18"/>
        <v>60000.000000000007</v>
      </c>
      <c r="K89" s="164">
        <f t="shared" si="19"/>
        <v>1617982.1697753428</v>
      </c>
      <c r="L89" s="164">
        <f t="shared" si="22"/>
        <v>1617982.1697753428</v>
      </c>
      <c r="M89" s="164">
        <f t="shared" si="22"/>
        <v>0</v>
      </c>
      <c r="N89" s="164">
        <f t="shared" si="20"/>
        <v>13595.037040494257</v>
      </c>
      <c r="O89" s="164">
        <f t="shared" si="12"/>
        <v>46404.962959505749</v>
      </c>
      <c r="P89" s="164">
        <f t="shared" si="13"/>
        <v>13595.037040494257</v>
      </c>
      <c r="Q89" s="164">
        <f t="shared" si="14"/>
        <v>0</v>
      </c>
      <c r="R89" s="164">
        <f t="shared" si="23"/>
        <v>0</v>
      </c>
      <c r="S89" s="164">
        <f t="shared" si="15"/>
        <v>1571577.206815837</v>
      </c>
      <c r="T89" s="164">
        <f t="shared" si="16"/>
        <v>0</v>
      </c>
    </row>
    <row r="90" spans="2:20" x14ac:dyDescent="0.2">
      <c r="B90" s="171"/>
      <c r="D90" s="171"/>
      <c r="F90" s="158">
        <v>79</v>
      </c>
      <c r="G90" s="249">
        <f t="shared" si="17"/>
        <v>46053</v>
      </c>
      <c r="H90" s="158">
        <f t="shared" si="21"/>
        <v>31</v>
      </c>
      <c r="I90" s="254">
        <f>VLOOKUP(G90,'Прогноз переменной ставки'!$B$5:$E$304,4,1)</f>
        <v>9.9000000000000005E-2</v>
      </c>
      <c r="J90" s="164">
        <f t="shared" si="18"/>
        <v>60000.000000000007</v>
      </c>
      <c r="K90" s="164">
        <f t="shared" si="19"/>
        <v>1571577.206815837</v>
      </c>
      <c r="L90" s="164">
        <f t="shared" si="22"/>
        <v>1571577.206815837</v>
      </c>
      <c r="M90" s="164">
        <f t="shared" si="22"/>
        <v>0</v>
      </c>
      <c r="N90" s="164">
        <f t="shared" si="20"/>
        <v>13205.121006756479</v>
      </c>
      <c r="O90" s="164">
        <f t="shared" si="12"/>
        <v>46794.878993243532</v>
      </c>
      <c r="P90" s="164">
        <f t="shared" si="13"/>
        <v>13205.121006756479</v>
      </c>
      <c r="Q90" s="164">
        <f t="shared" si="14"/>
        <v>0</v>
      </c>
      <c r="R90" s="164">
        <f t="shared" si="23"/>
        <v>0</v>
      </c>
      <c r="S90" s="164">
        <f t="shared" si="15"/>
        <v>1524782.3278225935</v>
      </c>
      <c r="T90" s="164">
        <f t="shared" si="16"/>
        <v>0</v>
      </c>
    </row>
    <row r="91" spans="2:20" x14ac:dyDescent="0.2">
      <c r="B91" s="171"/>
      <c r="D91" s="171"/>
      <c r="F91" s="158">
        <v>80</v>
      </c>
      <c r="G91" s="249">
        <f t="shared" si="17"/>
        <v>46081</v>
      </c>
      <c r="H91" s="158">
        <f t="shared" si="21"/>
        <v>28</v>
      </c>
      <c r="I91" s="254">
        <f>VLOOKUP(G91,'Прогноз переменной ставки'!$B$5:$E$304,4,1)</f>
        <v>9.9000000000000005E-2</v>
      </c>
      <c r="J91" s="164">
        <f t="shared" si="18"/>
        <v>60000.000000000007</v>
      </c>
      <c r="K91" s="164">
        <f t="shared" si="19"/>
        <v>1524782.3278225935</v>
      </c>
      <c r="L91" s="164">
        <f t="shared" si="22"/>
        <v>1524782.3278225935</v>
      </c>
      <c r="M91" s="164">
        <f t="shared" si="22"/>
        <v>0</v>
      </c>
      <c r="N91" s="164">
        <f t="shared" si="20"/>
        <v>11572.064648115618</v>
      </c>
      <c r="O91" s="164">
        <f t="shared" si="12"/>
        <v>48427.935351884385</v>
      </c>
      <c r="P91" s="164">
        <f t="shared" si="13"/>
        <v>11572.064648115618</v>
      </c>
      <c r="Q91" s="164">
        <f t="shared" si="14"/>
        <v>0</v>
      </c>
      <c r="R91" s="164">
        <f t="shared" si="23"/>
        <v>0</v>
      </c>
      <c r="S91" s="164">
        <f t="shared" si="15"/>
        <v>1476354.392470709</v>
      </c>
      <c r="T91" s="164">
        <f t="shared" si="16"/>
        <v>0</v>
      </c>
    </row>
    <row r="92" spans="2:20" x14ac:dyDescent="0.2">
      <c r="B92" s="171"/>
      <c r="D92" s="171"/>
      <c r="F92" s="158">
        <v>81</v>
      </c>
      <c r="G92" s="249">
        <f t="shared" si="17"/>
        <v>46112</v>
      </c>
      <c r="H92" s="158">
        <f t="shared" si="21"/>
        <v>31</v>
      </c>
      <c r="I92" s="254">
        <f>VLOOKUP(G92,'Прогноз переменной ставки'!$B$5:$E$304,4,1)</f>
        <v>9.9000000000000005E-2</v>
      </c>
      <c r="J92" s="164">
        <f t="shared" si="18"/>
        <v>60000.000000000007</v>
      </c>
      <c r="K92" s="164">
        <f t="shared" si="19"/>
        <v>1476354.392470709</v>
      </c>
      <c r="L92" s="164">
        <f t="shared" si="22"/>
        <v>1476354.392470709</v>
      </c>
      <c r="M92" s="164">
        <f t="shared" si="22"/>
        <v>0</v>
      </c>
      <c r="N92" s="164">
        <f t="shared" si="20"/>
        <v>12405.014730985917</v>
      </c>
      <c r="O92" s="164">
        <f t="shared" si="12"/>
        <v>47594.985269014091</v>
      </c>
      <c r="P92" s="164">
        <f t="shared" si="13"/>
        <v>12405.014730985917</v>
      </c>
      <c r="Q92" s="164">
        <f t="shared" si="14"/>
        <v>0</v>
      </c>
      <c r="R92" s="164">
        <f t="shared" si="23"/>
        <v>0</v>
      </c>
      <c r="S92" s="164">
        <f t="shared" si="15"/>
        <v>1428759.407201695</v>
      </c>
      <c r="T92" s="164">
        <f t="shared" si="16"/>
        <v>0</v>
      </c>
    </row>
    <row r="93" spans="2:20" x14ac:dyDescent="0.2">
      <c r="B93" s="171"/>
      <c r="D93" s="171"/>
      <c r="F93" s="158">
        <v>82</v>
      </c>
      <c r="G93" s="249">
        <f t="shared" si="17"/>
        <v>46142</v>
      </c>
      <c r="H93" s="158">
        <f t="shared" si="21"/>
        <v>30</v>
      </c>
      <c r="I93" s="254">
        <f>VLOOKUP(G93,'Прогноз переменной ставки'!$B$5:$E$304,4,1)</f>
        <v>9.9000000000000005E-2</v>
      </c>
      <c r="J93" s="164">
        <f t="shared" si="18"/>
        <v>60000.000000000007</v>
      </c>
      <c r="K93" s="164">
        <f t="shared" si="19"/>
        <v>1428759.407201695</v>
      </c>
      <c r="L93" s="164">
        <f t="shared" si="22"/>
        <v>1428759.407201695</v>
      </c>
      <c r="M93" s="164">
        <f t="shared" si="22"/>
        <v>0</v>
      </c>
      <c r="N93" s="164">
        <f t="shared" si="20"/>
        <v>11617.838300859779</v>
      </c>
      <c r="O93" s="164">
        <f t="shared" si="12"/>
        <v>48382.161699140226</v>
      </c>
      <c r="P93" s="164">
        <f t="shared" si="13"/>
        <v>11617.838300859779</v>
      </c>
      <c r="Q93" s="164">
        <f t="shared" si="14"/>
        <v>0</v>
      </c>
      <c r="R93" s="164">
        <f t="shared" si="23"/>
        <v>0</v>
      </c>
      <c r="S93" s="164">
        <f t="shared" si="15"/>
        <v>1380377.2455025548</v>
      </c>
      <c r="T93" s="164">
        <f t="shared" si="16"/>
        <v>0</v>
      </c>
    </row>
    <row r="94" spans="2:20" x14ac:dyDescent="0.2">
      <c r="B94" s="171"/>
      <c r="D94" s="171"/>
      <c r="F94" s="158">
        <v>83</v>
      </c>
      <c r="G94" s="249">
        <f t="shared" si="17"/>
        <v>46173</v>
      </c>
      <c r="H94" s="158">
        <f t="shared" si="21"/>
        <v>31</v>
      </c>
      <c r="I94" s="254">
        <f>VLOOKUP(G94,'Прогноз переменной ставки'!$B$5:$E$304,4,1)</f>
        <v>9.9000000000000005E-2</v>
      </c>
      <c r="J94" s="164">
        <f t="shared" si="18"/>
        <v>60000.000000000007</v>
      </c>
      <c r="K94" s="164">
        <f t="shared" si="19"/>
        <v>1380377.2455025548</v>
      </c>
      <c r="L94" s="164">
        <f t="shared" si="22"/>
        <v>1380377.2455025548</v>
      </c>
      <c r="M94" s="164">
        <f t="shared" si="22"/>
        <v>0</v>
      </c>
      <c r="N94" s="164">
        <f t="shared" si="20"/>
        <v>11598.570202456785</v>
      </c>
      <c r="O94" s="164">
        <f t="shared" si="12"/>
        <v>48401.42979754322</v>
      </c>
      <c r="P94" s="164">
        <f t="shared" si="13"/>
        <v>11598.570202456785</v>
      </c>
      <c r="Q94" s="164">
        <f t="shared" si="14"/>
        <v>0</v>
      </c>
      <c r="R94" s="164">
        <f t="shared" si="23"/>
        <v>0</v>
      </c>
      <c r="S94" s="164">
        <f t="shared" si="15"/>
        <v>1331975.8157050116</v>
      </c>
      <c r="T94" s="164">
        <f t="shared" si="16"/>
        <v>0</v>
      </c>
    </row>
    <row r="95" spans="2:20" x14ac:dyDescent="0.2">
      <c r="B95" s="171"/>
      <c r="D95" s="171"/>
      <c r="F95" s="158">
        <v>84</v>
      </c>
      <c r="G95" s="249">
        <f t="shared" si="17"/>
        <v>46203</v>
      </c>
      <c r="H95" s="158">
        <f t="shared" si="21"/>
        <v>30</v>
      </c>
      <c r="I95" s="254">
        <f>VLOOKUP(G95,'Прогноз переменной ставки'!$B$5:$E$304,4,1)</f>
        <v>9.9000000000000005E-2</v>
      </c>
      <c r="J95" s="164">
        <f t="shared" si="18"/>
        <v>60000.000000000007</v>
      </c>
      <c r="K95" s="164">
        <f t="shared" si="19"/>
        <v>1331975.8157050116</v>
      </c>
      <c r="L95" s="164">
        <f t="shared" si="22"/>
        <v>1331975.8157050116</v>
      </c>
      <c r="M95" s="164">
        <f t="shared" si="22"/>
        <v>0</v>
      </c>
      <c r="N95" s="164">
        <f t="shared" si="20"/>
        <v>10830.8505753426</v>
      </c>
      <c r="O95" s="164">
        <f t="shared" si="12"/>
        <v>49169.149424657408</v>
      </c>
      <c r="P95" s="164">
        <f t="shared" si="13"/>
        <v>10830.8505753426</v>
      </c>
      <c r="Q95" s="164">
        <f t="shared" si="14"/>
        <v>0</v>
      </c>
      <c r="R95" s="164">
        <f t="shared" si="23"/>
        <v>0</v>
      </c>
      <c r="S95" s="164">
        <f t="shared" si="15"/>
        <v>1282806.6662803541</v>
      </c>
      <c r="T95" s="164">
        <f t="shared" si="16"/>
        <v>0</v>
      </c>
    </row>
    <row r="96" spans="2:20" x14ac:dyDescent="0.2">
      <c r="B96" s="171"/>
      <c r="D96" s="171"/>
      <c r="F96" s="158">
        <v>85</v>
      </c>
      <c r="G96" s="249">
        <f t="shared" si="17"/>
        <v>46234</v>
      </c>
      <c r="H96" s="158">
        <f t="shared" si="21"/>
        <v>31</v>
      </c>
      <c r="I96" s="254">
        <f>VLOOKUP(G96,'Прогноз переменной ставки'!$B$5:$E$304,4,1)</f>
        <v>9.9000000000000005E-2</v>
      </c>
      <c r="J96" s="164">
        <f t="shared" si="18"/>
        <v>60000.000000000007</v>
      </c>
      <c r="K96" s="164">
        <f t="shared" si="19"/>
        <v>1282806.6662803541</v>
      </c>
      <c r="L96" s="164">
        <f t="shared" si="22"/>
        <v>1282806.6662803541</v>
      </c>
      <c r="M96" s="164">
        <f t="shared" si="22"/>
        <v>0</v>
      </c>
      <c r="N96" s="164">
        <f t="shared" si="20"/>
        <v>10778.736916671887</v>
      </c>
      <c r="O96" s="164">
        <f t="shared" si="12"/>
        <v>49221.263083328122</v>
      </c>
      <c r="P96" s="164">
        <f t="shared" si="13"/>
        <v>10778.736916671887</v>
      </c>
      <c r="Q96" s="164">
        <f t="shared" si="14"/>
        <v>0</v>
      </c>
      <c r="R96" s="164">
        <f t="shared" si="23"/>
        <v>0</v>
      </c>
      <c r="S96" s="164">
        <f t="shared" si="15"/>
        <v>1233585.4031970261</v>
      </c>
      <c r="T96" s="164">
        <f t="shared" si="16"/>
        <v>0</v>
      </c>
    </row>
    <row r="97" spans="2:20" x14ac:dyDescent="0.2">
      <c r="B97" s="171"/>
      <c r="D97" s="171"/>
      <c r="F97" s="158">
        <v>86</v>
      </c>
      <c r="G97" s="249">
        <f t="shared" si="17"/>
        <v>46265</v>
      </c>
      <c r="H97" s="158">
        <f t="shared" si="21"/>
        <v>31</v>
      </c>
      <c r="I97" s="254">
        <f>VLOOKUP(G97,'Прогноз переменной ставки'!$B$5:$E$304,4,1)</f>
        <v>9.9000000000000005E-2</v>
      </c>
      <c r="J97" s="164">
        <f t="shared" si="18"/>
        <v>60000.000000000007</v>
      </c>
      <c r="K97" s="164">
        <f t="shared" si="19"/>
        <v>1233585.4031970261</v>
      </c>
      <c r="L97" s="164">
        <f t="shared" si="22"/>
        <v>1233585.4031970261</v>
      </c>
      <c r="M97" s="164">
        <f t="shared" si="22"/>
        <v>0</v>
      </c>
      <c r="N97" s="164">
        <f t="shared" si="20"/>
        <v>10365.157022345444</v>
      </c>
      <c r="O97" s="164">
        <f t="shared" si="12"/>
        <v>49634.842977654567</v>
      </c>
      <c r="P97" s="164">
        <f t="shared" si="13"/>
        <v>10365.157022345444</v>
      </c>
      <c r="Q97" s="164">
        <f t="shared" si="14"/>
        <v>0</v>
      </c>
      <c r="R97" s="164">
        <f t="shared" si="23"/>
        <v>0</v>
      </c>
      <c r="S97" s="164">
        <f t="shared" si="15"/>
        <v>1183950.5602193715</v>
      </c>
      <c r="T97" s="164">
        <f t="shared" si="16"/>
        <v>0</v>
      </c>
    </row>
    <row r="98" spans="2:20" x14ac:dyDescent="0.2">
      <c r="B98" s="171"/>
      <c r="D98" s="171"/>
      <c r="F98" s="158">
        <v>87</v>
      </c>
      <c r="G98" s="249">
        <f t="shared" si="17"/>
        <v>46295</v>
      </c>
      <c r="H98" s="158">
        <f t="shared" si="21"/>
        <v>30</v>
      </c>
      <c r="I98" s="254">
        <f>VLOOKUP(G98,'Прогноз переменной ставки'!$B$5:$E$304,4,1)</f>
        <v>9.9000000000000005E-2</v>
      </c>
      <c r="J98" s="164">
        <f t="shared" si="18"/>
        <v>60000.000000000007</v>
      </c>
      <c r="K98" s="164">
        <f t="shared" si="19"/>
        <v>1183950.5602193715</v>
      </c>
      <c r="L98" s="164">
        <f t="shared" si="22"/>
        <v>1183950.5602193715</v>
      </c>
      <c r="M98" s="164">
        <f t="shared" si="22"/>
        <v>0</v>
      </c>
      <c r="N98" s="164">
        <f t="shared" si="20"/>
        <v>9627.1955204696333</v>
      </c>
      <c r="O98" s="164">
        <f t="shared" si="12"/>
        <v>50372.804479530372</v>
      </c>
      <c r="P98" s="164">
        <f t="shared" si="13"/>
        <v>9627.1955204696333</v>
      </c>
      <c r="Q98" s="164">
        <f t="shared" si="14"/>
        <v>0</v>
      </c>
      <c r="R98" s="164">
        <f t="shared" si="23"/>
        <v>0</v>
      </c>
      <c r="S98" s="164">
        <f t="shared" si="15"/>
        <v>1133577.7557398411</v>
      </c>
      <c r="T98" s="164">
        <f t="shared" si="16"/>
        <v>0</v>
      </c>
    </row>
    <row r="99" spans="2:20" x14ac:dyDescent="0.2">
      <c r="B99" s="171"/>
      <c r="D99" s="171"/>
      <c r="F99" s="158">
        <v>88</v>
      </c>
      <c r="G99" s="249">
        <f t="shared" si="17"/>
        <v>46326</v>
      </c>
      <c r="H99" s="158">
        <f t="shared" si="21"/>
        <v>31</v>
      </c>
      <c r="I99" s="254">
        <f>VLOOKUP(G99,'Прогноз переменной ставки'!$B$5:$E$304,4,1)</f>
        <v>9.9000000000000005E-2</v>
      </c>
      <c r="J99" s="164">
        <f t="shared" si="18"/>
        <v>60000.000000000007</v>
      </c>
      <c r="K99" s="164">
        <f t="shared" si="19"/>
        <v>1133577.7557398411</v>
      </c>
      <c r="L99" s="164">
        <f t="shared" si="22"/>
        <v>1133577.7557398411</v>
      </c>
      <c r="M99" s="164">
        <f t="shared" si="22"/>
        <v>0</v>
      </c>
      <c r="N99" s="164">
        <f t="shared" si="20"/>
        <v>9524.8463582904114</v>
      </c>
      <c r="O99" s="164">
        <f t="shared" si="12"/>
        <v>50475.153641709592</v>
      </c>
      <c r="P99" s="164">
        <f t="shared" si="13"/>
        <v>9524.8463582904114</v>
      </c>
      <c r="Q99" s="164">
        <f t="shared" si="14"/>
        <v>0</v>
      </c>
      <c r="R99" s="164">
        <f t="shared" si="23"/>
        <v>0</v>
      </c>
      <c r="S99" s="164">
        <f t="shared" si="15"/>
        <v>1083102.6020981316</v>
      </c>
      <c r="T99" s="164">
        <f t="shared" si="16"/>
        <v>0</v>
      </c>
    </row>
    <row r="100" spans="2:20" x14ac:dyDescent="0.2">
      <c r="B100" s="171"/>
      <c r="D100" s="171"/>
      <c r="F100" s="158">
        <v>89</v>
      </c>
      <c r="G100" s="249">
        <f t="shared" si="17"/>
        <v>46356</v>
      </c>
      <c r="H100" s="158">
        <f t="shared" si="21"/>
        <v>30</v>
      </c>
      <c r="I100" s="254">
        <f>VLOOKUP(G100,'Прогноз переменной ставки'!$B$5:$E$304,4,1)</f>
        <v>9.9000000000000005E-2</v>
      </c>
      <c r="J100" s="164">
        <f t="shared" si="18"/>
        <v>60000.000000000007</v>
      </c>
      <c r="K100" s="164">
        <f t="shared" si="19"/>
        <v>1083102.6020981316</v>
      </c>
      <c r="L100" s="164">
        <f t="shared" si="22"/>
        <v>1083102.6020981316</v>
      </c>
      <c r="M100" s="164">
        <f t="shared" si="22"/>
        <v>0</v>
      </c>
      <c r="N100" s="164">
        <f t="shared" si="20"/>
        <v>8807.1587357466142</v>
      </c>
      <c r="O100" s="164">
        <f t="shared" si="12"/>
        <v>51192.841264253395</v>
      </c>
      <c r="P100" s="164">
        <f t="shared" si="13"/>
        <v>8807.1587357466142</v>
      </c>
      <c r="Q100" s="164">
        <f t="shared" si="14"/>
        <v>0</v>
      </c>
      <c r="R100" s="164">
        <f t="shared" si="23"/>
        <v>0</v>
      </c>
      <c r="S100" s="164">
        <f t="shared" si="15"/>
        <v>1031909.7608338782</v>
      </c>
      <c r="T100" s="164">
        <f t="shared" si="16"/>
        <v>0</v>
      </c>
    </row>
    <row r="101" spans="2:20" x14ac:dyDescent="0.2">
      <c r="B101" s="171"/>
      <c r="D101" s="171"/>
      <c r="F101" s="158">
        <v>90</v>
      </c>
      <c r="G101" s="249">
        <f t="shared" si="17"/>
        <v>46387</v>
      </c>
      <c r="H101" s="158">
        <f t="shared" si="21"/>
        <v>31</v>
      </c>
      <c r="I101" s="254">
        <f>VLOOKUP(G101,'Прогноз переменной ставки'!$B$5:$E$304,4,1)</f>
        <v>9.9000000000000005E-2</v>
      </c>
      <c r="J101" s="164">
        <f t="shared" si="18"/>
        <v>60000.000000000007</v>
      </c>
      <c r="K101" s="164">
        <f t="shared" si="19"/>
        <v>1031909.7608338782</v>
      </c>
      <c r="L101" s="164">
        <f t="shared" si="22"/>
        <v>1031909.7608338782</v>
      </c>
      <c r="M101" s="164">
        <f t="shared" si="22"/>
        <v>0</v>
      </c>
      <c r="N101" s="164">
        <f t="shared" si="20"/>
        <v>8670.5846844604312</v>
      </c>
      <c r="O101" s="164">
        <f t="shared" si="12"/>
        <v>51329.415315539576</v>
      </c>
      <c r="P101" s="164">
        <f t="shared" si="13"/>
        <v>8670.5846844604312</v>
      </c>
      <c r="Q101" s="164">
        <f t="shared" si="14"/>
        <v>0</v>
      </c>
      <c r="R101" s="164">
        <f t="shared" si="23"/>
        <v>0</v>
      </c>
      <c r="S101" s="164">
        <f t="shared" si="15"/>
        <v>980580.34551833861</v>
      </c>
      <c r="T101" s="164">
        <f t="shared" si="16"/>
        <v>0</v>
      </c>
    </row>
    <row r="102" spans="2:20" x14ac:dyDescent="0.2">
      <c r="B102" s="171"/>
      <c r="D102" s="171"/>
      <c r="F102" s="158">
        <v>91</v>
      </c>
      <c r="G102" s="249">
        <f t="shared" si="17"/>
        <v>46418</v>
      </c>
      <c r="H102" s="158">
        <f t="shared" si="21"/>
        <v>31</v>
      </c>
      <c r="I102" s="254">
        <f>VLOOKUP(G102,'Прогноз переменной ставки'!$B$5:$E$304,4,1)</f>
        <v>9.9000000000000005E-2</v>
      </c>
      <c r="J102" s="164">
        <f t="shared" si="18"/>
        <v>60000.000000000007</v>
      </c>
      <c r="K102" s="164">
        <f t="shared" si="19"/>
        <v>980580.34551833861</v>
      </c>
      <c r="L102" s="164">
        <f t="shared" si="22"/>
        <v>980580.34551833861</v>
      </c>
      <c r="M102" s="164">
        <f t="shared" si="22"/>
        <v>0</v>
      </c>
      <c r="N102" s="164">
        <f t="shared" si="20"/>
        <v>8239.2911167577859</v>
      </c>
      <c r="O102" s="164">
        <f t="shared" si="12"/>
        <v>51760.708883242223</v>
      </c>
      <c r="P102" s="164">
        <f t="shared" si="13"/>
        <v>8239.2911167577859</v>
      </c>
      <c r="Q102" s="164">
        <f t="shared" si="14"/>
        <v>0</v>
      </c>
      <c r="R102" s="164">
        <f t="shared" si="23"/>
        <v>0</v>
      </c>
      <c r="S102" s="164">
        <f t="shared" si="15"/>
        <v>928819.63663509639</v>
      </c>
      <c r="T102" s="164">
        <f t="shared" si="16"/>
        <v>0</v>
      </c>
    </row>
    <row r="103" spans="2:20" x14ac:dyDescent="0.2">
      <c r="B103" s="171"/>
      <c r="D103" s="171"/>
      <c r="F103" s="158">
        <v>92</v>
      </c>
      <c r="G103" s="249">
        <f t="shared" si="17"/>
        <v>46446</v>
      </c>
      <c r="H103" s="158">
        <f t="shared" si="21"/>
        <v>28</v>
      </c>
      <c r="I103" s="254">
        <f>VLOOKUP(G103,'Прогноз переменной ставки'!$B$5:$E$304,4,1)</f>
        <v>9.9000000000000005E-2</v>
      </c>
      <c r="J103" s="164">
        <f t="shared" si="18"/>
        <v>60000.000000000007</v>
      </c>
      <c r="K103" s="164">
        <f t="shared" si="19"/>
        <v>928819.63663509639</v>
      </c>
      <c r="L103" s="164">
        <f t="shared" si="22"/>
        <v>928819.63663509639</v>
      </c>
      <c r="M103" s="164">
        <f t="shared" si="22"/>
        <v>0</v>
      </c>
      <c r="N103" s="164">
        <f t="shared" si="20"/>
        <v>7049.111657090999</v>
      </c>
      <c r="O103" s="164">
        <f t="shared" si="12"/>
        <v>52950.888342909006</v>
      </c>
      <c r="P103" s="164">
        <f t="shared" si="13"/>
        <v>7049.111657090999</v>
      </c>
      <c r="Q103" s="164">
        <f t="shared" si="14"/>
        <v>0</v>
      </c>
      <c r="R103" s="164">
        <f t="shared" si="23"/>
        <v>0</v>
      </c>
      <c r="S103" s="164">
        <f t="shared" si="15"/>
        <v>875868.74829218735</v>
      </c>
      <c r="T103" s="164">
        <f t="shared" si="16"/>
        <v>0</v>
      </c>
    </row>
    <row r="104" spans="2:20" x14ac:dyDescent="0.2">
      <c r="B104" s="171"/>
      <c r="D104" s="171"/>
      <c r="F104" s="158">
        <v>93</v>
      </c>
      <c r="G104" s="249">
        <f t="shared" si="17"/>
        <v>46477</v>
      </c>
      <c r="H104" s="158">
        <f t="shared" si="21"/>
        <v>31</v>
      </c>
      <c r="I104" s="254">
        <f>VLOOKUP(G104,'Прогноз переменной ставки'!$B$5:$E$304,4,1)</f>
        <v>9.9000000000000005E-2</v>
      </c>
      <c r="J104" s="164">
        <f t="shared" si="18"/>
        <v>60000.000000000007</v>
      </c>
      <c r="K104" s="164">
        <f t="shared" si="19"/>
        <v>875868.74829218735</v>
      </c>
      <c r="L104" s="164">
        <f t="shared" si="22"/>
        <v>875868.74829218735</v>
      </c>
      <c r="M104" s="164">
        <f t="shared" si="22"/>
        <v>0</v>
      </c>
      <c r="N104" s="164">
        <f t="shared" si="20"/>
        <v>7359.4556838021172</v>
      </c>
      <c r="O104" s="164">
        <f t="shared" si="12"/>
        <v>52640.544316197891</v>
      </c>
      <c r="P104" s="164">
        <f t="shared" si="13"/>
        <v>7359.4556838021172</v>
      </c>
      <c r="Q104" s="164">
        <f t="shared" si="14"/>
        <v>0</v>
      </c>
      <c r="R104" s="164">
        <f t="shared" si="23"/>
        <v>0</v>
      </c>
      <c r="S104" s="164">
        <f t="shared" si="15"/>
        <v>823228.20397598948</v>
      </c>
      <c r="T104" s="164">
        <f t="shared" si="16"/>
        <v>0</v>
      </c>
    </row>
    <row r="105" spans="2:20" x14ac:dyDescent="0.2">
      <c r="B105" s="171"/>
      <c r="D105" s="171"/>
      <c r="F105" s="158">
        <v>94</v>
      </c>
      <c r="G105" s="249">
        <f t="shared" si="17"/>
        <v>46507</v>
      </c>
      <c r="H105" s="158">
        <f t="shared" si="21"/>
        <v>30</v>
      </c>
      <c r="I105" s="254">
        <f>VLOOKUP(G105,'Прогноз переменной ставки'!$B$5:$E$304,4,1)</f>
        <v>9.9000000000000005E-2</v>
      </c>
      <c r="J105" s="164">
        <f t="shared" si="18"/>
        <v>60000.000000000007</v>
      </c>
      <c r="K105" s="164">
        <f t="shared" si="19"/>
        <v>823228.20397598948</v>
      </c>
      <c r="L105" s="164">
        <f t="shared" si="22"/>
        <v>823228.20397598948</v>
      </c>
      <c r="M105" s="164">
        <f t="shared" si="22"/>
        <v>0</v>
      </c>
      <c r="N105" s="164">
        <f t="shared" si="20"/>
        <v>6694.0116791476767</v>
      </c>
      <c r="O105" s="164">
        <f t="shared" si="12"/>
        <v>53305.988320852332</v>
      </c>
      <c r="P105" s="164">
        <f t="shared" si="13"/>
        <v>6694.0116791476767</v>
      </c>
      <c r="Q105" s="164">
        <f t="shared" si="14"/>
        <v>0</v>
      </c>
      <c r="R105" s="164">
        <f t="shared" si="23"/>
        <v>0</v>
      </c>
      <c r="S105" s="164">
        <f t="shared" si="15"/>
        <v>769922.2156551372</v>
      </c>
      <c r="T105" s="164">
        <f t="shared" si="16"/>
        <v>0</v>
      </c>
    </row>
    <row r="106" spans="2:20" x14ac:dyDescent="0.2">
      <c r="B106" s="171"/>
      <c r="D106" s="171"/>
      <c r="F106" s="158">
        <v>95</v>
      </c>
      <c r="G106" s="249">
        <f t="shared" si="17"/>
        <v>46538</v>
      </c>
      <c r="H106" s="158">
        <f t="shared" si="21"/>
        <v>31</v>
      </c>
      <c r="I106" s="254">
        <f>VLOOKUP(G106,'Прогноз переменной ставки'!$B$5:$E$304,4,1)</f>
        <v>9.9000000000000005E-2</v>
      </c>
      <c r="J106" s="164">
        <f t="shared" si="18"/>
        <v>60000.000000000007</v>
      </c>
      <c r="K106" s="164">
        <f t="shared" si="19"/>
        <v>769922.2156551372</v>
      </c>
      <c r="L106" s="164">
        <f t="shared" si="22"/>
        <v>769922.2156551372</v>
      </c>
      <c r="M106" s="164">
        <f t="shared" si="22"/>
        <v>0</v>
      </c>
      <c r="N106" s="164">
        <f t="shared" si="20"/>
        <v>6469.2437504328982</v>
      </c>
      <c r="O106" s="164">
        <f t="shared" si="12"/>
        <v>53530.756249567108</v>
      </c>
      <c r="P106" s="164">
        <f t="shared" si="13"/>
        <v>6469.2437504328982</v>
      </c>
      <c r="Q106" s="164">
        <f t="shared" si="14"/>
        <v>0</v>
      </c>
      <c r="R106" s="164">
        <f t="shared" si="23"/>
        <v>0</v>
      </c>
      <c r="S106" s="164">
        <f t="shared" si="15"/>
        <v>716391.45940557006</v>
      </c>
      <c r="T106" s="164">
        <f t="shared" si="16"/>
        <v>0</v>
      </c>
    </row>
    <row r="107" spans="2:20" x14ac:dyDescent="0.2">
      <c r="B107" s="171"/>
      <c r="D107" s="171"/>
      <c r="F107" s="158">
        <v>96</v>
      </c>
      <c r="G107" s="249">
        <f t="shared" si="17"/>
        <v>46568</v>
      </c>
      <c r="H107" s="158">
        <f t="shared" si="21"/>
        <v>30</v>
      </c>
      <c r="I107" s="254">
        <f>VLOOKUP(G107,'Прогноз переменной ставки'!$B$5:$E$304,4,1)</f>
        <v>9.9000000000000005E-2</v>
      </c>
      <c r="J107" s="164">
        <f t="shared" si="18"/>
        <v>60000.000000000007</v>
      </c>
      <c r="K107" s="164">
        <f t="shared" si="19"/>
        <v>716391.45940557006</v>
      </c>
      <c r="L107" s="164">
        <f t="shared" si="22"/>
        <v>716391.45940557006</v>
      </c>
      <c r="M107" s="164">
        <f t="shared" si="22"/>
        <v>0</v>
      </c>
      <c r="N107" s="164">
        <f t="shared" si="20"/>
        <v>5825.2775754539171</v>
      </c>
      <c r="O107" s="164">
        <f t="shared" si="12"/>
        <v>54174.722424546089</v>
      </c>
      <c r="P107" s="164">
        <f t="shared" si="13"/>
        <v>5825.2775754539171</v>
      </c>
      <c r="Q107" s="164">
        <f t="shared" si="14"/>
        <v>0</v>
      </c>
      <c r="R107" s="164">
        <f t="shared" si="23"/>
        <v>0</v>
      </c>
      <c r="S107" s="164">
        <f t="shared" si="15"/>
        <v>662216.73698102392</v>
      </c>
      <c r="T107" s="164">
        <f t="shared" si="16"/>
        <v>0</v>
      </c>
    </row>
    <row r="108" spans="2:20" x14ac:dyDescent="0.2">
      <c r="B108" s="171"/>
      <c r="D108" s="171"/>
      <c r="F108" s="158">
        <v>97</v>
      </c>
      <c r="G108" s="249">
        <f t="shared" si="17"/>
        <v>46599</v>
      </c>
      <c r="H108" s="158">
        <f t="shared" si="21"/>
        <v>31</v>
      </c>
      <c r="I108" s="254">
        <f>VLOOKUP(G108,'Прогноз переменной ставки'!$B$5:$E$304,4,1)</f>
        <v>9.9000000000000005E-2</v>
      </c>
      <c r="J108" s="164">
        <f t="shared" si="18"/>
        <v>60000.000000000007</v>
      </c>
      <c r="K108" s="164">
        <f t="shared" si="19"/>
        <v>662216.73698102392</v>
      </c>
      <c r="L108" s="164">
        <f t="shared" si="22"/>
        <v>662216.73698102392</v>
      </c>
      <c r="M108" s="164">
        <f t="shared" si="22"/>
        <v>0</v>
      </c>
      <c r="N108" s="164">
        <f t="shared" si="20"/>
        <v>5564.2523361937365</v>
      </c>
      <c r="O108" s="164">
        <f t="shared" si="12"/>
        <v>54435.747663806273</v>
      </c>
      <c r="P108" s="164">
        <f t="shared" si="13"/>
        <v>5564.2523361937365</v>
      </c>
      <c r="Q108" s="164">
        <f t="shared" si="14"/>
        <v>0</v>
      </c>
      <c r="R108" s="164">
        <f t="shared" si="23"/>
        <v>0</v>
      </c>
      <c r="S108" s="164">
        <f t="shared" si="15"/>
        <v>607780.98931721761</v>
      </c>
      <c r="T108" s="164">
        <f t="shared" si="16"/>
        <v>0</v>
      </c>
    </row>
    <row r="109" spans="2:20" x14ac:dyDescent="0.2">
      <c r="B109" s="171"/>
      <c r="D109" s="171"/>
      <c r="F109" s="158">
        <v>98</v>
      </c>
      <c r="G109" s="249">
        <f t="shared" si="17"/>
        <v>46630</v>
      </c>
      <c r="H109" s="158">
        <f t="shared" si="21"/>
        <v>31</v>
      </c>
      <c r="I109" s="254">
        <f>VLOOKUP(G109,'Прогноз переменной ставки'!$B$5:$E$304,4,1)</f>
        <v>9.9000000000000005E-2</v>
      </c>
      <c r="J109" s="164">
        <f t="shared" si="18"/>
        <v>60000.000000000007</v>
      </c>
      <c r="K109" s="164">
        <f t="shared" si="19"/>
        <v>607780.98931721761</v>
      </c>
      <c r="L109" s="164">
        <f t="shared" si="22"/>
        <v>607780.98931721761</v>
      </c>
      <c r="M109" s="164">
        <f t="shared" si="22"/>
        <v>0</v>
      </c>
      <c r="N109" s="164">
        <f t="shared" si="20"/>
        <v>5106.8579225586336</v>
      </c>
      <c r="O109" s="164">
        <f t="shared" si="12"/>
        <v>54893.142077441371</v>
      </c>
      <c r="P109" s="164">
        <f t="shared" si="13"/>
        <v>5106.8579225586336</v>
      </c>
      <c r="Q109" s="164">
        <f t="shared" si="14"/>
        <v>0</v>
      </c>
      <c r="R109" s="164">
        <f t="shared" si="23"/>
        <v>0</v>
      </c>
      <c r="S109" s="164">
        <f t="shared" si="15"/>
        <v>552887.84723977628</v>
      </c>
      <c r="T109" s="164">
        <f t="shared" si="16"/>
        <v>0</v>
      </c>
    </row>
    <row r="110" spans="2:20" x14ac:dyDescent="0.2">
      <c r="B110" s="171"/>
      <c r="D110" s="171"/>
      <c r="F110" s="158">
        <v>99</v>
      </c>
      <c r="G110" s="249">
        <f t="shared" si="17"/>
        <v>46660</v>
      </c>
      <c r="H110" s="158">
        <f t="shared" si="21"/>
        <v>30</v>
      </c>
      <c r="I110" s="254">
        <f>VLOOKUP(G110,'Прогноз переменной ставки'!$B$5:$E$304,4,1)</f>
        <v>9.9000000000000005E-2</v>
      </c>
      <c r="J110" s="164">
        <f t="shared" si="18"/>
        <v>60000.000000000007</v>
      </c>
      <c r="K110" s="164">
        <f t="shared" si="19"/>
        <v>552887.84723977628</v>
      </c>
      <c r="L110" s="164">
        <f t="shared" si="22"/>
        <v>552887.84723977628</v>
      </c>
      <c r="M110" s="164">
        <f t="shared" si="22"/>
        <v>0</v>
      </c>
      <c r="N110" s="164">
        <f t="shared" si="20"/>
        <v>4495.7615504507476</v>
      </c>
      <c r="O110" s="164">
        <f t="shared" si="12"/>
        <v>55504.238449549259</v>
      </c>
      <c r="P110" s="164">
        <f t="shared" si="13"/>
        <v>4495.7615504507476</v>
      </c>
      <c r="Q110" s="164">
        <f t="shared" si="14"/>
        <v>0</v>
      </c>
      <c r="R110" s="164">
        <f t="shared" si="23"/>
        <v>0</v>
      </c>
      <c r="S110" s="164">
        <f t="shared" si="15"/>
        <v>497383.60879022704</v>
      </c>
      <c r="T110" s="164">
        <f t="shared" si="16"/>
        <v>0</v>
      </c>
    </row>
    <row r="111" spans="2:20" x14ac:dyDescent="0.2">
      <c r="B111" s="171"/>
      <c r="D111" s="171"/>
      <c r="F111" s="158">
        <v>100</v>
      </c>
      <c r="G111" s="249">
        <f t="shared" si="17"/>
        <v>46691</v>
      </c>
      <c r="H111" s="158">
        <f t="shared" si="21"/>
        <v>31</v>
      </c>
      <c r="I111" s="254">
        <f>VLOOKUP(G111,'Прогноз переменной ставки'!$B$5:$E$304,4,1)</f>
        <v>9.9000000000000005E-2</v>
      </c>
      <c r="J111" s="164">
        <f t="shared" si="18"/>
        <v>60000.000000000007</v>
      </c>
      <c r="K111" s="164">
        <f t="shared" si="19"/>
        <v>497383.60879022704</v>
      </c>
      <c r="L111" s="164">
        <f t="shared" si="22"/>
        <v>497383.60879022704</v>
      </c>
      <c r="M111" s="164">
        <f t="shared" si="22"/>
        <v>0</v>
      </c>
      <c r="N111" s="164">
        <f t="shared" si="20"/>
        <v>4179.2478997322569</v>
      </c>
      <c r="O111" s="164">
        <f t="shared" si="12"/>
        <v>55820.752100267753</v>
      </c>
      <c r="P111" s="164">
        <f t="shared" si="13"/>
        <v>4179.2478997322569</v>
      </c>
      <c r="Q111" s="164">
        <f t="shared" si="14"/>
        <v>0</v>
      </c>
      <c r="R111" s="164">
        <f t="shared" si="23"/>
        <v>0</v>
      </c>
      <c r="S111" s="164">
        <f t="shared" si="15"/>
        <v>441562.8566899593</v>
      </c>
      <c r="T111" s="164">
        <f t="shared" si="16"/>
        <v>0</v>
      </c>
    </row>
    <row r="112" spans="2:20" x14ac:dyDescent="0.2">
      <c r="B112" s="171"/>
      <c r="D112" s="171"/>
      <c r="F112" s="158">
        <v>101</v>
      </c>
      <c r="G112" s="249">
        <f t="shared" si="17"/>
        <v>46721</v>
      </c>
      <c r="H112" s="158">
        <f t="shared" si="21"/>
        <v>30</v>
      </c>
      <c r="I112" s="254">
        <f>VLOOKUP(G112,'Прогноз переменной ставки'!$B$5:$E$304,4,1)</f>
        <v>9.9000000000000005E-2</v>
      </c>
      <c r="J112" s="164">
        <f t="shared" si="18"/>
        <v>60000.000000000007</v>
      </c>
      <c r="K112" s="164">
        <f t="shared" si="19"/>
        <v>441562.8566899593</v>
      </c>
      <c r="L112" s="164">
        <f t="shared" si="22"/>
        <v>441562.8566899593</v>
      </c>
      <c r="M112" s="164">
        <f t="shared" si="22"/>
        <v>0</v>
      </c>
      <c r="N112" s="164">
        <f t="shared" si="20"/>
        <v>3590.5316478280065</v>
      </c>
      <c r="O112" s="164">
        <f t="shared" si="12"/>
        <v>56409.468352172</v>
      </c>
      <c r="P112" s="164">
        <f t="shared" si="13"/>
        <v>3590.5316478280065</v>
      </c>
      <c r="Q112" s="164">
        <f t="shared" si="14"/>
        <v>0</v>
      </c>
      <c r="R112" s="164">
        <f t="shared" si="23"/>
        <v>0</v>
      </c>
      <c r="S112" s="164">
        <f t="shared" si="15"/>
        <v>385153.3883377873</v>
      </c>
      <c r="T112" s="164">
        <f t="shared" si="16"/>
        <v>0</v>
      </c>
    </row>
    <row r="113" spans="2:20" x14ac:dyDescent="0.2">
      <c r="B113" s="171"/>
      <c r="D113" s="171"/>
      <c r="F113" s="158">
        <v>102</v>
      </c>
      <c r="G113" s="249">
        <f t="shared" si="17"/>
        <v>46752</v>
      </c>
      <c r="H113" s="158">
        <f t="shared" si="21"/>
        <v>31</v>
      </c>
      <c r="I113" s="254">
        <f>VLOOKUP(G113,'Прогноз переменной ставки'!$B$5:$E$304,4,1)</f>
        <v>9.9000000000000005E-2</v>
      </c>
      <c r="J113" s="164">
        <f t="shared" si="18"/>
        <v>60000.000000000007</v>
      </c>
      <c r="K113" s="164">
        <f t="shared" si="19"/>
        <v>385153.3883377873</v>
      </c>
      <c r="L113" s="164">
        <f t="shared" si="22"/>
        <v>385153.3883377873</v>
      </c>
      <c r="M113" s="164">
        <f t="shared" si="22"/>
        <v>0</v>
      </c>
      <c r="N113" s="164">
        <f t="shared" si="20"/>
        <v>3236.2375052940984</v>
      </c>
      <c r="O113" s="164">
        <f t="shared" si="12"/>
        <v>56763.762494705908</v>
      </c>
      <c r="P113" s="164">
        <f t="shared" si="13"/>
        <v>3236.2375052940984</v>
      </c>
      <c r="Q113" s="164">
        <f t="shared" si="14"/>
        <v>0</v>
      </c>
      <c r="R113" s="164">
        <f t="shared" si="23"/>
        <v>0</v>
      </c>
      <c r="S113" s="164">
        <f t="shared" si="15"/>
        <v>328389.62584308139</v>
      </c>
      <c r="T113" s="164">
        <f t="shared" si="16"/>
        <v>0</v>
      </c>
    </row>
    <row r="114" spans="2:20" x14ac:dyDescent="0.2">
      <c r="B114" s="171"/>
      <c r="D114" s="171"/>
      <c r="F114" s="158">
        <v>103</v>
      </c>
      <c r="G114" s="249">
        <f t="shared" si="17"/>
        <v>46783</v>
      </c>
      <c r="H114" s="158">
        <f t="shared" si="21"/>
        <v>31</v>
      </c>
      <c r="I114" s="254">
        <f>VLOOKUP(G114,'Прогноз переменной ставки'!$B$5:$E$304,4,1)</f>
        <v>9.9000000000000005E-2</v>
      </c>
      <c r="J114" s="164">
        <f t="shared" si="18"/>
        <v>60000.000000000007</v>
      </c>
      <c r="K114" s="164">
        <f t="shared" si="19"/>
        <v>328389.62584308139</v>
      </c>
      <c r="L114" s="164">
        <f t="shared" si="22"/>
        <v>328389.62584308139</v>
      </c>
      <c r="M114" s="164">
        <f t="shared" si="22"/>
        <v>0</v>
      </c>
      <c r="N114" s="164">
        <f t="shared" si="20"/>
        <v>2759.2820306979243</v>
      </c>
      <c r="O114" s="164">
        <f t="shared" si="12"/>
        <v>57240.717969302081</v>
      </c>
      <c r="P114" s="164">
        <f t="shared" si="13"/>
        <v>2759.2820306979243</v>
      </c>
      <c r="Q114" s="164">
        <f t="shared" si="14"/>
        <v>0</v>
      </c>
      <c r="R114" s="164">
        <f t="shared" si="23"/>
        <v>0</v>
      </c>
      <c r="S114" s="164">
        <f t="shared" si="15"/>
        <v>271148.9078737793</v>
      </c>
      <c r="T114" s="164">
        <f t="shared" si="16"/>
        <v>0</v>
      </c>
    </row>
    <row r="115" spans="2:20" x14ac:dyDescent="0.2">
      <c r="B115" s="171"/>
      <c r="D115" s="171"/>
      <c r="F115" s="158">
        <v>104</v>
      </c>
      <c r="G115" s="249">
        <f t="shared" si="17"/>
        <v>46812</v>
      </c>
      <c r="H115" s="158">
        <f t="shared" si="21"/>
        <v>29</v>
      </c>
      <c r="I115" s="254">
        <f>VLOOKUP(G115,'Прогноз переменной ставки'!$B$5:$E$304,4,1)</f>
        <v>9.9000000000000005E-2</v>
      </c>
      <c r="J115" s="164">
        <f t="shared" si="18"/>
        <v>60000.000000000007</v>
      </c>
      <c r="K115" s="164">
        <f t="shared" si="19"/>
        <v>271148.9078737793</v>
      </c>
      <c r="L115" s="164">
        <f t="shared" si="22"/>
        <v>271148.9078737793</v>
      </c>
      <c r="M115" s="164">
        <f t="shared" si="22"/>
        <v>0</v>
      </c>
      <c r="N115" s="164">
        <f t="shared" si="20"/>
        <v>2131.3306351967708</v>
      </c>
      <c r="O115" s="164">
        <f t="shared" si="12"/>
        <v>57868.669364803238</v>
      </c>
      <c r="P115" s="164">
        <f t="shared" si="13"/>
        <v>2131.3306351967708</v>
      </c>
      <c r="Q115" s="164">
        <f t="shared" si="14"/>
        <v>0</v>
      </c>
      <c r="R115" s="164">
        <f t="shared" si="23"/>
        <v>0</v>
      </c>
      <c r="S115" s="164">
        <f t="shared" si="15"/>
        <v>213280.23850897606</v>
      </c>
      <c r="T115" s="164">
        <f t="shared" si="16"/>
        <v>0</v>
      </c>
    </row>
    <row r="116" spans="2:20" x14ac:dyDescent="0.2">
      <c r="B116" s="171"/>
      <c r="D116" s="171"/>
      <c r="F116" s="158">
        <v>105</v>
      </c>
      <c r="G116" s="249">
        <f t="shared" si="17"/>
        <v>46843</v>
      </c>
      <c r="H116" s="158">
        <f t="shared" si="21"/>
        <v>31</v>
      </c>
      <c r="I116" s="254">
        <f>VLOOKUP(G116,'Прогноз переменной ставки'!$B$5:$E$304,4,1)</f>
        <v>9.9000000000000005E-2</v>
      </c>
      <c r="J116" s="164">
        <f t="shared" si="18"/>
        <v>60000.000000000007</v>
      </c>
      <c r="K116" s="164">
        <f t="shared" si="19"/>
        <v>213280.23850897606</v>
      </c>
      <c r="L116" s="164">
        <f t="shared" si="22"/>
        <v>213280.23850897606</v>
      </c>
      <c r="M116" s="164">
        <f t="shared" si="22"/>
        <v>0</v>
      </c>
      <c r="N116" s="164">
        <f t="shared" si="20"/>
        <v>1792.0795399973924</v>
      </c>
      <c r="O116" s="164">
        <f t="shared" si="12"/>
        <v>58207.920460002613</v>
      </c>
      <c r="P116" s="164">
        <f t="shared" si="13"/>
        <v>1792.0795399973924</v>
      </c>
      <c r="Q116" s="164">
        <f t="shared" si="14"/>
        <v>0</v>
      </c>
      <c r="R116" s="164">
        <f t="shared" si="23"/>
        <v>0</v>
      </c>
      <c r="S116" s="164">
        <f t="shared" si="15"/>
        <v>155072.31804897345</v>
      </c>
      <c r="T116" s="164">
        <f t="shared" si="16"/>
        <v>0</v>
      </c>
    </row>
    <row r="117" spans="2:20" x14ac:dyDescent="0.2">
      <c r="B117" s="171"/>
      <c r="D117" s="171"/>
      <c r="F117" s="158">
        <v>106</v>
      </c>
      <c r="G117" s="249">
        <f t="shared" si="17"/>
        <v>46873</v>
      </c>
      <c r="H117" s="158">
        <f t="shared" si="21"/>
        <v>30</v>
      </c>
      <c r="I117" s="254">
        <f>VLOOKUP(G117,'Прогноз переменной ставки'!$B$5:$E$304,4,1)</f>
        <v>9.9000000000000005E-2</v>
      </c>
      <c r="J117" s="164">
        <f t="shared" si="18"/>
        <v>60000.000000000007</v>
      </c>
      <c r="K117" s="164">
        <f t="shared" si="19"/>
        <v>155072.31804897345</v>
      </c>
      <c r="L117" s="164">
        <f t="shared" si="22"/>
        <v>155072.31804897345</v>
      </c>
      <c r="M117" s="164">
        <f t="shared" si="22"/>
        <v>0</v>
      </c>
      <c r="N117" s="164">
        <f t="shared" si="20"/>
        <v>1260.9576580573612</v>
      </c>
      <c r="O117" s="164">
        <f t="shared" si="12"/>
        <v>58739.042341942644</v>
      </c>
      <c r="P117" s="164">
        <f t="shared" si="13"/>
        <v>1260.9576580573612</v>
      </c>
      <c r="Q117" s="164">
        <f t="shared" si="14"/>
        <v>0</v>
      </c>
      <c r="R117" s="164">
        <f t="shared" si="23"/>
        <v>0</v>
      </c>
      <c r="S117" s="164">
        <f t="shared" si="15"/>
        <v>96333.275707030814</v>
      </c>
      <c r="T117" s="164">
        <f t="shared" si="16"/>
        <v>0</v>
      </c>
    </row>
    <row r="118" spans="2:20" x14ac:dyDescent="0.2">
      <c r="B118" s="171"/>
      <c r="D118" s="171"/>
      <c r="F118" s="158">
        <v>107</v>
      </c>
      <c r="G118" s="249">
        <f t="shared" si="17"/>
        <v>46904</v>
      </c>
      <c r="H118" s="158">
        <f t="shared" si="21"/>
        <v>31</v>
      </c>
      <c r="I118" s="254">
        <f>VLOOKUP(G118,'Прогноз переменной ставки'!$B$5:$E$304,4,1)</f>
        <v>9.9000000000000005E-2</v>
      </c>
      <c r="J118" s="164">
        <f t="shared" si="18"/>
        <v>60000.000000000007</v>
      </c>
      <c r="K118" s="164">
        <f t="shared" si="19"/>
        <v>96333.275707030814</v>
      </c>
      <c r="L118" s="164">
        <f t="shared" si="22"/>
        <v>96333.275707030814</v>
      </c>
      <c r="M118" s="164">
        <f t="shared" si="22"/>
        <v>0</v>
      </c>
      <c r="N118" s="164">
        <f t="shared" si="20"/>
        <v>809.43688746030818</v>
      </c>
      <c r="O118" s="164">
        <f t="shared" si="12"/>
        <v>59190.563112539698</v>
      </c>
      <c r="P118" s="164">
        <f t="shared" si="13"/>
        <v>809.43688746030818</v>
      </c>
      <c r="Q118" s="164">
        <f t="shared" si="14"/>
        <v>0</v>
      </c>
      <c r="R118" s="164">
        <f t="shared" si="23"/>
        <v>0</v>
      </c>
      <c r="S118" s="164">
        <f t="shared" si="15"/>
        <v>37142.712594491117</v>
      </c>
      <c r="T118" s="164">
        <f t="shared" si="16"/>
        <v>0</v>
      </c>
    </row>
    <row r="119" spans="2:20" x14ac:dyDescent="0.2">
      <c r="B119" s="171"/>
      <c r="D119" s="171"/>
      <c r="F119" s="158">
        <v>108</v>
      </c>
      <c r="G119" s="249">
        <f t="shared" si="17"/>
        <v>46934</v>
      </c>
      <c r="H119" s="158">
        <f t="shared" si="21"/>
        <v>30</v>
      </c>
      <c r="I119" s="254">
        <f>VLOOKUP(G119,'Прогноз переменной ставки'!$B$5:$E$304,4,1)</f>
        <v>9.9000000000000005E-2</v>
      </c>
      <c r="J119" s="164">
        <f t="shared" si="18"/>
        <v>37444.735473082874</v>
      </c>
      <c r="K119" s="164">
        <f t="shared" si="19"/>
        <v>37142.712594491117</v>
      </c>
      <c r="L119" s="164">
        <f t="shared" si="22"/>
        <v>37142.712594491117</v>
      </c>
      <c r="M119" s="164">
        <f t="shared" si="22"/>
        <v>0</v>
      </c>
      <c r="N119" s="164">
        <f t="shared" si="20"/>
        <v>302.02287859175527</v>
      </c>
      <c r="O119" s="164">
        <f t="shared" si="12"/>
        <v>37142.712594491117</v>
      </c>
      <c r="P119" s="164">
        <f t="shared" si="13"/>
        <v>302.02287859175527</v>
      </c>
      <c r="Q119" s="164">
        <f t="shared" si="14"/>
        <v>0</v>
      </c>
      <c r="R119" s="164">
        <f t="shared" si="23"/>
        <v>0</v>
      </c>
      <c r="S119" s="164">
        <f t="shared" si="15"/>
        <v>0</v>
      </c>
      <c r="T119" s="164">
        <f t="shared" si="16"/>
        <v>0</v>
      </c>
    </row>
    <row r="120" spans="2:20" x14ac:dyDescent="0.2">
      <c r="B120" s="171"/>
      <c r="D120" s="171"/>
      <c r="F120" s="158">
        <v>109</v>
      </c>
      <c r="G120" s="249">
        <f t="shared" si="17"/>
        <v>46965</v>
      </c>
      <c r="H120" s="158">
        <f t="shared" si="21"/>
        <v>31</v>
      </c>
      <c r="I120" s="254">
        <f>VLOOKUP(G120,'Прогноз переменной ставки'!$B$5:$E$304,4,1)</f>
        <v>9.9000000000000005E-2</v>
      </c>
      <c r="J120" s="164">
        <f t="shared" si="18"/>
        <v>0</v>
      </c>
      <c r="K120" s="164">
        <f t="shared" si="19"/>
        <v>0</v>
      </c>
      <c r="L120" s="164">
        <f t="shared" si="22"/>
        <v>0</v>
      </c>
      <c r="M120" s="164">
        <f t="shared" si="22"/>
        <v>0</v>
      </c>
      <c r="N120" s="164">
        <f t="shared" si="20"/>
        <v>0</v>
      </c>
      <c r="O120" s="164">
        <f t="shared" si="12"/>
        <v>0</v>
      </c>
      <c r="P120" s="164">
        <f t="shared" si="13"/>
        <v>0</v>
      </c>
      <c r="Q120" s="164">
        <f t="shared" si="14"/>
        <v>0</v>
      </c>
      <c r="R120" s="164">
        <f t="shared" si="23"/>
        <v>0</v>
      </c>
      <c r="S120" s="164">
        <f t="shared" si="15"/>
        <v>0</v>
      </c>
      <c r="T120" s="164">
        <f t="shared" si="16"/>
        <v>0</v>
      </c>
    </row>
    <row r="121" spans="2:20" x14ac:dyDescent="0.2">
      <c r="B121" s="171"/>
      <c r="D121" s="171"/>
      <c r="F121" s="158">
        <v>110</v>
      </c>
      <c r="G121" s="249">
        <f t="shared" si="17"/>
        <v>46996</v>
      </c>
      <c r="H121" s="158">
        <f t="shared" si="21"/>
        <v>31</v>
      </c>
      <c r="I121" s="254">
        <f>VLOOKUP(G121,'Прогноз переменной ставки'!$B$5:$E$304,4,1)</f>
        <v>9.9000000000000005E-2</v>
      </c>
      <c r="J121" s="164">
        <f t="shared" si="18"/>
        <v>0</v>
      </c>
      <c r="K121" s="164">
        <f t="shared" si="19"/>
        <v>0</v>
      </c>
      <c r="L121" s="164">
        <f t="shared" si="22"/>
        <v>0</v>
      </c>
      <c r="M121" s="164">
        <f t="shared" si="22"/>
        <v>0</v>
      </c>
      <c r="N121" s="164">
        <f t="shared" si="20"/>
        <v>0</v>
      </c>
      <c r="O121" s="164">
        <f t="shared" si="12"/>
        <v>0</v>
      </c>
      <c r="P121" s="164">
        <f t="shared" si="13"/>
        <v>0</v>
      </c>
      <c r="Q121" s="164">
        <f t="shared" si="14"/>
        <v>0</v>
      </c>
      <c r="R121" s="164">
        <f t="shared" si="23"/>
        <v>0</v>
      </c>
      <c r="S121" s="164">
        <f t="shared" si="15"/>
        <v>0</v>
      </c>
      <c r="T121" s="164">
        <f t="shared" si="16"/>
        <v>0</v>
      </c>
    </row>
    <row r="122" spans="2:20" x14ac:dyDescent="0.2">
      <c r="B122" s="171"/>
      <c r="D122" s="171"/>
      <c r="F122" s="158">
        <v>111</v>
      </c>
      <c r="G122" s="249">
        <f t="shared" si="17"/>
        <v>47026</v>
      </c>
      <c r="H122" s="158">
        <f t="shared" si="21"/>
        <v>30</v>
      </c>
      <c r="I122" s="254">
        <f>VLOOKUP(G122,'Прогноз переменной ставки'!$B$5:$E$304,4,1)</f>
        <v>9.9000000000000005E-2</v>
      </c>
      <c r="J122" s="164">
        <f t="shared" si="18"/>
        <v>0</v>
      </c>
      <c r="K122" s="164">
        <f t="shared" si="19"/>
        <v>0</v>
      </c>
      <c r="L122" s="164">
        <f t="shared" si="22"/>
        <v>0</v>
      </c>
      <c r="M122" s="164">
        <f t="shared" si="22"/>
        <v>0</v>
      </c>
      <c r="N122" s="164">
        <f t="shared" si="20"/>
        <v>0</v>
      </c>
      <c r="O122" s="164">
        <f t="shared" si="12"/>
        <v>0</v>
      </c>
      <c r="P122" s="164">
        <f t="shared" si="13"/>
        <v>0</v>
      </c>
      <c r="Q122" s="164">
        <f t="shared" si="14"/>
        <v>0</v>
      </c>
      <c r="R122" s="164">
        <f t="shared" si="23"/>
        <v>0</v>
      </c>
      <c r="S122" s="164">
        <f t="shared" si="15"/>
        <v>0</v>
      </c>
      <c r="T122" s="164">
        <f t="shared" si="16"/>
        <v>0</v>
      </c>
    </row>
    <row r="123" spans="2:20" x14ac:dyDescent="0.2">
      <c r="B123" s="171"/>
      <c r="D123" s="171"/>
      <c r="F123" s="158">
        <v>112</v>
      </c>
      <c r="G123" s="249">
        <f t="shared" si="17"/>
        <v>47057</v>
      </c>
      <c r="H123" s="158">
        <f t="shared" si="21"/>
        <v>31</v>
      </c>
      <c r="I123" s="254">
        <f>VLOOKUP(G123,'Прогноз переменной ставки'!$B$5:$E$304,4,1)</f>
        <v>9.9000000000000005E-2</v>
      </c>
      <c r="J123" s="164">
        <f t="shared" si="18"/>
        <v>0</v>
      </c>
      <c r="K123" s="164">
        <f t="shared" si="19"/>
        <v>0</v>
      </c>
      <c r="L123" s="164">
        <f t="shared" si="22"/>
        <v>0</v>
      </c>
      <c r="M123" s="164">
        <f t="shared" si="22"/>
        <v>0</v>
      </c>
      <c r="N123" s="164">
        <f t="shared" si="20"/>
        <v>0</v>
      </c>
      <c r="O123" s="164">
        <f t="shared" si="12"/>
        <v>0</v>
      </c>
      <c r="P123" s="164">
        <f t="shared" si="13"/>
        <v>0</v>
      </c>
      <c r="Q123" s="164">
        <f t="shared" si="14"/>
        <v>0</v>
      </c>
      <c r="R123" s="164">
        <f t="shared" si="23"/>
        <v>0</v>
      </c>
      <c r="S123" s="164">
        <f t="shared" si="15"/>
        <v>0</v>
      </c>
      <c r="T123" s="164">
        <f t="shared" si="16"/>
        <v>0</v>
      </c>
    </row>
    <row r="124" spans="2:20" x14ac:dyDescent="0.2">
      <c r="B124" s="171"/>
      <c r="D124" s="171"/>
      <c r="F124" s="158">
        <v>113</v>
      </c>
      <c r="G124" s="249">
        <f t="shared" si="17"/>
        <v>47087</v>
      </c>
      <c r="H124" s="158">
        <f t="shared" si="21"/>
        <v>30</v>
      </c>
      <c r="I124" s="254">
        <f>VLOOKUP(G124,'Прогноз переменной ставки'!$B$5:$E$304,4,1)</f>
        <v>9.9000000000000005E-2</v>
      </c>
      <c r="J124" s="164">
        <f t="shared" si="18"/>
        <v>0</v>
      </c>
      <c r="K124" s="164">
        <f t="shared" si="19"/>
        <v>0</v>
      </c>
      <c r="L124" s="164">
        <f t="shared" si="22"/>
        <v>0</v>
      </c>
      <c r="M124" s="164">
        <f t="shared" si="22"/>
        <v>0</v>
      </c>
      <c r="N124" s="164">
        <f t="shared" si="20"/>
        <v>0</v>
      </c>
      <c r="O124" s="164">
        <f t="shared" si="12"/>
        <v>0</v>
      </c>
      <c r="P124" s="164">
        <f t="shared" si="13"/>
        <v>0</v>
      </c>
      <c r="Q124" s="164">
        <f t="shared" si="14"/>
        <v>0</v>
      </c>
      <c r="R124" s="164">
        <f t="shared" si="23"/>
        <v>0</v>
      </c>
      <c r="S124" s="164">
        <f t="shared" si="15"/>
        <v>0</v>
      </c>
      <c r="T124" s="164">
        <f t="shared" si="16"/>
        <v>0</v>
      </c>
    </row>
    <row r="125" spans="2:20" x14ac:dyDescent="0.2">
      <c r="B125" s="171"/>
      <c r="D125" s="171"/>
      <c r="F125" s="158">
        <v>114</v>
      </c>
      <c r="G125" s="249">
        <f t="shared" si="17"/>
        <v>47118</v>
      </c>
      <c r="H125" s="158">
        <f t="shared" si="21"/>
        <v>31</v>
      </c>
      <c r="I125" s="254">
        <f>VLOOKUP(G125,'Прогноз переменной ставки'!$B$5:$E$304,4,1)</f>
        <v>9.9000000000000005E-2</v>
      </c>
      <c r="J125" s="164">
        <f t="shared" si="18"/>
        <v>0</v>
      </c>
      <c r="K125" s="164">
        <f t="shared" si="19"/>
        <v>0</v>
      </c>
      <c r="L125" s="164">
        <f t="shared" si="22"/>
        <v>0</v>
      </c>
      <c r="M125" s="164">
        <f t="shared" si="22"/>
        <v>0</v>
      </c>
      <c r="N125" s="164">
        <f t="shared" si="20"/>
        <v>0</v>
      </c>
      <c r="O125" s="164">
        <f t="shared" si="12"/>
        <v>0</v>
      </c>
      <c r="P125" s="164">
        <f t="shared" si="13"/>
        <v>0</v>
      </c>
      <c r="Q125" s="164">
        <f t="shared" si="14"/>
        <v>0</v>
      </c>
      <c r="R125" s="164">
        <f t="shared" si="23"/>
        <v>0</v>
      </c>
      <c r="S125" s="164">
        <f t="shared" si="15"/>
        <v>0</v>
      </c>
      <c r="T125" s="164">
        <f t="shared" si="16"/>
        <v>0</v>
      </c>
    </row>
    <row r="126" spans="2:20" x14ac:dyDescent="0.2">
      <c r="B126" s="171"/>
      <c r="D126" s="171"/>
      <c r="F126" s="158">
        <v>115</v>
      </c>
      <c r="G126" s="249">
        <f t="shared" si="17"/>
        <v>47149</v>
      </c>
      <c r="H126" s="158">
        <f t="shared" si="21"/>
        <v>31</v>
      </c>
      <c r="I126" s="254">
        <f>VLOOKUP(G126,'Прогноз переменной ставки'!$B$5:$E$304,4,1)</f>
        <v>9.9000000000000005E-2</v>
      </c>
      <c r="J126" s="164">
        <f t="shared" si="18"/>
        <v>0</v>
      </c>
      <c r="K126" s="164">
        <f t="shared" si="19"/>
        <v>0</v>
      </c>
      <c r="L126" s="164">
        <f t="shared" si="22"/>
        <v>0</v>
      </c>
      <c r="M126" s="164">
        <f t="shared" si="22"/>
        <v>0</v>
      </c>
      <c r="N126" s="164">
        <f t="shared" si="20"/>
        <v>0</v>
      </c>
      <c r="O126" s="164">
        <f t="shared" si="12"/>
        <v>0</v>
      </c>
      <c r="P126" s="164">
        <f t="shared" si="13"/>
        <v>0</v>
      </c>
      <c r="Q126" s="164">
        <f t="shared" si="14"/>
        <v>0</v>
      </c>
      <c r="R126" s="164">
        <f t="shared" si="23"/>
        <v>0</v>
      </c>
      <c r="S126" s="164">
        <f t="shared" si="15"/>
        <v>0</v>
      </c>
      <c r="T126" s="164">
        <f t="shared" si="16"/>
        <v>0</v>
      </c>
    </row>
    <row r="127" spans="2:20" x14ac:dyDescent="0.2">
      <c r="B127" s="171"/>
      <c r="D127" s="171"/>
      <c r="F127" s="158">
        <v>116</v>
      </c>
      <c r="G127" s="249">
        <f t="shared" si="17"/>
        <v>47177</v>
      </c>
      <c r="H127" s="158">
        <f t="shared" si="21"/>
        <v>28</v>
      </c>
      <c r="I127" s="254">
        <f>VLOOKUP(G127,'Прогноз переменной ставки'!$B$5:$E$304,4,1)</f>
        <v>9.9000000000000005E-2</v>
      </c>
      <c r="J127" s="164">
        <f t="shared" si="18"/>
        <v>0</v>
      </c>
      <c r="K127" s="164">
        <f t="shared" si="19"/>
        <v>0</v>
      </c>
      <c r="L127" s="164">
        <f t="shared" si="22"/>
        <v>0</v>
      </c>
      <c r="M127" s="164">
        <f t="shared" si="22"/>
        <v>0</v>
      </c>
      <c r="N127" s="164">
        <f t="shared" si="20"/>
        <v>0</v>
      </c>
      <c r="O127" s="164">
        <f t="shared" si="12"/>
        <v>0</v>
      </c>
      <c r="P127" s="164">
        <f t="shared" si="13"/>
        <v>0</v>
      </c>
      <c r="Q127" s="164">
        <f t="shared" si="14"/>
        <v>0</v>
      </c>
      <c r="R127" s="164">
        <f t="shared" si="23"/>
        <v>0</v>
      </c>
      <c r="S127" s="164">
        <f t="shared" si="15"/>
        <v>0</v>
      </c>
      <c r="T127" s="164">
        <f t="shared" si="16"/>
        <v>0</v>
      </c>
    </row>
    <row r="128" spans="2:20" x14ac:dyDescent="0.2">
      <c r="B128" s="171"/>
      <c r="D128" s="171"/>
      <c r="F128" s="158">
        <v>117</v>
      </c>
      <c r="G128" s="249">
        <f t="shared" si="17"/>
        <v>47208</v>
      </c>
      <c r="H128" s="158">
        <f t="shared" si="21"/>
        <v>31</v>
      </c>
      <c r="I128" s="254">
        <f>VLOOKUP(G128,'Прогноз переменной ставки'!$B$5:$E$304,4,1)</f>
        <v>9.9000000000000005E-2</v>
      </c>
      <c r="J128" s="164">
        <f t="shared" si="18"/>
        <v>0</v>
      </c>
      <c r="K128" s="164">
        <f t="shared" si="19"/>
        <v>0</v>
      </c>
      <c r="L128" s="164">
        <f t="shared" si="22"/>
        <v>0</v>
      </c>
      <c r="M128" s="164">
        <f t="shared" si="22"/>
        <v>0</v>
      </c>
      <c r="N128" s="164">
        <f t="shared" si="20"/>
        <v>0</v>
      </c>
      <c r="O128" s="164">
        <f t="shared" si="12"/>
        <v>0</v>
      </c>
      <c r="P128" s="164">
        <f t="shared" si="13"/>
        <v>0</v>
      </c>
      <c r="Q128" s="164">
        <f t="shared" si="14"/>
        <v>0</v>
      </c>
      <c r="R128" s="164">
        <f t="shared" si="23"/>
        <v>0</v>
      </c>
      <c r="S128" s="164">
        <f t="shared" si="15"/>
        <v>0</v>
      </c>
      <c r="T128" s="164">
        <f t="shared" si="16"/>
        <v>0</v>
      </c>
    </row>
    <row r="129" spans="2:20" x14ac:dyDescent="0.2">
      <c r="B129" s="171"/>
      <c r="D129" s="171"/>
      <c r="F129" s="158">
        <v>118</v>
      </c>
      <c r="G129" s="249">
        <f t="shared" si="17"/>
        <v>47238</v>
      </c>
      <c r="H129" s="158">
        <f t="shared" si="21"/>
        <v>30</v>
      </c>
      <c r="I129" s="254">
        <f>VLOOKUP(G129,'Прогноз переменной ставки'!$B$5:$E$304,4,1)</f>
        <v>9.9000000000000005E-2</v>
      </c>
      <c r="J129" s="164">
        <f t="shared" si="18"/>
        <v>0</v>
      </c>
      <c r="K129" s="164">
        <f t="shared" si="19"/>
        <v>0</v>
      </c>
      <c r="L129" s="164">
        <f t="shared" si="22"/>
        <v>0</v>
      </c>
      <c r="M129" s="164">
        <f t="shared" si="22"/>
        <v>0</v>
      </c>
      <c r="N129" s="164">
        <f t="shared" si="20"/>
        <v>0</v>
      </c>
      <c r="O129" s="164">
        <f t="shared" si="12"/>
        <v>0</v>
      </c>
      <c r="P129" s="164">
        <f t="shared" si="13"/>
        <v>0</v>
      </c>
      <c r="Q129" s="164">
        <f t="shared" si="14"/>
        <v>0</v>
      </c>
      <c r="R129" s="164">
        <f t="shared" si="23"/>
        <v>0</v>
      </c>
      <c r="S129" s="164">
        <f t="shared" si="15"/>
        <v>0</v>
      </c>
      <c r="T129" s="164">
        <f t="shared" si="16"/>
        <v>0</v>
      </c>
    </row>
    <row r="130" spans="2:20" x14ac:dyDescent="0.2">
      <c r="B130" s="171"/>
      <c r="D130" s="171"/>
      <c r="F130" s="158">
        <v>119</v>
      </c>
      <c r="G130" s="249">
        <f t="shared" si="17"/>
        <v>47269</v>
      </c>
      <c r="H130" s="158">
        <f t="shared" si="21"/>
        <v>31</v>
      </c>
      <c r="I130" s="254">
        <f>VLOOKUP(G130,'Прогноз переменной ставки'!$B$5:$E$304,4,1)</f>
        <v>9.9000000000000005E-2</v>
      </c>
      <c r="J130" s="164">
        <f t="shared" si="18"/>
        <v>0</v>
      </c>
      <c r="K130" s="164">
        <f t="shared" si="19"/>
        <v>0</v>
      </c>
      <c r="L130" s="164">
        <f t="shared" si="22"/>
        <v>0</v>
      </c>
      <c r="M130" s="164">
        <f t="shared" si="22"/>
        <v>0</v>
      </c>
      <c r="N130" s="164">
        <f t="shared" si="20"/>
        <v>0</v>
      </c>
      <c r="O130" s="164">
        <f t="shared" si="12"/>
        <v>0</v>
      </c>
      <c r="P130" s="164">
        <f t="shared" si="13"/>
        <v>0</v>
      </c>
      <c r="Q130" s="164">
        <f t="shared" si="14"/>
        <v>0</v>
      </c>
      <c r="R130" s="164">
        <f t="shared" si="23"/>
        <v>0</v>
      </c>
      <c r="S130" s="164">
        <f t="shared" si="15"/>
        <v>0</v>
      </c>
      <c r="T130" s="164">
        <f t="shared" si="16"/>
        <v>0</v>
      </c>
    </row>
    <row r="131" spans="2:20" x14ac:dyDescent="0.2">
      <c r="B131" s="171"/>
      <c r="D131" s="171"/>
      <c r="F131" s="158">
        <v>120</v>
      </c>
      <c r="G131" s="249">
        <f t="shared" si="17"/>
        <v>47299</v>
      </c>
      <c r="H131" s="158">
        <f t="shared" si="21"/>
        <v>30</v>
      </c>
      <c r="I131" s="254">
        <f>VLOOKUP(G131,'Прогноз переменной ставки'!$B$5:$E$304,4,1)</f>
        <v>9.9000000000000005E-2</v>
      </c>
      <c r="J131" s="164">
        <f t="shared" si="18"/>
        <v>0</v>
      </c>
      <c r="K131" s="164">
        <f t="shared" si="19"/>
        <v>0</v>
      </c>
      <c r="L131" s="164">
        <f t="shared" si="22"/>
        <v>0</v>
      </c>
      <c r="M131" s="164">
        <f t="shared" si="22"/>
        <v>0</v>
      </c>
      <c r="N131" s="164">
        <f t="shared" si="20"/>
        <v>0</v>
      </c>
      <c r="O131" s="164">
        <f t="shared" si="12"/>
        <v>0</v>
      </c>
      <c r="P131" s="164">
        <f t="shared" si="13"/>
        <v>0</v>
      </c>
      <c r="Q131" s="164">
        <f t="shared" si="14"/>
        <v>0</v>
      </c>
      <c r="R131" s="164">
        <f t="shared" si="23"/>
        <v>0</v>
      </c>
      <c r="S131" s="164">
        <f t="shared" si="15"/>
        <v>0</v>
      </c>
      <c r="T131" s="164">
        <f t="shared" si="16"/>
        <v>0</v>
      </c>
    </row>
    <row r="132" spans="2:20" x14ac:dyDescent="0.2">
      <c r="B132" s="171"/>
      <c r="D132" s="171"/>
      <c r="F132" s="158">
        <v>121</v>
      </c>
      <c r="G132" s="249">
        <f t="shared" si="17"/>
        <v>47330</v>
      </c>
      <c r="H132" s="158">
        <f t="shared" si="21"/>
        <v>31</v>
      </c>
      <c r="I132" s="254">
        <f>VLOOKUP(G132,'Прогноз переменной ставки'!$B$5:$E$304,4,1)</f>
        <v>9.9000000000000005E-2</v>
      </c>
      <c r="J132" s="164">
        <f t="shared" si="18"/>
        <v>0</v>
      </c>
      <c r="K132" s="164">
        <f t="shared" si="19"/>
        <v>0</v>
      </c>
      <c r="L132" s="164">
        <f t="shared" si="22"/>
        <v>0</v>
      </c>
      <c r="M132" s="164">
        <f t="shared" si="22"/>
        <v>0</v>
      </c>
      <c r="N132" s="164">
        <f t="shared" si="20"/>
        <v>0</v>
      </c>
      <c r="O132" s="164">
        <f t="shared" si="12"/>
        <v>0</v>
      </c>
      <c r="P132" s="164">
        <f t="shared" si="13"/>
        <v>0</v>
      </c>
      <c r="Q132" s="164">
        <f t="shared" si="14"/>
        <v>0</v>
      </c>
      <c r="R132" s="164">
        <f t="shared" si="23"/>
        <v>0</v>
      </c>
      <c r="S132" s="164">
        <f t="shared" si="15"/>
        <v>0</v>
      </c>
      <c r="T132" s="164">
        <f t="shared" si="16"/>
        <v>0</v>
      </c>
    </row>
    <row r="133" spans="2:20" x14ac:dyDescent="0.2">
      <c r="B133" s="171"/>
      <c r="D133" s="171"/>
      <c r="F133" s="158">
        <v>122</v>
      </c>
      <c r="G133" s="249">
        <f t="shared" si="17"/>
        <v>47361</v>
      </c>
      <c r="H133" s="158">
        <f t="shared" si="21"/>
        <v>31</v>
      </c>
      <c r="I133" s="254">
        <f>VLOOKUP(G133,'Прогноз переменной ставки'!$B$5:$E$304,4,1)</f>
        <v>9.9000000000000005E-2</v>
      </c>
      <c r="J133" s="164">
        <f t="shared" si="18"/>
        <v>0</v>
      </c>
      <c r="K133" s="164">
        <f t="shared" si="19"/>
        <v>0</v>
      </c>
      <c r="L133" s="164">
        <f t="shared" si="22"/>
        <v>0</v>
      </c>
      <c r="M133" s="164">
        <f t="shared" si="22"/>
        <v>0</v>
      </c>
      <c r="N133" s="164">
        <f t="shared" si="20"/>
        <v>0</v>
      </c>
      <c r="O133" s="164">
        <f t="shared" si="12"/>
        <v>0</v>
      </c>
      <c r="P133" s="164">
        <f t="shared" si="13"/>
        <v>0</v>
      </c>
      <c r="Q133" s="164">
        <f t="shared" si="14"/>
        <v>0</v>
      </c>
      <c r="R133" s="164">
        <f t="shared" si="23"/>
        <v>0</v>
      </c>
      <c r="S133" s="164">
        <f t="shared" si="15"/>
        <v>0</v>
      </c>
      <c r="T133" s="164">
        <f t="shared" si="16"/>
        <v>0</v>
      </c>
    </row>
    <row r="134" spans="2:20" x14ac:dyDescent="0.2">
      <c r="B134" s="171"/>
      <c r="D134" s="171"/>
      <c r="F134" s="158">
        <v>123</v>
      </c>
      <c r="G134" s="249">
        <f t="shared" si="17"/>
        <v>47391</v>
      </c>
      <c r="H134" s="158">
        <f t="shared" si="21"/>
        <v>30</v>
      </c>
      <c r="I134" s="254">
        <f>VLOOKUP(G134,'Прогноз переменной ставки'!$B$5:$E$304,4,1)</f>
        <v>9.9000000000000005E-2</v>
      </c>
      <c r="J134" s="164">
        <f t="shared" si="18"/>
        <v>0</v>
      </c>
      <c r="K134" s="164">
        <f t="shared" si="19"/>
        <v>0</v>
      </c>
      <c r="L134" s="164">
        <f t="shared" si="22"/>
        <v>0</v>
      </c>
      <c r="M134" s="164">
        <f t="shared" si="22"/>
        <v>0</v>
      </c>
      <c r="N134" s="164">
        <f t="shared" si="20"/>
        <v>0</v>
      </c>
      <c r="O134" s="164">
        <f t="shared" si="12"/>
        <v>0</v>
      </c>
      <c r="P134" s="164">
        <f t="shared" si="13"/>
        <v>0</v>
      </c>
      <c r="Q134" s="164">
        <f t="shared" si="14"/>
        <v>0</v>
      </c>
      <c r="R134" s="164">
        <f t="shared" si="23"/>
        <v>0</v>
      </c>
      <c r="S134" s="164">
        <f t="shared" si="15"/>
        <v>0</v>
      </c>
      <c r="T134" s="164">
        <f t="shared" si="16"/>
        <v>0</v>
      </c>
    </row>
    <row r="135" spans="2:20" x14ac:dyDescent="0.2">
      <c r="B135" s="171"/>
      <c r="D135" s="171"/>
      <c r="F135" s="158">
        <v>124</v>
      </c>
      <c r="G135" s="249">
        <f t="shared" si="17"/>
        <v>47422</v>
      </c>
      <c r="H135" s="158">
        <f t="shared" si="21"/>
        <v>31</v>
      </c>
      <c r="I135" s="254">
        <f>VLOOKUP(G135,'Прогноз переменной ставки'!$B$5:$E$304,4,1)</f>
        <v>9.9000000000000005E-2</v>
      </c>
      <c r="J135" s="164">
        <f t="shared" si="18"/>
        <v>0</v>
      </c>
      <c r="K135" s="164">
        <f t="shared" si="19"/>
        <v>0</v>
      </c>
      <c r="L135" s="164">
        <f t="shared" si="22"/>
        <v>0</v>
      </c>
      <c r="M135" s="164">
        <f t="shared" si="22"/>
        <v>0</v>
      </c>
      <c r="N135" s="164">
        <f t="shared" si="20"/>
        <v>0</v>
      </c>
      <c r="O135" s="164">
        <f t="shared" si="12"/>
        <v>0</v>
      </c>
      <c r="P135" s="164">
        <f t="shared" si="13"/>
        <v>0</v>
      </c>
      <c r="Q135" s="164">
        <f t="shared" si="14"/>
        <v>0</v>
      </c>
      <c r="R135" s="164">
        <f t="shared" si="23"/>
        <v>0</v>
      </c>
      <c r="S135" s="164">
        <f t="shared" si="15"/>
        <v>0</v>
      </c>
      <c r="T135" s="164">
        <f t="shared" si="16"/>
        <v>0</v>
      </c>
    </row>
    <row r="136" spans="2:20" x14ac:dyDescent="0.2">
      <c r="B136" s="171"/>
      <c r="D136" s="171"/>
      <c r="F136" s="158">
        <v>125</v>
      </c>
      <c r="G136" s="249">
        <f t="shared" si="17"/>
        <v>47452</v>
      </c>
      <c r="H136" s="158">
        <f t="shared" si="21"/>
        <v>30</v>
      </c>
      <c r="I136" s="254">
        <f>VLOOKUP(G136,'Прогноз переменной ставки'!$B$5:$E$304,4,1)</f>
        <v>9.9000000000000005E-2</v>
      </c>
      <c r="J136" s="164">
        <f t="shared" si="18"/>
        <v>0</v>
      </c>
      <c r="K136" s="164">
        <f t="shared" si="19"/>
        <v>0</v>
      </c>
      <c r="L136" s="164">
        <f t="shared" si="22"/>
        <v>0</v>
      </c>
      <c r="M136" s="164">
        <f t="shared" si="22"/>
        <v>0</v>
      </c>
      <c r="N136" s="164">
        <f t="shared" si="20"/>
        <v>0</v>
      </c>
      <c r="O136" s="164">
        <f t="shared" si="12"/>
        <v>0</v>
      </c>
      <c r="P136" s="164">
        <f t="shared" si="13"/>
        <v>0</v>
      </c>
      <c r="Q136" s="164">
        <f t="shared" si="14"/>
        <v>0</v>
      </c>
      <c r="R136" s="164">
        <f t="shared" si="23"/>
        <v>0</v>
      </c>
      <c r="S136" s="164">
        <f t="shared" si="15"/>
        <v>0</v>
      </c>
      <c r="T136" s="164">
        <f t="shared" si="16"/>
        <v>0</v>
      </c>
    </row>
    <row r="137" spans="2:20" x14ac:dyDescent="0.2">
      <c r="B137" s="171"/>
      <c r="D137" s="171"/>
      <c r="F137" s="158">
        <v>126</v>
      </c>
      <c r="G137" s="249">
        <f t="shared" si="17"/>
        <v>47483</v>
      </c>
      <c r="H137" s="158">
        <f t="shared" si="21"/>
        <v>31</v>
      </c>
      <c r="I137" s="254">
        <f>VLOOKUP(G137,'Прогноз переменной ставки'!$B$5:$E$304,4,1)</f>
        <v>9.9000000000000005E-2</v>
      </c>
      <c r="J137" s="164">
        <f t="shared" si="18"/>
        <v>0</v>
      </c>
      <c r="K137" s="164">
        <f t="shared" si="19"/>
        <v>0</v>
      </c>
      <c r="L137" s="164">
        <f t="shared" si="22"/>
        <v>0</v>
      </c>
      <c r="M137" s="164">
        <f t="shared" si="22"/>
        <v>0</v>
      </c>
      <c r="N137" s="164">
        <f t="shared" si="20"/>
        <v>0</v>
      </c>
      <c r="O137" s="164">
        <f t="shared" si="12"/>
        <v>0</v>
      </c>
      <c r="P137" s="164">
        <f t="shared" si="13"/>
        <v>0</v>
      </c>
      <c r="Q137" s="164">
        <f t="shared" si="14"/>
        <v>0</v>
      </c>
      <c r="R137" s="164">
        <f t="shared" si="23"/>
        <v>0</v>
      </c>
      <c r="S137" s="164">
        <f t="shared" si="15"/>
        <v>0</v>
      </c>
      <c r="T137" s="164">
        <f t="shared" si="16"/>
        <v>0</v>
      </c>
    </row>
    <row r="138" spans="2:20" x14ac:dyDescent="0.2">
      <c r="B138" s="171"/>
      <c r="D138" s="171"/>
      <c r="F138" s="158">
        <v>127</v>
      </c>
      <c r="G138" s="249">
        <f t="shared" si="17"/>
        <v>47514</v>
      </c>
      <c r="H138" s="158">
        <f t="shared" si="21"/>
        <v>31</v>
      </c>
      <c r="I138" s="254">
        <f>VLOOKUP(G138,'Прогноз переменной ставки'!$B$5:$E$304,4,1)</f>
        <v>9.9000000000000005E-2</v>
      </c>
      <c r="J138" s="164">
        <f t="shared" si="18"/>
        <v>0</v>
      </c>
      <c r="K138" s="164">
        <f t="shared" si="19"/>
        <v>0</v>
      </c>
      <c r="L138" s="164">
        <f t="shared" si="22"/>
        <v>0</v>
      </c>
      <c r="M138" s="164">
        <f t="shared" si="22"/>
        <v>0</v>
      </c>
      <c r="N138" s="164">
        <f t="shared" si="20"/>
        <v>0</v>
      </c>
      <c r="O138" s="164">
        <f t="shared" si="12"/>
        <v>0</v>
      </c>
      <c r="P138" s="164">
        <f t="shared" si="13"/>
        <v>0</v>
      </c>
      <c r="Q138" s="164">
        <f t="shared" si="14"/>
        <v>0</v>
      </c>
      <c r="R138" s="164">
        <f t="shared" si="23"/>
        <v>0</v>
      </c>
      <c r="S138" s="164">
        <f t="shared" si="15"/>
        <v>0</v>
      </c>
      <c r="T138" s="164">
        <f t="shared" si="16"/>
        <v>0</v>
      </c>
    </row>
    <row r="139" spans="2:20" x14ac:dyDescent="0.2">
      <c r="B139" s="171"/>
      <c r="D139" s="171"/>
      <c r="F139" s="158">
        <v>128</v>
      </c>
      <c r="G139" s="249">
        <f t="shared" si="17"/>
        <v>47542</v>
      </c>
      <c r="H139" s="158">
        <f t="shared" si="21"/>
        <v>28</v>
      </c>
      <c r="I139" s="254">
        <f>VLOOKUP(G139,'Прогноз переменной ставки'!$B$5:$E$304,4,1)</f>
        <v>9.9000000000000005E-2</v>
      </c>
      <c r="J139" s="164">
        <f t="shared" si="18"/>
        <v>0</v>
      </c>
      <c r="K139" s="164">
        <f t="shared" si="19"/>
        <v>0</v>
      </c>
      <c r="L139" s="164">
        <f t="shared" si="22"/>
        <v>0</v>
      </c>
      <c r="M139" s="164">
        <f t="shared" si="22"/>
        <v>0</v>
      </c>
      <c r="N139" s="164">
        <f t="shared" si="20"/>
        <v>0</v>
      </c>
      <c r="O139" s="164">
        <f t="shared" si="12"/>
        <v>0</v>
      </c>
      <c r="P139" s="164">
        <f t="shared" si="13"/>
        <v>0</v>
      </c>
      <c r="Q139" s="164">
        <f t="shared" si="14"/>
        <v>0</v>
      </c>
      <c r="R139" s="164">
        <f t="shared" si="23"/>
        <v>0</v>
      </c>
      <c r="S139" s="164">
        <f t="shared" si="15"/>
        <v>0</v>
      </c>
      <c r="T139" s="164">
        <f t="shared" si="16"/>
        <v>0</v>
      </c>
    </row>
    <row r="140" spans="2:20" x14ac:dyDescent="0.2">
      <c r="B140" s="171"/>
      <c r="D140" s="171"/>
      <c r="F140" s="158">
        <v>129</v>
      </c>
      <c r="G140" s="249">
        <f t="shared" si="17"/>
        <v>47573</v>
      </c>
      <c r="H140" s="158">
        <f t="shared" si="21"/>
        <v>31</v>
      </c>
      <c r="I140" s="254">
        <f>VLOOKUP(G140,'Прогноз переменной ставки'!$B$5:$E$304,4,1)</f>
        <v>9.9000000000000005E-2</v>
      </c>
      <c r="J140" s="164">
        <f t="shared" si="18"/>
        <v>0</v>
      </c>
      <c r="K140" s="164">
        <f t="shared" si="19"/>
        <v>0</v>
      </c>
      <c r="L140" s="164">
        <f t="shared" si="22"/>
        <v>0</v>
      </c>
      <c r="M140" s="164">
        <f t="shared" si="22"/>
        <v>0</v>
      </c>
      <c r="N140" s="164">
        <f t="shared" si="20"/>
        <v>0</v>
      </c>
      <c r="O140" s="164">
        <f t="shared" ref="O140:O203" si="24">MIN(J140-Q140-P140,L140)</f>
        <v>0</v>
      </c>
      <c r="P140" s="164">
        <f t="shared" ref="P140:P203" si="25">MIN(J140-Q140,N140)</f>
        <v>0</v>
      </c>
      <c r="Q140" s="164">
        <f t="shared" ref="Q140:Q203" si="26">MIN(J140,M140)</f>
        <v>0</v>
      </c>
      <c r="R140" s="164">
        <f t="shared" si="23"/>
        <v>0</v>
      </c>
      <c r="S140" s="164">
        <f t="shared" ref="S140:S203" si="27">L140-O140</f>
        <v>0</v>
      </c>
      <c r="T140" s="164">
        <f t="shared" ref="T140:T203" si="28">M140+R140-Q140</f>
        <v>0</v>
      </c>
    </row>
    <row r="141" spans="2:20" x14ac:dyDescent="0.2">
      <c r="B141" s="171"/>
      <c r="D141" s="171"/>
      <c r="F141" s="158">
        <v>130</v>
      </c>
      <c r="G141" s="249">
        <f t="shared" ref="G141:G204" si="29">EOMONTH($D$9,F141-1)</f>
        <v>47603</v>
      </c>
      <c r="H141" s="158">
        <f t="shared" si="21"/>
        <v>30</v>
      </c>
      <c r="I141" s="254">
        <f>VLOOKUP(G141,'Прогноз переменной ставки'!$B$5:$E$304,4,1)</f>
        <v>9.9000000000000005E-2</v>
      </c>
      <c r="J141" s="164">
        <f t="shared" ref="J141:J204" si="30">IF(F141=$D$4,K141+N141,MIN($D$5,K141+N141))</f>
        <v>0</v>
      </c>
      <c r="K141" s="164">
        <f t="shared" ref="K141:K204" si="31">L141+M141</f>
        <v>0</v>
      </c>
      <c r="L141" s="164">
        <f t="shared" si="22"/>
        <v>0</v>
      </c>
      <c r="M141" s="164">
        <f t="shared" si="22"/>
        <v>0</v>
      </c>
      <c r="N141" s="164">
        <f t="shared" ref="N141:N204" si="32">L141*I141/365.25*H141</f>
        <v>0</v>
      </c>
      <c r="O141" s="164">
        <f t="shared" si="24"/>
        <v>0</v>
      </c>
      <c r="P141" s="164">
        <f t="shared" si="25"/>
        <v>0</v>
      </c>
      <c r="Q141" s="164">
        <f t="shared" si="26"/>
        <v>0</v>
      </c>
      <c r="R141" s="164">
        <f t="shared" si="23"/>
        <v>0</v>
      </c>
      <c r="S141" s="164">
        <f t="shared" si="27"/>
        <v>0</v>
      </c>
      <c r="T141" s="164">
        <f t="shared" si="28"/>
        <v>0</v>
      </c>
    </row>
    <row r="142" spans="2:20" x14ac:dyDescent="0.2">
      <c r="B142" s="171"/>
      <c r="D142" s="171"/>
      <c r="F142" s="158">
        <v>131</v>
      </c>
      <c r="G142" s="249">
        <f t="shared" si="29"/>
        <v>47634</v>
      </c>
      <c r="H142" s="158">
        <f t="shared" ref="H142:H205" si="33">G142-G141</f>
        <v>31</v>
      </c>
      <c r="I142" s="254">
        <f>VLOOKUP(G142,'Прогноз переменной ставки'!$B$5:$E$304,4,1)</f>
        <v>9.9000000000000005E-2</v>
      </c>
      <c r="J142" s="164">
        <f t="shared" si="30"/>
        <v>0</v>
      </c>
      <c r="K142" s="164">
        <f t="shared" si="31"/>
        <v>0</v>
      </c>
      <c r="L142" s="164">
        <f t="shared" ref="L142:M205" si="34">S141</f>
        <v>0</v>
      </c>
      <c r="M142" s="164">
        <f t="shared" si="34"/>
        <v>0</v>
      </c>
      <c r="N142" s="164">
        <f t="shared" si="32"/>
        <v>0</v>
      </c>
      <c r="O142" s="164">
        <f t="shared" si="24"/>
        <v>0</v>
      </c>
      <c r="P142" s="164">
        <f t="shared" si="25"/>
        <v>0</v>
      </c>
      <c r="Q142" s="164">
        <f t="shared" si="26"/>
        <v>0</v>
      </c>
      <c r="R142" s="164">
        <f t="shared" ref="R142:R205" si="35">MAX(N142-P142,0)</f>
        <v>0</v>
      </c>
      <c r="S142" s="164">
        <f t="shared" si="27"/>
        <v>0</v>
      </c>
      <c r="T142" s="164">
        <f t="shared" si="28"/>
        <v>0</v>
      </c>
    </row>
    <row r="143" spans="2:20" x14ac:dyDescent="0.2">
      <c r="B143" s="171"/>
      <c r="D143" s="171"/>
      <c r="F143" s="158">
        <v>132</v>
      </c>
      <c r="G143" s="249">
        <f t="shared" si="29"/>
        <v>47664</v>
      </c>
      <c r="H143" s="158">
        <f t="shared" si="33"/>
        <v>30</v>
      </c>
      <c r="I143" s="254">
        <f>VLOOKUP(G143,'Прогноз переменной ставки'!$B$5:$E$304,4,1)</f>
        <v>9.9000000000000005E-2</v>
      </c>
      <c r="J143" s="164">
        <f t="shared" si="30"/>
        <v>0</v>
      </c>
      <c r="K143" s="164">
        <f t="shared" si="31"/>
        <v>0</v>
      </c>
      <c r="L143" s="164">
        <f t="shared" si="34"/>
        <v>0</v>
      </c>
      <c r="M143" s="164">
        <f t="shared" si="34"/>
        <v>0</v>
      </c>
      <c r="N143" s="164">
        <f t="shared" si="32"/>
        <v>0</v>
      </c>
      <c r="O143" s="164">
        <f t="shared" si="24"/>
        <v>0</v>
      </c>
      <c r="P143" s="164">
        <f t="shared" si="25"/>
        <v>0</v>
      </c>
      <c r="Q143" s="164">
        <f t="shared" si="26"/>
        <v>0</v>
      </c>
      <c r="R143" s="164">
        <f t="shared" si="35"/>
        <v>0</v>
      </c>
      <c r="S143" s="164">
        <f t="shared" si="27"/>
        <v>0</v>
      </c>
      <c r="T143" s="164">
        <f t="shared" si="28"/>
        <v>0</v>
      </c>
    </row>
    <row r="144" spans="2:20" x14ac:dyDescent="0.2">
      <c r="B144" s="171"/>
      <c r="D144" s="171"/>
      <c r="F144" s="158">
        <v>133</v>
      </c>
      <c r="G144" s="249">
        <f t="shared" si="29"/>
        <v>47695</v>
      </c>
      <c r="H144" s="158">
        <f t="shared" si="33"/>
        <v>31</v>
      </c>
      <c r="I144" s="254">
        <f>VLOOKUP(G144,'Прогноз переменной ставки'!$B$5:$E$304,4,1)</f>
        <v>9.9000000000000005E-2</v>
      </c>
      <c r="J144" s="164">
        <f t="shared" si="30"/>
        <v>0</v>
      </c>
      <c r="K144" s="164">
        <f t="shared" si="31"/>
        <v>0</v>
      </c>
      <c r="L144" s="164">
        <f t="shared" si="34"/>
        <v>0</v>
      </c>
      <c r="M144" s="164">
        <f t="shared" si="34"/>
        <v>0</v>
      </c>
      <c r="N144" s="164">
        <f t="shared" si="32"/>
        <v>0</v>
      </c>
      <c r="O144" s="164">
        <f t="shared" si="24"/>
        <v>0</v>
      </c>
      <c r="P144" s="164">
        <f t="shared" si="25"/>
        <v>0</v>
      </c>
      <c r="Q144" s="164">
        <f t="shared" si="26"/>
        <v>0</v>
      </c>
      <c r="R144" s="164">
        <f t="shared" si="35"/>
        <v>0</v>
      </c>
      <c r="S144" s="164">
        <f t="shared" si="27"/>
        <v>0</v>
      </c>
      <c r="T144" s="164">
        <f t="shared" si="28"/>
        <v>0</v>
      </c>
    </row>
    <row r="145" spans="2:20" x14ac:dyDescent="0.2">
      <c r="B145" s="171"/>
      <c r="D145" s="171"/>
      <c r="F145" s="158">
        <v>134</v>
      </c>
      <c r="G145" s="249">
        <f t="shared" si="29"/>
        <v>47726</v>
      </c>
      <c r="H145" s="158">
        <f t="shared" si="33"/>
        <v>31</v>
      </c>
      <c r="I145" s="254">
        <f>VLOOKUP(G145,'Прогноз переменной ставки'!$B$5:$E$304,4,1)</f>
        <v>9.9000000000000005E-2</v>
      </c>
      <c r="J145" s="164">
        <f t="shared" si="30"/>
        <v>0</v>
      </c>
      <c r="K145" s="164">
        <f t="shared" si="31"/>
        <v>0</v>
      </c>
      <c r="L145" s="164">
        <f t="shared" si="34"/>
        <v>0</v>
      </c>
      <c r="M145" s="164">
        <f t="shared" si="34"/>
        <v>0</v>
      </c>
      <c r="N145" s="164">
        <f t="shared" si="32"/>
        <v>0</v>
      </c>
      <c r="O145" s="164">
        <f t="shared" si="24"/>
        <v>0</v>
      </c>
      <c r="P145" s="164">
        <f t="shared" si="25"/>
        <v>0</v>
      </c>
      <c r="Q145" s="164">
        <f t="shared" si="26"/>
        <v>0</v>
      </c>
      <c r="R145" s="164">
        <f t="shared" si="35"/>
        <v>0</v>
      </c>
      <c r="S145" s="164">
        <f t="shared" si="27"/>
        <v>0</v>
      </c>
      <c r="T145" s="164">
        <f t="shared" si="28"/>
        <v>0</v>
      </c>
    </row>
    <row r="146" spans="2:20" x14ac:dyDescent="0.2">
      <c r="B146" s="171"/>
      <c r="D146" s="171"/>
      <c r="F146" s="158">
        <v>135</v>
      </c>
      <c r="G146" s="249">
        <f t="shared" si="29"/>
        <v>47756</v>
      </c>
      <c r="H146" s="158">
        <f t="shared" si="33"/>
        <v>30</v>
      </c>
      <c r="I146" s="254">
        <f>VLOOKUP(G146,'Прогноз переменной ставки'!$B$5:$E$304,4,1)</f>
        <v>9.9000000000000005E-2</v>
      </c>
      <c r="J146" s="164">
        <f t="shared" si="30"/>
        <v>0</v>
      </c>
      <c r="K146" s="164">
        <f t="shared" si="31"/>
        <v>0</v>
      </c>
      <c r="L146" s="164">
        <f t="shared" si="34"/>
        <v>0</v>
      </c>
      <c r="M146" s="164">
        <f t="shared" si="34"/>
        <v>0</v>
      </c>
      <c r="N146" s="164">
        <f t="shared" si="32"/>
        <v>0</v>
      </c>
      <c r="O146" s="164">
        <f t="shared" si="24"/>
        <v>0</v>
      </c>
      <c r="P146" s="164">
        <f t="shared" si="25"/>
        <v>0</v>
      </c>
      <c r="Q146" s="164">
        <f t="shared" si="26"/>
        <v>0</v>
      </c>
      <c r="R146" s="164">
        <f t="shared" si="35"/>
        <v>0</v>
      </c>
      <c r="S146" s="164">
        <f t="shared" si="27"/>
        <v>0</v>
      </c>
      <c r="T146" s="164">
        <f t="shared" si="28"/>
        <v>0</v>
      </c>
    </row>
    <row r="147" spans="2:20" x14ac:dyDescent="0.2">
      <c r="B147" s="171"/>
      <c r="D147" s="171"/>
      <c r="F147" s="158">
        <v>136</v>
      </c>
      <c r="G147" s="249">
        <f t="shared" si="29"/>
        <v>47787</v>
      </c>
      <c r="H147" s="158">
        <f t="shared" si="33"/>
        <v>31</v>
      </c>
      <c r="I147" s="254">
        <f>VLOOKUP(G147,'Прогноз переменной ставки'!$B$5:$E$304,4,1)</f>
        <v>9.9000000000000005E-2</v>
      </c>
      <c r="J147" s="164">
        <f t="shared" si="30"/>
        <v>0</v>
      </c>
      <c r="K147" s="164">
        <f t="shared" si="31"/>
        <v>0</v>
      </c>
      <c r="L147" s="164">
        <f t="shared" si="34"/>
        <v>0</v>
      </c>
      <c r="M147" s="164">
        <f t="shared" si="34"/>
        <v>0</v>
      </c>
      <c r="N147" s="164">
        <f t="shared" si="32"/>
        <v>0</v>
      </c>
      <c r="O147" s="164">
        <f t="shared" si="24"/>
        <v>0</v>
      </c>
      <c r="P147" s="164">
        <f t="shared" si="25"/>
        <v>0</v>
      </c>
      <c r="Q147" s="164">
        <f t="shared" si="26"/>
        <v>0</v>
      </c>
      <c r="R147" s="164">
        <f t="shared" si="35"/>
        <v>0</v>
      </c>
      <c r="S147" s="164">
        <f t="shared" si="27"/>
        <v>0</v>
      </c>
      <c r="T147" s="164">
        <f t="shared" si="28"/>
        <v>0</v>
      </c>
    </row>
    <row r="148" spans="2:20" x14ac:dyDescent="0.2">
      <c r="B148" s="171"/>
      <c r="D148" s="171"/>
      <c r="F148" s="158">
        <v>137</v>
      </c>
      <c r="G148" s="249">
        <f t="shared" si="29"/>
        <v>47817</v>
      </c>
      <c r="H148" s="158">
        <f t="shared" si="33"/>
        <v>30</v>
      </c>
      <c r="I148" s="254">
        <f>VLOOKUP(G148,'Прогноз переменной ставки'!$B$5:$E$304,4,1)</f>
        <v>9.9000000000000005E-2</v>
      </c>
      <c r="J148" s="164">
        <f t="shared" si="30"/>
        <v>0</v>
      </c>
      <c r="K148" s="164">
        <f t="shared" si="31"/>
        <v>0</v>
      </c>
      <c r="L148" s="164">
        <f t="shared" si="34"/>
        <v>0</v>
      </c>
      <c r="M148" s="164">
        <f t="shared" si="34"/>
        <v>0</v>
      </c>
      <c r="N148" s="164">
        <f t="shared" si="32"/>
        <v>0</v>
      </c>
      <c r="O148" s="164">
        <f t="shared" si="24"/>
        <v>0</v>
      </c>
      <c r="P148" s="164">
        <f t="shared" si="25"/>
        <v>0</v>
      </c>
      <c r="Q148" s="164">
        <f t="shared" si="26"/>
        <v>0</v>
      </c>
      <c r="R148" s="164">
        <f t="shared" si="35"/>
        <v>0</v>
      </c>
      <c r="S148" s="164">
        <f t="shared" si="27"/>
        <v>0</v>
      </c>
      <c r="T148" s="164">
        <f t="shared" si="28"/>
        <v>0</v>
      </c>
    </row>
    <row r="149" spans="2:20" x14ac:dyDescent="0.2">
      <c r="B149" s="171"/>
      <c r="D149" s="171"/>
      <c r="F149" s="158">
        <v>138</v>
      </c>
      <c r="G149" s="249">
        <f t="shared" si="29"/>
        <v>47848</v>
      </c>
      <c r="H149" s="158">
        <f t="shared" si="33"/>
        <v>31</v>
      </c>
      <c r="I149" s="254">
        <f>VLOOKUP(G149,'Прогноз переменной ставки'!$B$5:$E$304,4,1)</f>
        <v>9.9000000000000005E-2</v>
      </c>
      <c r="J149" s="164">
        <f t="shared" si="30"/>
        <v>0</v>
      </c>
      <c r="K149" s="164">
        <f t="shared" si="31"/>
        <v>0</v>
      </c>
      <c r="L149" s="164">
        <f t="shared" si="34"/>
        <v>0</v>
      </c>
      <c r="M149" s="164">
        <f t="shared" si="34"/>
        <v>0</v>
      </c>
      <c r="N149" s="164">
        <f t="shared" si="32"/>
        <v>0</v>
      </c>
      <c r="O149" s="164">
        <f t="shared" si="24"/>
        <v>0</v>
      </c>
      <c r="P149" s="164">
        <f t="shared" si="25"/>
        <v>0</v>
      </c>
      <c r="Q149" s="164">
        <f t="shared" si="26"/>
        <v>0</v>
      </c>
      <c r="R149" s="164">
        <f t="shared" si="35"/>
        <v>0</v>
      </c>
      <c r="S149" s="164">
        <f t="shared" si="27"/>
        <v>0</v>
      </c>
      <c r="T149" s="164">
        <f t="shared" si="28"/>
        <v>0</v>
      </c>
    </row>
    <row r="150" spans="2:20" x14ac:dyDescent="0.2">
      <c r="B150" s="171"/>
      <c r="D150" s="171"/>
      <c r="F150" s="158">
        <v>139</v>
      </c>
      <c r="G150" s="249">
        <f t="shared" si="29"/>
        <v>47879</v>
      </c>
      <c r="H150" s="158">
        <f t="shared" si="33"/>
        <v>31</v>
      </c>
      <c r="I150" s="254">
        <f>VLOOKUP(G150,'Прогноз переменной ставки'!$B$5:$E$304,4,1)</f>
        <v>9.9000000000000005E-2</v>
      </c>
      <c r="J150" s="164">
        <f t="shared" si="30"/>
        <v>0</v>
      </c>
      <c r="K150" s="164">
        <f t="shared" si="31"/>
        <v>0</v>
      </c>
      <c r="L150" s="164">
        <f t="shared" si="34"/>
        <v>0</v>
      </c>
      <c r="M150" s="164">
        <f t="shared" si="34"/>
        <v>0</v>
      </c>
      <c r="N150" s="164">
        <f t="shared" si="32"/>
        <v>0</v>
      </c>
      <c r="O150" s="164">
        <f t="shared" si="24"/>
        <v>0</v>
      </c>
      <c r="P150" s="164">
        <f t="shared" si="25"/>
        <v>0</v>
      </c>
      <c r="Q150" s="164">
        <f t="shared" si="26"/>
        <v>0</v>
      </c>
      <c r="R150" s="164">
        <f t="shared" si="35"/>
        <v>0</v>
      </c>
      <c r="S150" s="164">
        <f t="shared" si="27"/>
        <v>0</v>
      </c>
      <c r="T150" s="164">
        <f t="shared" si="28"/>
        <v>0</v>
      </c>
    </row>
    <row r="151" spans="2:20" x14ac:dyDescent="0.2">
      <c r="B151" s="171"/>
      <c r="D151" s="171"/>
      <c r="F151" s="158">
        <v>140</v>
      </c>
      <c r="G151" s="249">
        <f t="shared" si="29"/>
        <v>47907</v>
      </c>
      <c r="H151" s="158">
        <f t="shared" si="33"/>
        <v>28</v>
      </c>
      <c r="I151" s="254">
        <f>VLOOKUP(G151,'Прогноз переменной ставки'!$B$5:$E$304,4,1)</f>
        <v>9.9000000000000005E-2</v>
      </c>
      <c r="J151" s="164">
        <f t="shared" si="30"/>
        <v>0</v>
      </c>
      <c r="K151" s="164">
        <f t="shared" si="31"/>
        <v>0</v>
      </c>
      <c r="L151" s="164">
        <f t="shared" si="34"/>
        <v>0</v>
      </c>
      <c r="M151" s="164">
        <f t="shared" si="34"/>
        <v>0</v>
      </c>
      <c r="N151" s="164">
        <f t="shared" si="32"/>
        <v>0</v>
      </c>
      <c r="O151" s="164">
        <f t="shared" si="24"/>
        <v>0</v>
      </c>
      <c r="P151" s="164">
        <f t="shared" si="25"/>
        <v>0</v>
      </c>
      <c r="Q151" s="164">
        <f t="shared" si="26"/>
        <v>0</v>
      </c>
      <c r="R151" s="164">
        <f t="shared" si="35"/>
        <v>0</v>
      </c>
      <c r="S151" s="164">
        <f t="shared" si="27"/>
        <v>0</v>
      </c>
      <c r="T151" s="164">
        <f t="shared" si="28"/>
        <v>0</v>
      </c>
    </row>
    <row r="152" spans="2:20" x14ac:dyDescent="0.2">
      <c r="B152" s="171"/>
      <c r="D152" s="171"/>
      <c r="F152" s="158">
        <v>141</v>
      </c>
      <c r="G152" s="249">
        <f t="shared" si="29"/>
        <v>47938</v>
      </c>
      <c r="H152" s="158">
        <f t="shared" si="33"/>
        <v>31</v>
      </c>
      <c r="I152" s="254">
        <f>VLOOKUP(G152,'Прогноз переменной ставки'!$B$5:$E$304,4,1)</f>
        <v>9.9000000000000005E-2</v>
      </c>
      <c r="J152" s="164">
        <f t="shared" si="30"/>
        <v>0</v>
      </c>
      <c r="K152" s="164">
        <f t="shared" si="31"/>
        <v>0</v>
      </c>
      <c r="L152" s="164">
        <f t="shared" si="34"/>
        <v>0</v>
      </c>
      <c r="M152" s="164">
        <f t="shared" si="34"/>
        <v>0</v>
      </c>
      <c r="N152" s="164">
        <f t="shared" si="32"/>
        <v>0</v>
      </c>
      <c r="O152" s="164">
        <f t="shared" si="24"/>
        <v>0</v>
      </c>
      <c r="P152" s="164">
        <f t="shared" si="25"/>
        <v>0</v>
      </c>
      <c r="Q152" s="164">
        <f t="shared" si="26"/>
        <v>0</v>
      </c>
      <c r="R152" s="164">
        <f t="shared" si="35"/>
        <v>0</v>
      </c>
      <c r="S152" s="164">
        <f t="shared" si="27"/>
        <v>0</v>
      </c>
      <c r="T152" s="164">
        <f t="shared" si="28"/>
        <v>0</v>
      </c>
    </row>
    <row r="153" spans="2:20" x14ac:dyDescent="0.2">
      <c r="B153" s="171"/>
      <c r="D153" s="171"/>
      <c r="F153" s="158">
        <v>142</v>
      </c>
      <c r="G153" s="249">
        <f t="shared" si="29"/>
        <v>47968</v>
      </c>
      <c r="H153" s="158">
        <f t="shared" si="33"/>
        <v>30</v>
      </c>
      <c r="I153" s="254">
        <f>VLOOKUP(G153,'Прогноз переменной ставки'!$B$5:$E$304,4,1)</f>
        <v>9.9000000000000005E-2</v>
      </c>
      <c r="J153" s="164">
        <f t="shared" si="30"/>
        <v>0</v>
      </c>
      <c r="K153" s="164">
        <f t="shared" si="31"/>
        <v>0</v>
      </c>
      <c r="L153" s="164">
        <f t="shared" si="34"/>
        <v>0</v>
      </c>
      <c r="M153" s="164">
        <f t="shared" si="34"/>
        <v>0</v>
      </c>
      <c r="N153" s="164">
        <f t="shared" si="32"/>
        <v>0</v>
      </c>
      <c r="O153" s="164">
        <f t="shared" si="24"/>
        <v>0</v>
      </c>
      <c r="P153" s="164">
        <f t="shared" si="25"/>
        <v>0</v>
      </c>
      <c r="Q153" s="164">
        <f t="shared" si="26"/>
        <v>0</v>
      </c>
      <c r="R153" s="164">
        <f t="shared" si="35"/>
        <v>0</v>
      </c>
      <c r="S153" s="164">
        <f t="shared" si="27"/>
        <v>0</v>
      </c>
      <c r="T153" s="164">
        <f t="shared" si="28"/>
        <v>0</v>
      </c>
    </row>
    <row r="154" spans="2:20" x14ac:dyDescent="0.2">
      <c r="B154" s="171"/>
      <c r="D154" s="171"/>
      <c r="F154" s="158">
        <v>143</v>
      </c>
      <c r="G154" s="249">
        <f t="shared" si="29"/>
        <v>47999</v>
      </c>
      <c r="H154" s="158">
        <f t="shared" si="33"/>
        <v>31</v>
      </c>
      <c r="I154" s="254">
        <f>VLOOKUP(G154,'Прогноз переменной ставки'!$B$5:$E$304,4,1)</f>
        <v>9.9000000000000005E-2</v>
      </c>
      <c r="J154" s="164">
        <f t="shared" si="30"/>
        <v>0</v>
      </c>
      <c r="K154" s="164">
        <f t="shared" si="31"/>
        <v>0</v>
      </c>
      <c r="L154" s="164">
        <f t="shared" si="34"/>
        <v>0</v>
      </c>
      <c r="M154" s="164">
        <f t="shared" si="34"/>
        <v>0</v>
      </c>
      <c r="N154" s="164">
        <f t="shared" si="32"/>
        <v>0</v>
      </c>
      <c r="O154" s="164">
        <f t="shared" si="24"/>
        <v>0</v>
      </c>
      <c r="P154" s="164">
        <f t="shared" si="25"/>
        <v>0</v>
      </c>
      <c r="Q154" s="164">
        <f t="shared" si="26"/>
        <v>0</v>
      </c>
      <c r="R154" s="164">
        <f t="shared" si="35"/>
        <v>0</v>
      </c>
      <c r="S154" s="164">
        <f t="shared" si="27"/>
        <v>0</v>
      </c>
      <c r="T154" s="164">
        <f t="shared" si="28"/>
        <v>0</v>
      </c>
    </row>
    <row r="155" spans="2:20" x14ac:dyDescent="0.2">
      <c r="B155" s="171"/>
      <c r="D155" s="171"/>
      <c r="F155" s="158">
        <v>144</v>
      </c>
      <c r="G155" s="249">
        <f t="shared" si="29"/>
        <v>48029</v>
      </c>
      <c r="H155" s="158">
        <f t="shared" si="33"/>
        <v>30</v>
      </c>
      <c r="I155" s="254">
        <f>VLOOKUP(G155,'Прогноз переменной ставки'!$B$5:$E$304,4,1)</f>
        <v>9.9000000000000005E-2</v>
      </c>
      <c r="J155" s="164">
        <f t="shared" si="30"/>
        <v>0</v>
      </c>
      <c r="K155" s="164">
        <f t="shared" si="31"/>
        <v>0</v>
      </c>
      <c r="L155" s="164">
        <f t="shared" si="34"/>
        <v>0</v>
      </c>
      <c r="M155" s="164">
        <f t="shared" si="34"/>
        <v>0</v>
      </c>
      <c r="N155" s="164">
        <f t="shared" si="32"/>
        <v>0</v>
      </c>
      <c r="O155" s="164">
        <f t="shared" si="24"/>
        <v>0</v>
      </c>
      <c r="P155" s="164">
        <f t="shared" si="25"/>
        <v>0</v>
      </c>
      <c r="Q155" s="164">
        <f t="shared" si="26"/>
        <v>0</v>
      </c>
      <c r="R155" s="164">
        <f t="shared" si="35"/>
        <v>0</v>
      </c>
      <c r="S155" s="164">
        <f t="shared" si="27"/>
        <v>0</v>
      </c>
      <c r="T155" s="164">
        <f t="shared" si="28"/>
        <v>0</v>
      </c>
    </row>
    <row r="156" spans="2:20" x14ac:dyDescent="0.2">
      <c r="B156" s="171"/>
      <c r="D156" s="171"/>
      <c r="F156" s="158">
        <v>145</v>
      </c>
      <c r="G156" s="249">
        <f t="shared" si="29"/>
        <v>48060</v>
      </c>
      <c r="H156" s="158">
        <f t="shared" si="33"/>
        <v>31</v>
      </c>
      <c r="I156" s="254">
        <f>VLOOKUP(G156,'Прогноз переменной ставки'!$B$5:$E$304,4,1)</f>
        <v>9.9000000000000005E-2</v>
      </c>
      <c r="J156" s="164">
        <f t="shared" si="30"/>
        <v>0</v>
      </c>
      <c r="K156" s="164">
        <f t="shared" si="31"/>
        <v>0</v>
      </c>
      <c r="L156" s="164">
        <f t="shared" si="34"/>
        <v>0</v>
      </c>
      <c r="M156" s="164">
        <f t="shared" si="34"/>
        <v>0</v>
      </c>
      <c r="N156" s="164">
        <f t="shared" si="32"/>
        <v>0</v>
      </c>
      <c r="O156" s="164">
        <f t="shared" si="24"/>
        <v>0</v>
      </c>
      <c r="P156" s="164">
        <f t="shared" si="25"/>
        <v>0</v>
      </c>
      <c r="Q156" s="164">
        <f t="shared" si="26"/>
        <v>0</v>
      </c>
      <c r="R156" s="164">
        <f t="shared" si="35"/>
        <v>0</v>
      </c>
      <c r="S156" s="164">
        <f t="shared" si="27"/>
        <v>0</v>
      </c>
      <c r="T156" s="164">
        <f t="shared" si="28"/>
        <v>0</v>
      </c>
    </row>
    <row r="157" spans="2:20" x14ac:dyDescent="0.2">
      <c r="B157" s="171"/>
      <c r="D157" s="171"/>
      <c r="F157" s="158">
        <v>146</v>
      </c>
      <c r="G157" s="249">
        <f t="shared" si="29"/>
        <v>48091</v>
      </c>
      <c r="H157" s="158">
        <f t="shared" si="33"/>
        <v>31</v>
      </c>
      <c r="I157" s="254">
        <f>VLOOKUP(G157,'Прогноз переменной ставки'!$B$5:$E$304,4,1)</f>
        <v>9.9000000000000005E-2</v>
      </c>
      <c r="J157" s="164">
        <f t="shared" si="30"/>
        <v>0</v>
      </c>
      <c r="K157" s="164">
        <f t="shared" si="31"/>
        <v>0</v>
      </c>
      <c r="L157" s="164">
        <f t="shared" si="34"/>
        <v>0</v>
      </c>
      <c r="M157" s="164">
        <f t="shared" si="34"/>
        <v>0</v>
      </c>
      <c r="N157" s="164">
        <f t="shared" si="32"/>
        <v>0</v>
      </c>
      <c r="O157" s="164">
        <f t="shared" si="24"/>
        <v>0</v>
      </c>
      <c r="P157" s="164">
        <f t="shared" si="25"/>
        <v>0</v>
      </c>
      <c r="Q157" s="164">
        <f t="shared" si="26"/>
        <v>0</v>
      </c>
      <c r="R157" s="164">
        <f t="shared" si="35"/>
        <v>0</v>
      </c>
      <c r="S157" s="164">
        <f t="shared" si="27"/>
        <v>0</v>
      </c>
      <c r="T157" s="164">
        <f t="shared" si="28"/>
        <v>0</v>
      </c>
    </row>
    <row r="158" spans="2:20" x14ac:dyDescent="0.2">
      <c r="B158" s="171"/>
      <c r="D158" s="171"/>
      <c r="F158" s="158">
        <v>147</v>
      </c>
      <c r="G158" s="249">
        <f t="shared" si="29"/>
        <v>48121</v>
      </c>
      <c r="H158" s="158">
        <f t="shared" si="33"/>
        <v>30</v>
      </c>
      <c r="I158" s="254">
        <f>VLOOKUP(G158,'Прогноз переменной ставки'!$B$5:$E$304,4,1)</f>
        <v>9.9000000000000005E-2</v>
      </c>
      <c r="J158" s="164">
        <f t="shared" si="30"/>
        <v>0</v>
      </c>
      <c r="K158" s="164">
        <f t="shared" si="31"/>
        <v>0</v>
      </c>
      <c r="L158" s="164">
        <f t="shared" si="34"/>
        <v>0</v>
      </c>
      <c r="M158" s="164">
        <f t="shared" si="34"/>
        <v>0</v>
      </c>
      <c r="N158" s="164">
        <f t="shared" si="32"/>
        <v>0</v>
      </c>
      <c r="O158" s="164">
        <f t="shared" si="24"/>
        <v>0</v>
      </c>
      <c r="P158" s="164">
        <f t="shared" si="25"/>
        <v>0</v>
      </c>
      <c r="Q158" s="164">
        <f t="shared" si="26"/>
        <v>0</v>
      </c>
      <c r="R158" s="164">
        <f t="shared" si="35"/>
        <v>0</v>
      </c>
      <c r="S158" s="164">
        <f t="shared" si="27"/>
        <v>0</v>
      </c>
      <c r="T158" s="164">
        <f t="shared" si="28"/>
        <v>0</v>
      </c>
    </row>
    <row r="159" spans="2:20" x14ac:dyDescent="0.2">
      <c r="B159" s="171"/>
      <c r="D159" s="171"/>
      <c r="F159" s="158">
        <v>148</v>
      </c>
      <c r="G159" s="249">
        <f t="shared" si="29"/>
        <v>48152</v>
      </c>
      <c r="H159" s="158">
        <f t="shared" si="33"/>
        <v>31</v>
      </c>
      <c r="I159" s="254">
        <f>VLOOKUP(G159,'Прогноз переменной ставки'!$B$5:$E$304,4,1)</f>
        <v>9.9000000000000005E-2</v>
      </c>
      <c r="J159" s="164">
        <f t="shared" si="30"/>
        <v>0</v>
      </c>
      <c r="K159" s="164">
        <f t="shared" si="31"/>
        <v>0</v>
      </c>
      <c r="L159" s="164">
        <f t="shared" si="34"/>
        <v>0</v>
      </c>
      <c r="M159" s="164">
        <f t="shared" si="34"/>
        <v>0</v>
      </c>
      <c r="N159" s="164">
        <f t="shared" si="32"/>
        <v>0</v>
      </c>
      <c r="O159" s="164">
        <f t="shared" si="24"/>
        <v>0</v>
      </c>
      <c r="P159" s="164">
        <f t="shared" si="25"/>
        <v>0</v>
      </c>
      <c r="Q159" s="164">
        <f t="shared" si="26"/>
        <v>0</v>
      </c>
      <c r="R159" s="164">
        <f t="shared" si="35"/>
        <v>0</v>
      </c>
      <c r="S159" s="164">
        <f t="shared" si="27"/>
        <v>0</v>
      </c>
      <c r="T159" s="164">
        <f t="shared" si="28"/>
        <v>0</v>
      </c>
    </row>
    <row r="160" spans="2:20" x14ac:dyDescent="0.2">
      <c r="B160" s="171"/>
      <c r="D160" s="171"/>
      <c r="F160" s="158">
        <v>149</v>
      </c>
      <c r="G160" s="249">
        <f t="shared" si="29"/>
        <v>48182</v>
      </c>
      <c r="H160" s="158">
        <f t="shared" si="33"/>
        <v>30</v>
      </c>
      <c r="I160" s="254">
        <f>VLOOKUP(G160,'Прогноз переменной ставки'!$B$5:$E$304,4,1)</f>
        <v>9.9000000000000005E-2</v>
      </c>
      <c r="J160" s="164">
        <f t="shared" si="30"/>
        <v>0</v>
      </c>
      <c r="K160" s="164">
        <f t="shared" si="31"/>
        <v>0</v>
      </c>
      <c r="L160" s="164">
        <f t="shared" si="34"/>
        <v>0</v>
      </c>
      <c r="M160" s="164">
        <f t="shared" si="34"/>
        <v>0</v>
      </c>
      <c r="N160" s="164">
        <f t="shared" si="32"/>
        <v>0</v>
      </c>
      <c r="O160" s="164">
        <f t="shared" si="24"/>
        <v>0</v>
      </c>
      <c r="P160" s="164">
        <f t="shared" si="25"/>
        <v>0</v>
      </c>
      <c r="Q160" s="164">
        <f t="shared" si="26"/>
        <v>0</v>
      </c>
      <c r="R160" s="164">
        <f t="shared" si="35"/>
        <v>0</v>
      </c>
      <c r="S160" s="164">
        <f t="shared" si="27"/>
        <v>0</v>
      </c>
      <c r="T160" s="164">
        <f t="shared" si="28"/>
        <v>0</v>
      </c>
    </row>
    <row r="161" spans="2:20" x14ac:dyDescent="0.2">
      <c r="B161" s="171"/>
      <c r="D161" s="171"/>
      <c r="F161" s="158">
        <v>150</v>
      </c>
      <c r="G161" s="249">
        <f t="shared" si="29"/>
        <v>48213</v>
      </c>
      <c r="H161" s="158">
        <f t="shared" si="33"/>
        <v>31</v>
      </c>
      <c r="I161" s="254">
        <f>VLOOKUP(G161,'Прогноз переменной ставки'!$B$5:$E$304,4,1)</f>
        <v>9.9000000000000005E-2</v>
      </c>
      <c r="J161" s="164">
        <f t="shared" si="30"/>
        <v>0</v>
      </c>
      <c r="K161" s="164">
        <f t="shared" si="31"/>
        <v>0</v>
      </c>
      <c r="L161" s="164">
        <f t="shared" si="34"/>
        <v>0</v>
      </c>
      <c r="M161" s="164">
        <f t="shared" si="34"/>
        <v>0</v>
      </c>
      <c r="N161" s="164">
        <f t="shared" si="32"/>
        <v>0</v>
      </c>
      <c r="O161" s="164">
        <f t="shared" si="24"/>
        <v>0</v>
      </c>
      <c r="P161" s="164">
        <f t="shared" si="25"/>
        <v>0</v>
      </c>
      <c r="Q161" s="164">
        <f t="shared" si="26"/>
        <v>0</v>
      </c>
      <c r="R161" s="164">
        <f t="shared" si="35"/>
        <v>0</v>
      </c>
      <c r="S161" s="164">
        <f t="shared" si="27"/>
        <v>0</v>
      </c>
      <c r="T161" s="164">
        <f t="shared" si="28"/>
        <v>0</v>
      </c>
    </row>
    <row r="162" spans="2:20" x14ac:dyDescent="0.2">
      <c r="B162" s="171"/>
      <c r="D162" s="171"/>
      <c r="F162" s="158">
        <v>151</v>
      </c>
      <c r="G162" s="249">
        <f t="shared" si="29"/>
        <v>48244</v>
      </c>
      <c r="H162" s="158">
        <f t="shared" si="33"/>
        <v>31</v>
      </c>
      <c r="I162" s="254">
        <f>VLOOKUP(G162,'Прогноз переменной ставки'!$B$5:$E$304,4,1)</f>
        <v>9.9000000000000005E-2</v>
      </c>
      <c r="J162" s="164">
        <f t="shared" si="30"/>
        <v>0</v>
      </c>
      <c r="K162" s="164">
        <f t="shared" si="31"/>
        <v>0</v>
      </c>
      <c r="L162" s="164">
        <f t="shared" si="34"/>
        <v>0</v>
      </c>
      <c r="M162" s="164">
        <f t="shared" si="34"/>
        <v>0</v>
      </c>
      <c r="N162" s="164">
        <f t="shared" si="32"/>
        <v>0</v>
      </c>
      <c r="O162" s="164">
        <f t="shared" si="24"/>
        <v>0</v>
      </c>
      <c r="P162" s="164">
        <f t="shared" si="25"/>
        <v>0</v>
      </c>
      <c r="Q162" s="164">
        <f t="shared" si="26"/>
        <v>0</v>
      </c>
      <c r="R162" s="164">
        <f t="shared" si="35"/>
        <v>0</v>
      </c>
      <c r="S162" s="164">
        <f t="shared" si="27"/>
        <v>0</v>
      </c>
      <c r="T162" s="164">
        <f t="shared" si="28"/>
        <v>0</v>
      </c>
    </row>
    <row r="163" spans="2:20" x14ac:dyDescent="0.2">
      <c r="B163" s="171"/>
      <c r="D163" s="171"/>
      <c r="F163" s="158">
        <v>152</v>
      </c>
      <c r="G163" s="249">
        <f t="shared" si="29"/>
        <v>48273</v>
      </c>
      <c r="H163" s="158">
        <f t="shared" si="33"/>
        <v>29</v>
      </c>
      <c r="I163" s="254">
        <f>VLOOKUP(G163,'Прогноз переменной ставки'!$B$5:$E$304,4,1)</f>
        <v>9.9000000000000005E-2</v>
      </c>
      <c r="J163" s="164">
        <f t="shared" si="30"/>
        <v>0</v>
      </c>
      <c r="K163" s="164">
        <f t="shared" si="31"/>
        <v>0</v>
      </c>
      <c r="L163" s="164">
        <f t="shared" si="34"/>
        <v>0</v>
      </c>
      <c r="M163" s="164">
        <f t="shared" si="34"/>
        <v>0</v>
      </c>
      <c r="N163" s="164">
        <f t="shared" si="32"/>
        <v>0</v>
      </c>
      <c r="O163" s="164">
        <f t="shared" si="24"/>
        <v>0</v>
      </c>
      <c r="P163" s="164">
        <f t="shared" si="25"/>
        <v>0</v>
      </c>
      <c r="Q163" s="164">
        <f t="shared" si="26"/>
        <v>0</v>
      </c>
      <c r="R163" s="164">
        <f t="shared" si="35"/>
        <v>0</v>
      </c>
      <c r="S163" s="164">
        <f t="shared" si="27"/>
        <v>0</v>
      </c>
      <c r="T163" s="164">
        <f t="shared" si="28"/>
        <v>0</v>
      </c>
    </row>
    <row r="164" spans="2:20" x14ac:dyDescent="0.2">
      <c r="B164" s="171"/>
      <c r="D164" s="171"/>
      <c r="F164" s="158">
        <v>153</v>
      </c>
      <c r="G164" s="249">
        <f t="shared" si="29"/>
        <v>48304</v>
      </c>
      <c r="H164" s="158">
        <f t="shared" si="33"/>
        <v>31</v>
      </c>
      <c r="I164" s="254">
        <f>VLOOKUP(G164,'Прогноз переменной ставки'!$B$5:$E$304,4,1)</f>
        <v>9.9000000000000005E-2</v>
      </c>
      <c r="J164" s="164">
        <f t="shared" si="30"/>
        <v>0</v>
      </c>
      <c r="K164" s="164">
        <f t="shared" si="31"/>
        <v>0</v>
      </c>
      <c r="L164" s="164">
        <f t="shared" si="34"/>
        <v>0</v>
      </c>
      <c r="M164" s="164">
        <f t="shared" si="34"/>
        <v>0</v>
      </c>
      <c r="N164" s="164">
        <f t="shared" si="32"/>
        <v>0</v>
      </c>
      <c r="O164" s="164">
        <f t="shared" si="24"/>
        <v>0</v>
      </c>
      <c r="P164" s="164">
        <f t="shared" si="25"/>
        <v>0</v>
      </c>
      <c r="Q164" s="164">
        <f t="shared" si="26"/>
        <v>0</v>
      </c>
      <c r="R164" s="164">
        <f t="shared" si="35"/>
        <v>0</v>
      </c>
      <c r="S164" s="164">
        <f t="shared" si="27"/>
        <v>0</v>
      </c>
      <c r="T164" s="164">
        <f t="shared" si="28"/>
        <v>0</v>
      </c>
    </row>
    <row r="165" spans="2:20" x14ac:dyDescent="0.2">
      <c r="B165" s="171"/>
      <c r="D165" s="171"/>
      <c r="F165" s="158">
        <v>154</v>
      </c>
      <c r="G165" s="249">
        <f t="shared" si="29"/>
        <v>48334</v>
      </c>
      <c r="H165" s="158">
        <f t="shared" si="33"/>
        <v>30</v>
      </c>
      <c r="I165" s="254">
        <f>VLOOKUP(G165,'Прогноз переменной ставки'!$B$5:$E$304,4,1)</f>
        <v>9.9000000000000005E-2</v>
      </c>
      <c r="J165" s="164">
        <f t="shared" si="30"/>
        <v>0</v>
      </c>
      <c r="K165" s="164">
        <f t="shared" si="31"/>
        <v>0</v>
      </c>
      <c r="L165" s="164">
        <f t="shared" si="34"/>
        <v>0</v>
      </c>
      <c r="M165" s="164">
        <f t="shared" si="34"/>
        <v>0</v>
      </c>
      <c r="N165" s="164">
        <f t="shared" si="32"/>
        <v>0</v>
      </c>
      <c r="O165" s="164">
        <f t="shared" si="24"/>
        <v>0</v>
      </c>
      <c r="P165" s="164">
        <f t="shared" si="25"/>
        <v>0</v>
      </c>
      <c r="Q165" s="164">
        <f t="shared" si="26"/>
        <v>0</v>
      </c>
      <c r="R165" s="164">
        <f t="shared" si="35"/>
        <v>0</v>
      </c>
      <c r="S165" s="164">
        <f t="shared" si="27"/>
        <v>0</v>
      </c>
      <c r="T165" s="164">
        <f t="shared" si="28"/>
        <v>0</v>
      </c>
    </row>
    <row r="166" spans="2:20" x14ac:dyDescent="0.2">
      <c r="B166" s="171"/>
      <c r="D166" s="171"/>
      <c r="F166" s="158">
        <v>155</v>
      </c>
      <c r="G166" s="249">
        <f t="shared" si="29"/>
        <v>48365</v>
      </c>
      <c r="H166" s="158">
        <f t="shared" si="33"/>
        <v>31</v>
      </c>
      <c r="I166" s="254">
        <f>VLOOKUP(G166,'Прогноз переменной ставки'!$B$5:$E$304,4,1)</f>
        <v>9.9000000000000005E-2</v>
      </c>
      <c r="J166" s="164">
        <f t="shared" si="30"/>
        <v>0</v>
      </c>
      <c r="K166" s="164">
        <f t="shared" si="31"/>
        <v>0</v>
      </c>
      <c r="L166" s="164">
        <f t="shared" si="34"/>
        <v>0</v>
      </c>
      <c r="M166" s="164">
        <f t="shared" si="34"/>
        <v>0</v>
      </c>
      <c r="N166" s="164">
        <f t="shared" si="32"/>
        <v>0</v>
      </c>
      <c r="O166" s="164">
        <f t="shared" si="24"/>
        <v>0</v>
      </c>
      <c r="P166" s="164">
        <f t="shared" si="25"/>
        <v>0</v>
      </c>
      <c r="Q166" s="164">
        <f t="shared" si="26"/>
        <v>0</v>
      </c>
      <c r="R166" s="164">
        <f t="shared" si="35"/>
        <v>0</v>
      </c>
      <c r="S166" s="164">
        <f t="shared" si="27"/>
        <v>0</v>
      </c>
      <c r="T166" s="164">
        <f t="shared" si="28"/>
        <v>0</v>
      </c>
    </row>
    <row r="167" spans="2:20" x14ac:dyDescent="0.2">
      <c r="B167" s="171"/>
      <c r="D167" s="171"/>
      <c r="F167" s="158">
        <v>156</v>
      </c>
      <c r="G167" s="249">
        <f t="shared" si="29"/>
        <v>48395</v>
      </c>
      <c r="H167" s="158">
        <f t="shared" si="33"/>
        <v>30</v>
      </c>
      <c r="I167" s="254">
        <f>VLOOKUP(G167,'Прогноз переменной ставки'!$B$5:$E$304,4,1)</f>
        <v>9.9000000000000005E-2</v>
      </c>
      <c r="J167" s="164">
        <f t="shared" si="30"/>
        <v>0</v>
      </c>
      <c r="K167" s="164">
        <f t="shared" si="31"/>
        <v>0</v>
      </c>
      <c r="L167" s="164">
        <f t="shared" si="34"/>
        <v>0</v>
      </c>
      <c r="M167" s="164">
        <f t="shared" si="34"/>
        <v>0</v>
      </c>
      <c r="N167" s="164">
        <f t="shared" si="32"/>
        <v>0</v>
      </c>
      <c r="O167" s="164">
        <f t="shared" si="24"/>
        <v>0</v>
      </c>
      <c r="P167" s="164">
        <f t="shared" si="25"/>
        <v>0</v>
      </c>
      <c r="Q167" s="164">
        <f t="shared" si="26"/>
        <v>0</v>
      </c>
      <c r="R167" s="164">
        <f t="shared" si="35"/>
        <v>0</v>
      </c>
      <c r="S167" s="164">
        <f t="shared" si="27"/>
        <v>0</v>
      </c>
      <c r="T167" s="164">
        <f t="shared" si="28"/>
        <v>0</v>
      </c>
    </row>
    <row r="168" spans="2:20" x14ac:dyDescent="0.2">
      <c r="B168" s="171"/>
      <c r="D168" s="171"/>
      <c r="F168" s="158">
        <v>157</v>
      </c>
      <c r="G168" s="249">
        <f t="shared" si="29"/>
        <v>48426</v>
      </c>
      <c r="H168" s="158">
        <f t="shared" si="33"/>
        <v>31</v>
      </c>
      <c r="I168" s="254">
        <f>VLOOKUP(G168,'Прогноз переменной ставки'!$B$5:$E$304,4,1)</f>
        <v>9.9000000000000005E-2</v>
      </c>
      <c r="J168" s="164">
        <f t="shared" si="30"/>
        <v>0</v>
      </c>
      <c r="K168" s="164">
        <f t="shared" si="31"/>
        <v>0</v>
      </c>
      <c r="L168" s="164">
        <f t="shared" si="34"/>
        <v>0</v>
      </c>
      <c r="M168" s="164">
        <f t="shared" si="34"/>
        <v>0</v>
      </c>
      <c r="N168" s="164">
        <f t="shared" si="32"/>
        <v>0</v>
      </c>
      <c r="O168" s="164">
        <f t="shared" si="24"/>
        <v>0</v>
      </c>
      <c r="P168" s="164">
        <f t="shared" si="25"/>
        <v>0</v>
      </c>
      <c r="Q168" s="164">
        <f t="shared" si="26"/>
        <v>0</v>
      </c>
      <c r="R168" s="164">
        <f t="shared" si="35"/>
        <v>0</v>
      </c>
      <c r="S168" s="164">
        <f t="shared" si="27"/>
        <v>0</v>
      </c>
      <c r="T168" s="164">
        <f t="shared" si="28"/>
        <v>0</v>
      </c>
    </row>
    <row r="169" spans="2:20" x14ac:dyDescent="0.2">
      <c r="B169" s="171"/>
      <c r="D169" s="171"/>
      <c r="F169" s="158">
        <v>158</v>
      </c>
      <c r="G169" s="249">
        <f t="shared" si="29"/>
        <v>48457</v>
      </c>
      <c r="H169" s="158">
        <f t="shared" si="33"/>
        <v>31</v>
      </c>
      <c r="I169" s="254">
        <f>VLOOKUP(G169,'Прогноз переменной ставки'!$B$5:$E$304,4,1)</f>
        <v>9.9000000000000005E-2</v>
      </c>
      <c r="J169" s="164">
        <f t="shared" si="30"/>
        <v>0</v>
      </c>
      <c r="K169" s="164">
        <f t="shared" si="31"/>
        <v>0</v>
      </c>
      <c r="L169" s="164">
        <f t="shared" si="34"/>
        <v>0</v>
      </c>
      <c r="M169" s="164">
        <f t="shared" si="34"/>
        <v>0</v>
      </c>
      <c r="N169" s="164">
        <f t="shared" si="32"/>
        <v>0</v>
      </c>
      <c r="O169" s="164">
        <f t="shared" si="24"/>
        <v>0</v>
      </c>
      <c r="P169" s="164">
        <f t="shared" si="25"/>
        <v>0</v>
      </c>
      <c r="Q169" s="164">
        <f t="shared" si="26"/>
        <v>0</v>
      </c>
      <c r="R169" s="164">
        <f t="shared" si="35"/>
        <v>0</v>
      </c>
      <c r="S169" s="164">
        <f t="shared" si="27"/>
        <v>0</v>
      </c>
      <c r="T169" s="164">
        <f t="shared" si="28"/>
        <v>0</v>
      </c>
    </row>
    <row r="170" spans="2:20" x14ac:dyDescent="0.2">
      <c r="B170" s="171"/>
      <c r="D170" s="171"/>
      <c r="F170" s="158">
        <v>159</v>
      </c>
      <c r="G170" s="249">
        <f t="shared" si="29"/>
        <v>48487</v>
      </c>
      <c r="H170" s="158">
        <f t="shared" si="33"/>
        <v>30</v>
      </c>
      <c r="I170" s="254">
        <f>VLOOKUP(G170,'Прогноз переменной ставки'!$B$5:$E$304,4,1)</f>
        <v>9.9000000000000005E-2</v>
      </c>
      <c r="J170" s="164">
        <f t="shared" si="30"/>
        <v>0</v>
      </c>
      <c r="K170" s="164">
        <f t="shared" si="31"/>
        <v>0</v>
      </c>
      <c r="L170" s="164">
        <f t="shared" si="34"/>
        <v>0</v>
      </c>
      <c r="M170" s="164">
        <f t="shared" si="34"/>
        <v>0</v>
      </c>
      <c r="N170" s="164">
        <f t="shared" si="32"/>
        <v>0</v>
      </c>
      <c r="O170" s="164">
        <f t="shared" si="24"/>
        <v>0</v>
      </c>
      <c r="P170" s="164">
        <f t="shared" si="25"/>
        <v>0</v>
      </c>
      <c r="Q170" s="164">
        <f t="shared" si="26"/>
        <v>0</v>
      </c>
      <c r="R170" s="164">
        <f t="shared" si="35"/>
        <v>0</v>
      </c>
      <c r="S170" s="164">
        <f t="shared" si="27"/>
        <v>0</v>
      </c>
      <c r="T170" s="164">
        <f t="shared" si="28"/>
        <v>0</v>
      </c>
    </row>
    <row r="171" spans="2:20" x14ac:dyDescent="0.2">
      <c r="B171" s="171"/>
      <c r="D171" s="171"/>
      <c r="F171" s="158">
        <v>160</v>
      </c>
      <c r="G171" s="249">
        <f t="shared" si="29"/>
        <v>48518</v>
      </c>
      <c r="H171" s="158">
        <f t="shared" si="33"/>
        <v>31</v>
      </c>
      <c r="I171" s="254">
        <f>VLOOKUP(G171,'Прогноз переменной ставки'!$B$5:$E$304,4,1)</f>
        <v>9.9000000000000005E-2</v>
      </c>
      <c r="J171" s="164">
        <f t="shared" si="30"/>
        <v>0</v>
      </c>
      <c r="K171" s="164">
        <f t="shared" si="31"/>
        <v>0</v>
      </c>
      <c r="L171" s="164">
        <f t="shared" si="34"/>
        <v>0</v>
      </c>
      <c r="M171" s="164">
        <f t="shared" si="34"/>
        <v>0</v>
      </c>
      <c r="N171" s="164">
        <f t="shared" si="32"/>
        <v>0</v>
      </c>
      <c r="O171" s="164">
        <f t="shared" si="24"/>
        <v>0</v>
      </c>
      <c r="P171" s="164">
        <f t="shared" si="25"/>
        <v>0</v>
      </c>
      <c r="Q171" s="164">
        <f t="shared" si="26"/>
        <v>0</v>
      </c>
      <c r="R171" s="164">
        <f t="shared" si="35"/>
        <v>0</v>
      </c>
      <c r="S171" s="164">
        <f t="shared" si="27"/>
        <v>0</v>
      </c>
      <c r="T171" s="164">
        <f t="shared" si="28"/>
        <v>0</v>
      </c>
    </row>
    <row r="172" spans="2:20" x14ac:dyDescent="0.2">
      <c r="B172" s="171"/>
      <c r="D172" s="171"/>
      <c r="F172" s="158">
        <v>161</v>
      </c>
      <c r="G172" s="249">
        <f t="shared" si="29"/>
        <v>48548</v>
      </c>
      <c r="H172" s="158">
        <f t="shared" si="33"/>
        <v>30</v>
      </c>
      <c r="I172" s="254">
        <f>VLOOKUP(G172,'Прогноз переменной ставки'!$B$5:$E$304,4,1)</f>
        <v>9.9000000000000005E-2</v>
      </c>
      <c r="J172" s="164">
        <f t="shared" si="30"/>
        <v>0</v>
      </c>
      <c r="K172" s="164">
        <f t="shared" si="31"/>
        <v>0</v>
      </c>
      <c r="L172" s="164">
        <f t="shared" si="34"/>
        <v>0</v>
      </c>
      <c r="M172" s="164">
        <f t="shared" si="34"/>
        <v>0</v>
      </c>
      <c r="N172" s="164">
        <f t="shared" si="32"/>
        <v>0</v>
      </c>
      <c r="O172" s="164">
        <f t="shared" si="24"/>
        <v>0</v>
      </c>
      <c r="P172" s="164">
        <f t="shared" si="25"/>
        <v>0</v>
      </c>
      <c r="Q172" s="164">
        <f t="shared" si="26"/>
        <v>0</v>
      </c>
      <c r="R172" s="164">
        <f t="shared" si="35"/>
        <v>0</v>
      </c>
      <c r="S172" s="164">
        <f t="shared" si="27"/>
        <v>0</v>
      </c>
      <c r="T172" s="164">
        <f t="shared" si="28"/>
        <v>0</v>
      </c>
    </row>
    <row r="173" spans="2:20" x14ac:dyDescent="0.2">
      <c r="B173" s="171"/>
      <c r="D173" s="171"/>
      <c r="F173" s="158">
        <v>162</v>
      </c>
      <c r="G173" s="249">
        <f t="shared" si="29"/>
        <v>48579</v>
      </c>
      <c r="H173" s="158">
        <f t="shared" si="33"/>
        <v>31</v>
      </c>
      <c r="I173" s="254">
        <f>VLOOKUP(G173,'Прогноз переменной ставки'!$B$5:$E$304,4,1)</f>
        <v>9.9000000000000005E-2</v>
      </c>
      <c r="J173" s="164">
        <f t="shared" si="30"/>
        <v>0</v>
      </c>
      <c r="K173" s="164">
        <f t="shared" si="31"/>
        <v>0</v>
      </c>
      <c r="L173" s="164">
        <f t="shared" si="34"/>
        <v>0</v>
      </c>
      <c r="M173" s="164">
        <f t="shared" si="34"/>
        <v>0</v>
      </c>
      <c r="N173" s="164">
        <f t="shared" si="32"/>
        <v>0</v>
      </c>
      <c r="O173" s="164">
        <f t="shared" si="24"/>
        <v>0</v>
      </c>
      <c r="P173" s="164">
        <f t="shared" si="25"/>
        <v>0</v>
      </c>
      <c r="Q173" s="164">
        <f t="shared" si="26"/>
        <v>0</v>
      </c>
      <c r="R173" s="164">
        <f t="shared" si="35"/>
        <v>0</v>
      </c>
      <c r="S173" s="164">
        <f t="shared" si="27"/>
        <v>0</v>
      </c>
      <c r="T173" s="164">
        <f t="shared" si="28"/>
        <v>0</v>
      </c>
    </row>
    <row r="174" spans="2:20" x14ac:dyDescent="0.2">
      <c r="B174" s="171"/>
      <c r="D174" s="171"/>
      <c r="F174" s="158">
        <v>163</v>
      </c>
      <c r="G174" s="249">
        <f t="shared" si="29"/>
        <v>48610</v>
      </c>
      <c r="H174" s="158">
        <f t="shared" si="33"/>
        <v>31</v>
      </c>
      <c r="I174" s="254">
        <f>VLOOKUP(G174,'Прогноз переменной ставки'!$B$5:$E$304,4,1)</f>
        <v>9.9000000000000005E-2</v>
      </c>
      <c r="J174" s="164">
        <f t="shared" si="30"/>
        <v>0</v>
      </c>
      <c r="K174" s="164">
        <f t="shared" si="31"/>
        <v>0</v>
      </c>
      <c r="L174" s="164">
        <f t="shared" si="34"/>
        <v>0</v>
      </c>
      <c r="M174" s="164">
        <f t="shared" si="34"/>
        <v>0</v>
      </c>
      <c r="N174" s="164">
        <f t="shared" si="32"/>
        <v>0</v>
      </c>
      <c r="O174" s="164">
        <f t="shared" si="24"/>
        <v>0</v>
      </c>
      <c r="P174" s="164">
        <f t="shared" si="25"/>
        <v>0</v>
      </c>
      <c r="Q174" s="164">
        <f t="shared" si="26"/>
        <v>0</v>
      </c>
      <c r="R174" s="164">
        <f t="shared" si="35"/>
        <v>0</v>
      </c>
      <c r="S174" s="164">
        <f t="shared" si="27"/>
        <v>0</v>
      </c>
      <c r="T174" s="164">
        <f t="shared" si="28"/>
        <v>0</v>
      </c>
    </row>
    <row r="175" spans="2:20" x14ac:dyDescent="0.2">
      <c r="B175" s="171"/>
      <c r="D175" s="171"/>
      <c r="F175" s="158">
        <v>164</v>
      </c>
      <c r="G175" s="249">
        <f t="shared" si="29"/>
        <v>48638</v>
      </c>
      <c r="H175" s="158">
        <f t="shared" si="33"/>
        <v>28</v>
      </c>
      <c r="I175" s="254">
        <f>VLOOKUP(G175,'Прогноз переменной ставки'!$B$5:$E$304,4,1)</f>
        <v>9.9000000000000005E-2</v>
      </c>
      <c r="J175" s="164">
        <f t="shared" si="30"/>
        <v>0</v>
      </c>
      <c r="K175" s="164">
        <f t="shared" si="31"/>
        <v>0</v>
      </c>
      <c r="L175" s="164">
        <f t="shared" si="34"/>
        <v>0</v>
      </c>
      <c r="M175" s="164">
        <f t="shared" si="34"/>
        <v>0</v>
      </c>
      <c r="N175" s="164">
        <f t="shared" si="32"/>
        <v>0</v>
      </c>
      <c r="O175" s="164">
        <f t="shared" si="24"/>
        <v>0</v>
      </c>
      <c r="P175" s="164">
        <f t="shared" si="25"/>
        <v>0</v>
      </c>
      <c r="Q175" s="164">
        <f t="shared" si="26"/>
        <v>0</v>
      </c>
      <c r="R175" s="164">
        <f t="shared" si="35"/>
        <v>0</v>
      </c>
      <c r="S175" s="164">
        <f t="shared" si="27"/>
        <v>0</v>
      </c>
      <c r="T175" s="164">
        <f t="shared" si="28"/>
        <v>0</v>
      </c>
    </row>
    <row r="176" spans="2:20" x14ac:dyDescent="0.2">
      <c r="B176" s="171"/>
      <c r="D176" s="171"/>
      <c r="F176" s="158">
        <v>165</v>
      </c>
      <c r="G176" s="249">
        <f t="shared" si="29"/>
        <v>48669</v>
      </c>
      <c r="H176" s="158">
        <f t="shared" si="33"/>
        <v>31</v>
      </c>
      <c r="I176" s="254">
        <f>VLOOKUP(G176,'Прогноз переменной ставки'!$B$5:$E$304,4,1)</f>
        <v>9.9000000000000005E-2</v>
      </c>
      <c r="J176" s="164">
        <f t="shared" si="30"/>
        <v>0</v>
      </c>
      <c r="K176" s="164">
        <f t="shared" si="31"/>
        <v>0</v>
      </c>
      <c r="L176" s="164">
        <f t="shared" si="34"/>
        <v>0</v>
      </c>
      <c r="M176" s="164">
        <f t="shared" si="34"/>
        <v>0</v>
      </c>
      <c r="N176" s="164">
        <f t="shared" si="32"/>
        <v>0</v>
      </c>
      <c r="O176" s="164">
        <f t="shared" si="24"/>
        <v>0</v>
      </c>
      <c r="P176" s="164">
        <f t="shared" si="25"/>
        <v>0</v>
      </c>
      <c r="Q176" s="164">
        <f t="shared" si="26"/>
        <v>0</v>
      </c>
      <c r="R176" s="164">
        <f t="shared" si="35"/>
        <v>0</v>
      </c>
      <c r="S176" s="164">
        <f t="shared" si="27"/>
        <v>0</v>
      </c>
      <c r="T176" s="164">
        <f t="shared" si="28"/>
        <v>0</v>
      </c>
    </row>
    <row r="177" spans="2:20" x14ac:dyDescent="0.2">
      <c r="B177" s="171"/>
      <c r="D177" s="171"/>
      <c r="F177" s="158">
        <v>166</v>
      </c>
      <c r="G177" s="249">
        <f t="shared" si="29"/>
        <v>48699</v>
      </c>
      <c r="H177" s="158">
        <f t="shared" si="33"/>
        <v>30</v>
      </c>
      <c r="I177" s="254">
        <f>VLOOKUP(G177,'Прогноз переменной ставки'!$B$5:$E$304,4,1)</f>
        <v>9.9000000000000005E-2</v>
      </c>
      <c r="J177" s="164">
        <f t="shared" si="30"/>
        <v>0</v>
      </c>
      <c r="K177" s="164">
        <f t="shared" si="31"/>
        <v>0</v>
      </c>
      <c r="L177" s="164">
        <f t="shared" si="34"/>
        <v>0</v>
      </c>
      <c r="M177" s="164">
        <f t="shared" si="34"/>
        <v>0</v>
      </c>
      <c r="N177" s="164">
        <f t="shared" si="32"/>
        <v>0</v>
      </c>
      <c r="O177" s="164">
        <f t="shared" si="24"/>
        <v>0</v>
      </c>
      <c r="P177" s="164">
        <f t="shared" si="25"/>
        <v>0</v>
      </c>
      <c r="Q177" s="164">
        <f t="shared" si="26"/>
        <v>0</v>
      </c>
      <c r="R177" s="164">
        <f t="shared" si="35"/>
        <v>0</v>
      </c>
      <c r="S177" s="164">
        <f t="shared" si="27"/>
        <v>0</v>
      </c>
      <c r="T177" s="164">
        <f t="shared" si="28"/>
        <v>0</v>
      </c>
    </row>
    <row r="178" spans="2:20" x14ac:dyDescent="0.2">
      <c r="B178" s="171"/>
      <c r="D178" s="171"/>
      <c r="F178" s="158">
        <v>167</v>
      </c>
      <c r="G178" s="249">
        <f t="shared" si="29"/>
        <v>48730</v>
      </c>
      <c r="H178" s="158">
        <f t="shared" si="33"/>
        <v>31</v>
      </c>
      <c r="I178" s="254">
        <f>VLOOKUP(G178,'Прогноз переменной ставки'!$B$5:$E$304,4,1)</f>
        <v>9.9000000000000005E-2</v>
      </c>
      <c r="J178" s="164">
        <f t="shared" si="30"/>
        <v>0</v>
      </c>
      <c r="K178" s="164">
        <f t="shared" si="31"/>
        <v>0</v>
      </c>
      <c r="L178" s="164">
        <f t="shared" si="34"/>
        <v>0</v>
      </c>
      <c r="M178" s="164">
        <f t="shared" si="34"/>
        <v>0</v>
      </c>
      <c r="N178" s="164">
        <f t="shared" si="32"/>
        <v>0</v>
      </c>
      <c r="O178" s="164">
        <f t="shared" si="24"/>
        <v>0</v>
      </c>
      <c r="P178" s="164">
        <f t="shared" si="25"/>
        <v>0</v>
      </c>
      <c r="Q178" s="164">
        <f t="shared" si="26"/>
        <v>0</v>
      </c>
      <c r="R178" s="164">
        <f t="shared" si="35"/>
        <v>0</v>
      </c>
      <c r="S178" s="164">
        <f t="shared" si="27"/>
        <v>0</v>
      </c>
      <c r="T178" s="164">
        <f t="shared" si="28"/>
        <v>0</v>
      </c>
    </row>
    <row r="179" spans="2:20" x14ac:dyDescent="0.2">
      <c r="B179" s="171"/>
      <c r="D179" s="171"/>
      <c r="F179" s="158">
        <v>168</v>
      </c>
      <c r="G179" s="249">
        <f t="shared" si="29"/>
        <v>48760</v>
      </c>
      <c r="H179" s="158">
        <f t="shared" si="33"/>
        <v>30</v>
      </c>
      <c r="I179" s="254">
        <f>VLOOKUP(G179,'Прогноз переменной ставки'!$B$5:$E$304,4,1)</f>
        <v>9.9000000000000005E-2</v>
      </c>
      <c r="J179" s="164">
        <f t="shared" si="30"/>
        <v>0</v>
      </c>
      <c r="K179" s="164">
        <f t="shared" si="31"/>
        <v>0</v>
      </c>
      <c r="L179" s="164">
        <f t="shared" si="34"/>
        <v>0</v>
      </c>
      <c r="M179" s="164">
        <f t="shared" si="34"/>
        <v>0</v>
      </c>
      <c r="N179" s="164">
        <f t="shared" si="32"/>
        <v>0</v>
      </c>
      <c r="O179" s="164">
        <f t="shared" si="24"/>
        <v>0</v>
      </c>
      <c r="P179" s="164">
        <f t="shared" si="25"/>
        <v>0</v>
      </c>
      <c r="Q179" s="164">
        <f t="shared" si="26"/>
        <v>0</v>
      </c>
      <c r="R179" s="164">
        <f t="shared" si="35"/>
        <v>0</v>
      </c>
      <c r="S179" s="164">
        <f t="shared" si="27"/>
        <v>0</v>
      </c>
      <c r="T179" s="164">
        <f t="shared" si="28"/>
        <v>0</v>
      </c>
    </row>
    <row r="180" spans="2:20" x14ac:dyDescent="0.2">
      <c r="B180" s="171"/>
      <c r="D180" s="171"/>
      <c r="F180" s="158">
        <v>169</v>
      </c>
      <c r="G180" s="249">
        <f t="shared" si="29"/>
        <v>48791</v>
      </c>
      <c r="H180" s="158">
        <f t="shared" si="33"/>
        <v>31</v>
      </c>
      <c r="I180" s="254">
        <f>VLOOKUP(G180,'Прогноз переменной ставки'!$B$5:$E$304,4,1)</f>
        <v>9.9000000000000005E-2</v>
      </c>
      <c r="J180" s="164">
        <f t="shared" si="30"/>
        <v>0</v>
      </c>
      <c r="K180" s="164">
        <f t="shared" si="31"/>
        <v>0</v>
      </c>
      <c r="L180" s="164">
        <f t="shared" si="34"/>
        <v>0</v>
      </c>
      <c r="M180" s="164">
        <f t="shared" si="34"/>
        <v>0</v>
      </c>
      <c r="N180" s="164">
        <f t="shared" si="32"/>
        <v>0</v>
      </c>
      <c r="O180" s="164">
        <f t="shared" si="24"/>
        <v>0</v>
      </c>
      <c r="P180" s="164">
        <f t="shared" si="25"/>
        <v>0</v>
      </c>
      <c r="Q180" s="164">
        <f t="shared" si="26"/>
        <v>0</v>
      </c>
      <c r="R180" s="164">
        <f t="shared" si="35"/>
        <v>0</v>
      </c>
      <c r="S180" s="164">
        <f t="shared" si="27"/>
        <v>0</v>
      </c>
      <c r="T180" s="164">
        <f t="shared" si="28"/>
        <v>0</v>
      </c>
    </row>
    <row r="181" spans="2:20" x14ac:dyDescent="0.2">
      <c r="B181" s="171"/>
      <c r="D181" s="171"/>
      <c r="F181" s="158">
        <v>170</v>
      </c>
      <c r="G181" s="249">
        <f t="shared" si="29"/>
        <v>48822</v>
      </c>
      <c r="H181" s="158">
        <f t="shared" si="33"/>
        <v>31</v>
      </c>
      <c r="I181" s="254">
        <f>VLOOKUP(G181,'Прогноз переменной ставки'!$B$5:$E$304,4,1)</f>
        <v>9.9000000000000005E-2</v>
      </c>
      <c r="J181" s="164">
        <f t="shared" si="30"/>
        <v>0</v>
      </c>
      <c r="K181" s="164">
        <f t="shared" si="31"/>
        <v>0</v>
      </c>
      <c r="L181" s="164">
        <f t="shared" si="34"/>
        <v>0</v>
      </c>
      <c r="M181" s="164">
        <f t="shared" si="34"/>
        <v>0</v>
      </c>
      <c r="N181" s="164">
        <f t="shared" si="32"/>
        <v>0</v>
      </c>
      <c r="O181" s="164">
        <f t="shared" si="24"/>
        <v>0</v>
      </c>
      <c r="P181" s="164">
        <f t="shared" si="25"/>
        <v>0</v>
      </c>
      <c r="Q181" s="164">
        <f t="shared" si="26"/>
        <v>0</v>
      </c>
      <c r="R181" s="164">
        <f t="shared" si="35"/>
        <v>0</v>
      </c>
      <c r="S181" s="164">
        <f t="shared" si="27"/>
        <v>0</v>
      </c>
      <c r="T181" s="164">
        <f t="shared" si="28"/>
        <v>0</v>
      </c>
    </row>
    <row r="182" spans="2:20" x14ac:dyDescent="0.2">
      <c r="B182" s="171"/>
      <c r="D182" s="171"/>
      <c r="F182" s="158">
        <v>171</v>
      </c>
      <c r="G182" s="249">
        <f t="shared" si="29"/>
        <v>48852</v>
      </c>
      <c r="H182" s="158">
        <f t="shared" si="33"/>
        <v>30</v>
      </c>
      <c r="I182" s="254">
        <f>VLOOKUP(G182,'Прогноз переменной ставки'!$B$5:$E$304,4,1)</f>
        <v>9.9000000000000005E-2</v>
      </c>
      <c r="J182" s="164">
        <f t="shared" si="30"/>
        <v>0</v>
      </c>
      <c r="K182" s="164">
        <f t="shared" si="31"/>
        <v>0</v>
      </c>
      <c r="L182" s="164">
        <f t="shared" si="34"/>
        <v>0</v>
      </c>
      <c r="M182" s="164">
        <f t="shared" si="34"/>
        <v>0</v>
      </c>
      <c r="N182" s="164">
        <f t="shared" si="32"/>
        <v>0</v>
      </c>
      <c r="O182" s="164">
        <f t="shared" si="24"/>
        <v>0</v>
      </c>
      <c r="P182" s="164">
        <f t="shared" si="25"/>
        <v>0</v>
      </c>
      <c r="Q182" s="164">
        <f t="shared" si="26"/>
        <v>0</v>
      </c>
      <c r="R182" s="164">
        <f t="shared" si="35"/>
        <v>0</v>
      </c>
      <c r="S182" s="164">
        <f t="shared" si="27"/>
        <v>0</v>
      </c>
      <c r="T182" s="164">
        <f t="shared" si="28"/>
        <v>0</v>
      </c>
    </row>
    <row r="183" spans="2:20" x14ac:dyDescent="0.2">
      <c r="B183" s="171"/>
      <c r="D183" s="171"/>
      <c r="F183" s="158">
        <v>172</v>
      </c>
      <c r="G183" s="249">
        <f t="shared" si="29"/>
        <v>48883</v>
      </c>
      <c r="H183" s="158">
        <f t="shared" si="33"/>
        <v>31</v>
      </c>
      <c r="I183" s="254">
        <f>VLOOKUP(G183,'Прогноз переменной ставки'!$B$5:$E$304,4,1)</f>
        <v>9.9000000000000005E-2</v>
      </c>
      <c r="J183" s="164">
        <f t="shared" si="30"/>
        <v>0</v>
      </c>
      <c r="K183" s="164">
        <f t="shared" si="31"/>
        <v>0</v>
      </c>
      <c r="L183" s="164">
        <f t="shared" si="34"/>
        <v>0</v>
      </c>
      <c r="M183" s="164">
        <f t="shared" si="34"/>
        <v>0</v>
      </c>
      <c r="N183" s="164">
        <f t="shared" si="32"/>
        <v>0</v>
      </c>
      <c r="O183" s="164">
        <f t="shared" si="24"/>
        <v>0</v>
      </c>
      <c r="P183" s="164">
        <f t="shared" si="25"/>
        <v>0</v>
      </c>
      <c r="Q183" s="164">
        <f t="shared" si="26"/>
        <v>0</v>
      </c>
      <c r="R183" s="164">
        <f t="shared" si="35"/>
        <v>0</v>
      </c>
      <c r="S183" s="164">
        <f t="shared" si="27"/>
        <v>0</v>
      </c>
      <c r="T183" s="164">
        <f t="shared" si="28"/>
        <v>0</v>
      </c>
    </row>
    <row r="184" spans="2:20" x14ac:dyDescent="0.2">
      <c r="B184" s="171"/>
      <c r="D184" s="171"/>
      <c r="F184" s="158">
        <v>173</v>
      </c>
      <c r="G184" s="249">
        <f t="shared" si="29"/>
        <v>48913</v>
      </c>
      <c r="H184" s="158">
        <f t="shared" si="33"/>
        <v>30</v>
      </c>
      <c r="I184" s="254">
        <f>VLOOKUP(G184,'Прогноз переменной ставки'!$B$5:$E$304,4,1)</f>
        <v>9.9000000000000005E-2</v>
      </c>
      <c r="J184" s="164">
        <f t="shared" si="30"/>
        <v>0</v>
      </c>
      <c r="K184" s="164">
        <f t="shared" si="31"/>
        <v>0</v>
      </c>
      <c r="L184" s="164">
        <f t="shared" si="34"/>
        <v>0</v>
      </c>
      <c r="M184" s="164">
        <f t="shared" si="34"/>
        <v>0</v>
      </c>
      <c r="N184" s="164">
        <f t="shared" si="32"/>
        <v>0</v>
      </c>
      <c r="O184" s="164">
        <f t="shared" si="24"/>
        <v>0</v>
      </c>
      <c r="P184" s="164">
        <f t="shared" si="25"/>
        <v>0</v>
      </c>
      <c r="Q184" s="164">
        <f t="shared" si="26"/>
        <v>0</v>
      </c>
      <c r="R184" s="164">
        <f t="shared" si="35"/>
        <v>0</v>
      </c>
      <c r="S184" s="164">
        <f t="shared" si="27"/>
        <v>0</v>
      </c>
      <c r="T184" s="164">
        <f t="shared" si="28"/>
        <v>0</v>
      </c>
    </row>
    <row r="185" spans="2:20" x14ac:dyDescent="0.2">
      <c r="B185" s="171"/>
      <c r="D185" s="171"/>
      <c r="F185" s="158">
        <v>174</v>
      </c>
      <c r="G185" s="249">
        <f t="shared" si="29"/>
        <v>48944</v>
      </c>
      <c r="H185" s="158">
        <f t="shared" si="33"/>
        <v>31</v>
      </c>
      <c r="I185" s="254">
        <f>VLOOKUP(G185,'Прогноз переменной ставки'!$B$5:$E$304,4,1)</f>
        <v>9.9000000000000005E-2</v>
      </c>
      <c r="J185" s="164">
        <f t="shared" si="30"/>
        <v>0</v>
      </c>
      <c r="K185" s="164">
        <f t="shared" si="31"/>
        <v>0</v>
      </c>
      <c r="L185" s="164">
        <f t="shared" si="34"/>
        <v>0</v>
      </c>
      <c r="M185" s="164">
        <f t="shared" si="34"/>
        <v>0</v>
      </c>
      <c r="N185" s="164">
        <f t="shared" si="32"/>
        <v>0</v>
      </c>
      <c r="O185" s="164">
        <f t="shared" si="24"/>
        <v>0</v>
      </c>
      <c r="P185" s="164">
        <f t="shared" si="25"/>
        <v>0</v>
      </c>
      <c r="Q185" s="164">
        <f t="shared" si="26"/>
        <v>0</v>
      </c>
      <c r="R185" s="164">
        <f t="shared" si="35"/>
        <v>0</v>
      </c>
      <c r="S185" s="164">
        <f t="shared" si="27"/>
        <v>0</v>
      </c>
      <c r="T185" s="164">
        <f t="shared" si="28"/>
        <v>0</v>
      </c>
    </row>
    <row r="186" spans="2:20" x14ac:dyDescent="0.2">
      <c r="B186" s="171"/>
      <c r="D186" s="171"/>
      <c r="F186" s="158">
        <v>175</v>
      </c>
      <c r="G186" s="249">
        <f t="shared" si="29"/>
        <v>48975</v>
      </c>
      <c r="H186" s="158">
        <f t="shared" si="33"/>
        <v>31</v>
      </c>
      <c r="I186" s="254">
        <f>VLOOKUP(G186,'Прогноз переменной ставки'!$B$5:$E$304,4,1)</f>
        <v>9.9000000000000005E-2</v>
      </c>
      <c r="J186" s="164">
        <f t="shared" si="30"/>
        <v>0</v>
      </c>
      <c r="K186" s="164">
        <f t="shared" si="31"/>
        <v>0</v>
      </c>
      <c r="L186" s="164">
        <f t="shared" si="34"/>
        <v>0</v>
      </c>
      <c r="M186" s="164">
        <f t="shared" si="34"/>
        <v>0</v>
      </c>
      <c r="N186" s="164">
        <f t="shared" si="32"/>
        <v>0</v>
      </c>
      <c r="O186" s="164">
        <f t="shared" si="24"/>
        <v>0</v>
      </c>
      <c r="P186" s="164">
        <f t="shared" si="25"/>
        <v>0</v>
      </c>
      <c r="Q186" s="164">
        <f t="shared" si="26"/>
        <v>0</v>
      </c>
      <c r="R186" s="164">
        <f t="shared" si="35"/>
        <v>0</v>
      </c>
      <c r="S186" s="164">
        <f t="shared" si="27"/>
        <v>0</v>
      </c>
      <c r="T186" s="164">
        <f t="shared" si="28"/>
        <v>0</v>
      </c>
    </row>
    <row r="187" spans="2:20" x14ac:dyDescent="0.2">
      <c r="B187" s="171"/>
      <c r="D187" s="171"/>
      <c r="F187" s="158">
        <v>176</v>
      </c>
      <c r="G187" s="249">
        <f t="shared" si="29"/>
        <v>49003</v>
      </c>
      <c r="H187" s="158">
        <f t="shared" si="33"/>
        <v>28</v>
      </c>
      <c r="I187" s="254">
        <f>VLOOKUP(G187,'Прогноз переменной ставки'!$B$5:$E$304,4,1)</f>
        <v>9.9000000000000005E-2</v>
      </c>
      <c r="J187" s="164">
        <f t="shared" si="30"/>
        <v>0</v>
      </c>
      <c r="K187" s="164">
        <f t="shared" si="31"/>
        <v>0</v>
      </c>
      <c r="L187" s="164">
        <f t="shared" si="34"/>
        <v>0</v>
      </c>
      <c r="M187" s="164">
        <f t="shared" si="34"/>
        <v>0</v>
      </c>
      <c r="N187" s="164">
        <f t="shared" si="32"/>
        <v>0</v>
      </c>
      <c r="O187" s="164">
        <f t="shared" si="24"/>
        <v>0</v>
      </c>
      <c r="P187" s="164">
        <f t="shared" si="25"/>
        <v>0</v>
      </c>
      <c r="Q187" s="164">
        <f t="shared" si="26"/>
        <v>0</v>
      </c>
      <c r="R187" s="164">
        <f t="shared" si="35"/>
        <v>0</v>
      </c>
      <c r="S187" s="164">
        <f t="shared" si="27"/>
        <v>0</v>
      </c>
      <c r="T187" s="164">
        <f t="shared" si="28"/>
        <v>0</v>
      </c>
    </row>
    <row r="188" spans="2:20" x14ac:dyDescent="0.2">
      <c r="B188" s="171"/>
      <c r="D188" s="171"/>
      <c r="F188" s="158">
        <v>177</v>
      </c>
      <c r="G188" s="249">
        <f t="shared" si="29"/>
        <v>49034</v>
      </c>
      <c r="H188" s="158">
        <f t="shared" si="33"/>
        <v>31</v>
      </c>
      <c r="I188" s="254">
        <f>VLOOKUP(G188,'Прогноз переменной ставки'!$B$5:$E$304,4,1)</f>
        <v>9.9000000000000005E-2</v>
      </c>
      <c r="J188" s="164">
        <f t="shared" si="30"/>
        <v>0</v>
      </c>
      <c r="K188" s="164">
        <f t="shared" si="31"/>
        <v>0</v>
      </c>
      <c r="L188" s="164">
        <f t="shared" si="34"/>
        <v>0</v>
      </c>
      <c r="M188" s="164">
        <f t="shared" si="34"/>
        <v>0</v>
      </c>
      <c r="N188" s="164">
        <f t="shared" si="32"/>
        <v>0</v>
      </c>
      <c r="O188" s="164">
        <f t="shared" si="24"/>
        <v>0</v>
      </c>
      <c r="P188" s="164">
        <f t="shared" si="25"/>
        <v>0</v>
      </c>
      <c r="Q188" s="164">
        <f t="shared" si="26"/>
        <v>0</v>
      </c>
      <c r="R188" s="164">
        <f t="shared" si="35"/>
        <v>0</v>
      </c>
      <c r="S188" s="164">
        <f t="shared" si="27"/>
        <v>0</v>
      </c>
      <c r="T188" s="164">
        <f t="shared" si="28"/>
        <v>0</v>
      </c>
    </row>
    <row r="189" spans="2:20" x14ac:dyDescent="0.2">
      <c r="B189" s="171"/>
      <c r="D189" s="171"/>
      <c r="F189" s="158">
        <v>178</v>
      </c>
      <c r="G189" s="249">
        <f t="shared" si="29"/>
        <v>49064</v>
      </c>
      <c r="H189" s="158">
        <f t="shared" si="33"/>
        <v>30</v>
      </c>
      <c r="I189" s="254">
        <f>VLOOKUP(G189,'Прогноз переменной ставки'!$B$5:$E$304,4,1)</f>
        <v>9.9000000000000005E-2</v>
      </c>
      <c r="J189" s="164">
        <f t="shared" si="30"/>
        <v>0</v>
      </c>
      <c r="K189" s="164">
        <f t="shared" si="31"/>
        <v>0</v>
      </c>
      <c r="L189" s="164">
        <f t="shared" si="34"/>
        <v>0</v>
      </c>
      <c r="M189" s="164">
        <f t="shared" si="34"/>
        <v>0</v>
      </c>
      <c r="N189" s="164">
        <f t="shared" si="32"/>
        <v>0</v>
      </c>
      <c r="O189" s="164">
        <f t="shared" si="24"/>
        <v>0</v>
      </c>
      <c r="P189" s="164">
        <f t="shared" si="25"/>
        <v>0</v>
      </c>
      <c r="Q189" s="164">
        <f t="shared" si="26"/>
        <v>0</v>
      </c>
      <c r="R189" s="164">
        <f t="shared" si="35"/>
        <v>0</v>
      </c>
      <c r="S189" s="164">
        <f t="shared" si="27"/>
        <v>0</v>
      </c>
      <c r="T189" s="164">
        <f t="shared" si="28"/>
        <v>0</v>
      </c>
    </row>
    <row r="190" spans="2:20" x14ac:dyDescent="0.2">
      <c r="B190" s="171"/>
      <c r="D190" s="171"/>
      <c r="F190" s="158">
        <v>179</v>
      </c>
      <c r="G190" s="249">
        <f t="shared" si="29"/>
        <v>49095</v>
      </c>
      <c r="H190" s="158">
        <f t="shared" si="33"/>
        <v>31</v>
      </c>
      <c r="I190" s="254">
        <f>VLOOKUP(G190,'Прогноз переменной ставки'!$B$5:$E$304,4,1)</f>
        <v>9.9000000000000005E-2</v>
      </c>
      <c r="J190" s="164">
        <f t="shared" si="30"/>
        <v>0</v>
      </c>
      <c r="K190" s="164">
        <f t="shared" si="31"/>
        <v>0</v>
      </c>
      <c r="L190" s="164">
        <f t="shared" si="34"/>
        <v>0</v>
      </c>
      <c r="M190" s="164">
        <f t="shared" si="34"/>
        <v>0</v>
      </c>
      <c r="N190" s="164">
        <f t="shared" si="32"/>
        <v>0</v>
      </c>
      <c r="O190" s="164">
        <f t="shared" si="24"/>
        <v>0</v>
      </c>
      <c r="P190" s="164">
        <f t="shared" si="25"/>
        <v>0</v>
      </c>
      <c r="Q190" s="164">
        <f t="shared" si="26"/>
        <v>0</v>
      </c>
      <c r="R190" s="164">
        <f t="shared" si="35"/>
        <v>0</v>
      </c>
      <c r="S190" s="164">
        <f t="shared" si="27"/>
        <v>0</v>
      </c>
      <c r="T190" s="164">
        <f t="shared" si="28"/>
        <v>0</v>
      </c>
    </row>
    <row r="191" spans="2:20" x14ac:dyDescent="0.2">
      <c r="B191" s="171"/>
      <c r="D191" s="171"/>
      <c r="F191" s="158">
        <v>180</v>
      </c>
      <c r="G191" s="249">
        <f t="shared" si="29"/>
        <v>49125</v>
      </c>
      <c r="H191" s="158">
        <f t="shared" si="33"/>
        <v>30</v>
      </c>
      <c r="I191" s="254">
        <f>VLOOKUP(G191,'Прогноз переменной ставки'!$B$5:$E$304,4,1)</f>
        <v>9.9000000000000005E-2</v>
      </c>
      <c r="J191" s="164">
        <f t="shared" si="30"/>
        <v>0</v>
      </c>
      <c r="K191" s="164">
        <f t="shared" si="31"/>
        <v>0</v>
      </c>
      <c r="L191" s="164">
        <f t="shared" si="34"/>
        <v>0</v>
      </c>
      <c r="M191" s="164">
        <f t="shared" si="34"/>
        <v>0</v>
      </c>
      <c r="N191" s="164">
        <f t="shared" si="32"/>
        <v>0</v>
      </c>
      <c r="O191" s="164">
        <f t="shared" si="24"/>
        <v>0</v>
      </c>
      <c r="P191" s="164">
        <f t="shared" si="25"/>
        <v>0</v>
      </c>
      <c r="Q191" s="164">
        <f t="shared" si="26"/>
        <v>0</v>
      </c>
      <c r="R191" s="164">
        <f t="shared" si="35"/>
        <v>0</v>
      </c>
      <c r="S191" s="164">
        <f t="shared" si="27"/>
        <v>0</v>
      </c>
      <c r="T191" s="164">
        <f t="shared" si="28"/>
        <v>0</v>
      </c>
    </row>
    <row r="192" spans="2:20" x14ac:dyDescent="0.2">
      <c r="B192" s="171"/>
      <c r="D192" s="171"/>
      <c r="F192" s="158">
        <v>181</v>
      </c>
      <c r="G192" s="249">
        <f t="shared" si="29"/>
        <v>49156</v>
      </c>
      <c r="H192" s="158">
        <f t="shared" si="33"/>
        <v>31</v>
      </c>
      <c r="I192" s="254">
        <f>VLOOKUP(G192,'Прогноз переменной ставки'!$B$5:$E$304,4,1)</f>
        <v>9.9000000000000005E-2</v>
      </c>
      <c r="J192" s="164">
        <f t="shared" si="30"/>
        <v>0</v>
      </c>
      <c r="K192" s="164">
        <f t="shared" si="31"/>
        <v>0</v>
      </c>
      <c r="L192" s="164">
        <f t="shared" si="34"/>
        <v>0</v>
      </c>
      <c r="M192" s="164">
        <f t="shared" si="34"/>
        <v>0</v>
      </c>
      <c r="N192" s="164">
        <f t="shared" si="32"/>
        <v>0</v>
      </c>
      <c r="O192" s="164">
        <f t="shared" si="24"/>
        <v>0</v>
      </c>
      <c r="P192" s="164">
        <f t="shared" si="25"/>
        <v>0</v>
      </c>
      <c r="Q192" s="164">
        <f t="shared" si="26"/>
        <v>0</v>
      </c>
      <c r="R192" s="164">
        <f t="shared" si="35"/>
        <v>0</v>
      </c>
      <c r="S192" s="164">
        <f t="shared" si="27"/>
        <v>0</v>
      </c>
      <c r="T192" s="164">
        <f t="shared" si="28"/>
        <v>0</v>
      </c>
    </row>
    <row r="193" spans="2:20" x14ac:dyDescent="0.2">
      <c r="B193" s="171"/>
      <c r="D193" s="171"/>
      <c r="F193" s="158">
        <v>182</v>
      </c>
      <c r="G193" s="249">
        <f t="shared" si="29"/>
        <v>49187</v>
      </c>
      <c r="H193" s="158">
        <f t="shared" si="33"/>
        <v>31</v>
      </c>
      <c r="I193" s="254">
        <f>VLOOKUP(G193,'Прогноз переменной ставки'!$B$5:$E$304,4,1)</f>
        <v>9.9000000000000005E-2</v>
      </c>
      <c r="J193" s="164">
        <f t="shared" si="30"/>
        <v>0</v>
      </c>
      <c r="K193" s="164">
        <f t="shared" si="31"/>
        <v>0</v>
      </c>
      <c r="L193" s="164">
        <f t="shared" si="34"/>
        <v>0</v>
      </c>
      <c r="M193" s="164">
        <f t="shared" si="34"/>
        <v>0</v>
      </c>
      <c r="N193" s="164">
        <f t="shared" si="32"/>
        <v>0</v>
      </c>
      <c r="O193" s="164">
        <f t="shared" si="24"/>
        <v>0</v>
      </c>
      <c r="P193" s="164">
        <f t="shared" si="25"/>
        <v>0</v>
      </c>
      <c r="Q193" s="164">
        <f t="shared" si="26"/>
        <v>0</v>
      </c>
      <c r="R193" s="164">
        <f t="shared" si="35"/>
        <v>0</v>
      </c>
      <c r="S193" s="164">
        <f t="shared" si="27"/>
        <v>0</v>
      </c>
      <c r="T193" s="164">
        <f t="shared" si="28"/>
        <v>0</v>
      </c>
    </row>
    <row r="194" spans="2:20" x14ac:dyDescent="0.2">
      <c r="B194" s="171"/>
      <c r="D194" s="171"/>
      <c r="F194" s="158">
        <v>183</v>
      </c>
      <c r="G194" s="249">
        <f t="shared" si="29"/>
        <v>49217</v>
      </c>
      <c r="H194" s="158">
        <f t="shared" si="33"/>
        <v>30</v>
      </c>
      <c r="I194" s="254">
        <f>VLOOKUP(G194,'Прогноз переменной ставки'!$B$5:$E$304,4,1)</f>
        <v>9.9000000000000005E-2</v>
      </c>
      <c r="J194" s="164">
        <f t="shared" si="30"/>
        <v>0</v>
      </c>
      <c r="K194" s="164">
        <f t="shared" si="31"/>
        <v>0</v>
      </c>
      <c r="L194" s="164">
        <f t="shared" si="34"/>
        <v>0</v>
      </c>
      <c r="M194" s="164">
        <f t="shared" si="34"/>
        <v>0</v>
      </c>
      <c r="N194" s="164">
        <f t="shared" si="32"/>
        <v>0</v>
      </c>
      <c r="O194" s="164">
        <f t="shared" si="24"/>
        <v>0</v>
      </c>
      <c r="P194" s="164">
        <f t="shared" si="25"/>
        <v>0</v>
      </c>
      <c r="Q194" s="164">
        <f t="shared" si="26"/>
        <v>0</v>
      </c>
      <c r="R194" s="164">
        <f t="shared" si="35"/>
        <v>0</v>
      </c>
      <c r="S194" s="164">
        <f t="shared" si="27"/>
        <v>0</v>
      </c>
      <c r="T194" s="164">
        <f t="shared" si="28"/>
        <v>0</v>
      </c>
    </row>
    <row r="195" spans="2:20" x14ac:dyDescent="0.2">
      <c r="B195" s="171"/>
      <c r="D195" s="171"/>
      <c r="F195" s="158">
        <v>184</v>
      </c>
      <c r="G195" s="249">
        <f t="shared" si="29"/>
        <v>49248</v>
      </c>
      <c r="H195" s="158">
        <f t="shared" si="33"/>
        <v>31</v>
      </c>
      <c r="I195" s="254">
        <f>VLOOKUP(G195,'Прогноз переменной ставки'!$B$5:$E$304,4,1)</f>
        <v>9.9000000000000005E-2</v>
      </c>
      <c r="J195" s="164">
        <f t="shared" si="30"/>
        <v>0</v>
      </c>
      <c r="K195" s="164">
        <f t="shared" si="31"/>
        <v>0</v>
      </c>
      <c r="L195" s="164">
        <f t="shared" si="34"/>
        <v>0</v>
      </c>
      <c r="M195" s="164">
        <f t="shared" si="34"/>
        <v>0</v>
      </c>
      <c r="N195" s="164">
        <f t="shared" si="32"/>
        <v>0</v>
      </c>
      <c r="O195" s="164">
        <f t="shared" si="24"/>
        <v>0</v>
      </c>
      <c r="P195" s="164">
        <f t="shared" si="25"/>
        <v>0</v>
      </c>
      <c r="Q195" s="164">
        <f t="shared" si="26"/>
        <v>0</v>
      </c>
      <c r="R195" s="164">
        <f t="shared" si="35"/>
        <v>0</v>
      </c>
      <c r="S195" s="164">
        <f t="shared" si="27"/>
        <v>0</v>
      </c>
      <c r="T195" s="164">
        <f t="shared" si="28"/>
        <v>0</v>
      </c>
    </row>
    <row r="196" spans="2:20" x14ac:dyDescent="0.2">
      <c r="B196" s="171"/>
      <c r="D196" s="171"/>
      <c r="F196" s="158">
        <v>185</v>
      </c>
      <c r="G196" s="249">
        <f t="shared" si="29"/>
        <v>49278</v>
      </c>
      <c r="H196" s="158">
        <f t="shared" si="33"/>
        <v>30</v>
      </c>
      <c r="I196" s="254">
        <f>VLOOKUP(G196,'Прогноз переменной ставки'!$B$5:$E$304,4,1)</f>
        <v>9.9000000000000005E-2</v>
      </c>
      <c r="J196" s="164">
        <f t="shared" si="30"/>
        <v>0</v>
      </c>
      <c r="K196" s="164">
        <f t="shared" si="31"/>
        <v>0</v>
      </c>
      <c r="L196" s="164">
        <f t="shared" si="34"/>
        <v>0</v>
      </c>
      <c r="M196" s="164">
        <f t="shared" si="34"/>
        <v>0</v>
      </c>
      <c r="N196" s="164">
        <f t="shared" si="32"/>
        <v>0</v>
      </c>
      <c r="O196" s="164">
        <f t="shared" si="24"/>
        <v>0</v>
      </c>
      <c r="P196" s="164">
        <f t="shared" si="25"/>
        <v>0</v>
      </c>
      <c r="Q196" s="164">
        <f t="shared" si="26"/>
        <v>0</v>
      </c>
      <c r="R196" s="164">
        <f t="shared" si="35"/>
        <v>0</v>
      </c>
      <c r="S196" s="164">
        <f t="shared" si="27"/>
        <v>0</v>
      </c>
      <c r="T196" s="164">
        <f t="shared" si="28"/>
        <v>0</v>
      </c>
    </row>
    <row r="197" spans="2:20" x14ac:dyDescent="0.2">
      <c r="B197" s="171"/>
      <c r="D197" s="171"/>
      <c r="F197" s="158">
        <v>186</v>
      </c>
      <c r="G197" s="249">
        <f t="shared" si="29"/>
        <v>49309</v>
      </c>
      <c r="H197" s="158">
        <f t="shared" si="33"/>
        <v>31</v>
      </c>
      <c r="I197" s="254">
        <f>VLOOKUP(G197,'Прогноз переменной ставки'!$B$5:$E$304,4,1)</f>
        <v>9.9000000000000005E-2</v>
      </c>
      <c r="J197" s="164">
        <f t="shared" si="30"/>
        <v>0</v>
      </c>
      <c r="K197" s="164">
        <f t="shared" si="31"/>
        <v>0</v>
      </c>
      <c r="L197" s="164">
        <f t="shared" si="34"/>
        <v>0</v>
      </c>
      <c r="M197" s="164">
        <f t="shared" si="34"/>
        <v>0</v>
      </c>
      <c r="N197" s="164">
        <f t="shared" si="32"/>
        <v>0</v>
      </c>
      <c r="O197" s="164">
        <f t="shared" si="24"/>
        <v>0</v>
      </c>
      <c r="P197" s="164">
        <f t="shared" si="25"/>
        <v>0</v>
      </c>
      <c r="Q197" s="164">
        <f t="shared" si="26"/>
        <v>0</v>
      </c>
      <c r="R197" s="164">
        <f t="shared" si="35"/>
        <v>0</v>
      </c>
      <c r="S197" s="164">
        <f t="shared" si="27"/>
        <v>0</v>
      </c>
      <c r="T197" s="164">
        <f t="shared" si="28"/>
        <v>0</v>
      </c>
    </row>
    <row r="198" spans="2:20" x14ac:dyDescent="0.2">
      <c r="B198" s="171"/>
      <c r="D198" s="171"/>
      <c r="F198" s="158">
        <v>187</v>
      </c>
      <c r="G198" s="249">
        <f t="shared" si="29"/>
        <v>49340</v>
      </c>
      <c r="H198" s="158">
        <f t="shared" si="33"/>
        <v>31</v>
      </c>
      <c r="I198" s="254">
        <f>VLOOKUP(G198,'Прогноз переменной ставки'!$B$5:$E$304,4,1)</f>
        <v>9.9000000000000005E-2</v>
      </c>
      <c r="J198" s="164">
        <f t="shared" si="30"/>
        <v>0</v>
      </c>
      <c r="K198" s="164">
        <f t="shared" si="31"/>
        <v>0</v>
      </c>
      <c r="L198" s="164">
        <f t="shared" si="34"/>
        <v>0</v>
      </c>
      <c r="M198" s="164">
        <f t="shared" si="34"/>
        <v>0</v>
      </c>
      <c r="N198" s="164">
        <f t="shared" si="32"/>
        <v>0</v>
      </c>
      <c r="O198" s="164">
        <f t="shared" si="24"/>
        <v>0</v>
      </c>
      <c r="P198" s="164">
        <f t="shared" si="25"/>
        <v>0</v>
      </c>
      <c r="Q198" s="164">
        <f t="shared" si="26"/>
        <v>0</v>
      </c>
      <c r="R198" s="164">
        <f t="shared" si="35"/>
        <v>0</v>
      </c>
      <c r="S198" s="164">
        <f t="shared" si="27"/>
        <v>0</v>
      </c>
      <c r="T198" s="164">
        <f t="shared" si="28"/>
        <v>0</v>
      </c>
    </row>
    <row r="199" spans="2:20" x14ac:dyDescent="0.2">
      <c r="B199" s="171"/>
      <c r="D199" s="171"/>
      <c r="F199" s="158">
        <v>188</v>
      </c>
      <c r="G199" s="249">
        <f t="shared" si="29"/>
        <v>49368</v>
      </c>
      <c r="H199" s="158">
        <f t="shared" si="33"/>
        <v>28</v>
      </c>
      <c r="I199" s="254">
        <f>VLOOKUP(G199,'Прогноз переменной ставки'!$B$5:$E$304,4,1)</f>
        <v>9.9000000000000005E-2</v>
      </c>
      <c r="J199" s="164">
        <f t="shared" si="30"/>
        <v>0</v>
      </c>
      <c r="K199" s="164">
        <f t="shared" si="31"/>
        <v>0</v>
      </c>
      <c r="L199" s="164">
        <f t="shared" si="34"/>
        <v>0</v>
      </c>
      <c r="M199" s="164">
        <f t="shared" si="34"/>
        <v>0</v>
      </c>
      <c r="N199" s="164">
        <f t="shared" si="32"/>
        <v>0</v>
      </c>
      <c r="O199" s="164">
        <f t="shared" si="24"/>
        <v>0</v>
      </c>
      <c r="P199" s="164">
        <f t="shared" si="25"/>
        <v>0</v>
      </c>
      <c r="Q199" s="164">
        <f t="shared" si="26"/>
        <v>0</v>
      </c>
      <c r="R199" s="164">
        <f t="shared" si="35"/>
        <v>0</v>
      </c>
      <c r="S199" s="164">
        <f t="shared" si="27"/>
        <v>0</v>
      </c>
      <c r="T199" s="164">
        <f t="shared" si="28"/>
        <v>0</v>
      </c>
    </row>
    <row r="200" spans="2:20" x14ac:dyDescent="0.2">
      <c r="B200" s="171"/>
      <c r="D200" s="171"/>
      <c r="F200" s="158">
        <v>189</v>
      </c>
      <c r="G200" s="249">
        <f t="shared" si="29"/>
        <v>49399</v>
      </c>
      <c r="H200" s="158">
        <f t="shared" si="33"/>
        <v>31</v>
      </c>
      <c r="I200" s="254">
        <f>VLOOKUP(G200,'Прогноз переменной ставки'!$B$5:$E$304,4,1)</f>
        <v>9.9000000000000005E-2</v>
      </c>
      <c r="J200" s="164">
        <f t="shared" si="30"/>
        <v>0</v>
      </c>
      <c r="K200" s="164">
        <f t="shared" si="31"/>
        <v>0</v>
      </c>
      <c r="L200" s="164">
        <f t="shared" si="34"/>
        <v>0</v>
      </c>
      <c r="M200" s="164">
        <f t="shared" si="34"/>
        <v>0</v>
      </c>
      <c r="N200" s="164">
        <f t="shared" si="32"/>
        <v>0</v>
      </c>
      <c r="O200" s="164">
        <f t="shared" si="24"/>
        <v>0</v>
      </c>
      <c r="P200" s="164">
        <f t="shared" si="25"/>
        <v>0</v>
      </c>
      <c r="Q200" s="164">
        <f t="shared" si="26"/>
        <v>0</v>
      </c>
      <c r="R200" s="164">
        <f t="shared" si="35"/>
        <v>0</v>
      </c>
      <c r="S200" s="164">
        <f t="shared" si="27"/>
        <v>0</v>
      </c>
      <c r="T200" s="164">
        <f t="shared" si="28"/>
        <v>0</v>
      </c>
    </row>
    <row r="201" spans="2:20" x14ac:dyDescent="0.2">
      <c r="B201" s="171"/>
      <c r="D201" s="171"/>
      <c r="F201" s="158">
        <v>190</v>
      </c>
      <c r="G201" s="249">
        <f t="shared" si="29"/>
        <v>49429</v>
      </c>
      <c r="H201" s="158">
        <f t="shared" si="33"/>
        <v>30</v>
      </c>
      <c r="I201" s="254">
        <f>VLOOKUP(G201,'Прогноз переменной ставки'!$B$5:$E$304,4,1)</f>
        <v>9.9000000000000005E-2</v>
      </c>
      <c r="J201" s="164">
        <f t="shared" si="30"/>
        <v>0</v>
      </c>
      <c r="K201" s="164">
        <f t="shared" si="31"/>
        <v>0</v>
      </c>
      <c r="L201" s="164">
        <f t="shared" si="34"/>
        <v>0</v>
      </c>
      <c r="M201" s="164">
        <f t="shared" si="34"/>
        <v>0</v>
      </c>
      <c r="N201" s="164">
        <f t="shared" si="32"/>
        <v>0</v>
      </c>
      <c r="O201" s="164">
        <f t="shared" si="24"/>
        <v>0</v>
      </c>
      <c r="P201" s="164">
        <f t="shared" si="25"/>
        <v>0</v>
      </c>
      <c r="Q201" s="164">
        <f t="shared" si="26"/>
        <v>0</v>
      </c>
      <c r="R201" s="164">
        <f t="shared" si="35"/>
        <v>0</v>
      </c>
      <c r="S201" s="164">
        <f t="shared" si="27"/>
        <v>0</v>
      </c>
      <c r="T201" s="164">
        <f t="shared" si="28"/>
        <v>0</v>
      </c>
    </row>
    <row r="202" spans="2:20" x14ac:dyDescent="0.2">
      <c r="B202" s="171"/>
      <c r="D202" s="171"/>
      <c r="F202" s="158">
        <v>191</v>
      </c>
      <c r="G202" s="249">
        <f t="shared" si="29"/>
        <v>49460</v>
      </c>
      <c r="H202" s="158">
        <f t="shared" si="33"/>
        <v>31</v>
      </c>
      <c r="I202" s="254">
        <f>VLOOKUP(G202,'Прогноз переменной ставки'!$B$5:$E$304,4,1)</f>
        <v>9.9000000000000005E-2</v>
      </c>
      <c r="J202" s="164">
        <f t="shared" si="30"/>
        <v>0</v>
      </c>
      <c r="K202" s="164">
        <f t="shared" si="31"/>
        <v>0</v>
      </c>
      <c r="L202" s="164">
        <f t="shared" si="34"/>
        <v>0</v>
      </c>
      <c r="M202" s="164">
        <f t="shared" si="34"/>
        <v>0</v>
      </c>
      <c r="N202" s="164">
        <f t="shared" si="32"/>
        <v>0</v>
      </c>
      <c r="O202" s="164">
        <f t="shared" si="24"/>
        <v>0</v>
      </c>
      <c r="P202" s="164">
        <f t="shared" si="25"/>
        <v>0</v>
      </c>
      <c r="Q202" s="164">
        <f t="shared" si="26"/>
        <v>0</v>
      </c>
      <c r="R202" s="164">
        <f t="shared" si="35"/>
        <v>0</v>
      </c>
      <c r="S202" s="164">
        <f t="shared" si="27"/>
        <v>0</v>
      </c>
      <c r="T202" s="164">
        <f t="shared" si="28"/>
        <v>0</v>
      </c>
    </row>
    <row r="203" spans="2:20" x14ac:dyDescent="0.2">
      <c r="B203" s="171"/>
      <c r="D203" s="171"/>
      <c r="F203" s="158">
        <v>192</v>
      </c>
      <c r="G203" s="249">
        <f t="shared" si="29"/>
        <v>49490</v>
      </c>
      <c r="H203" s="158">
        <f t="shared" si="33"/>
        <v>30</v>
      </c>
      <c r="I203" s="254">
        <f>VLOOKUP(G203,'Прогноз переменной ставки'!$B$5:$E$304,4,1)</f>
        <v>9.9000000000000005E-2</v>
      </c>
      <c r="J203" s="164">
        <f t="shared" si="30"/>
        <v>0</v>
      </c>
      <c r="K203" s="164">
        <f t="shared" si="31"/>
        <v>0</v>
      </c>
      <c r="L203" s="164">
        <f t="shared" si="34"/>
        <v>0</v>
      </c>
      <c r="M203" s="164">
        <f t="shared" si="34"/>
        <v>0</v>
      </c>
      <c r="N203" s="164">
        <f t="shared" si="32"/>
        <v>0</v>
      </c>
      <c r="O203" s="164">
        <f t="shared" si="24"/>
        <v>0</v>
      </c>
      <c r="P203" s="164">
        <f t="shared" si="25"/>
        <v>0</v>
      </c>
      <c r="Q203" s="164">
        <f t="shared" si="26"/>
        <v>0</v>
      </c>
      <c r="R203" s="164">
        <f t="shared" si="35"/>
        <v>0</v>
      </c>
      <c r="S203" s="164">
        <f t="shared" si="27"/>
        <v>0</v>
      </c>
      <c r="T203" s="164">
        <f t="shared" si="28"/>
        <v>0</v>
      </c>
    </row>
    <row r="204" spans="2:20" x14ac:dyDescent="0.2">
      <c r="B204" s="171"/>
      <c r="D204" s="171"/>
      <c r="F204" s="158">
        <v>193</v>
      </c>
      <c r="G204" s="249">
        <f t="shared" si="29"/>
        <v>49521</v>
      </c>
      <c r="H204" s="158">
        <f t="shared" si="33"/>
        <v>31</v>
      </c>
      <c r="I204" s="254">
        <f>VLOOKUP(G204,'Прогноз переменной ставки'!$B$5:$E$304,4,1)</f>
        <v>9.9000000000000005E-2</v>
      </c>
      <c r="J204" s="164">
        <f t="shared" si="30"/>
        <v>0</v>
      </c>
      <c r="K204" s="164">
        <f t="shared" si="31"/>
        <v>0</v>
      </c>
      <c r="L204" s="164">
        <f t="shared" si="34"/>
        <v>0</v>
      </c>
      <c r="M204" s="164">
        <f t="shared" si="34"/>
        <v>0</v>
      </c>
      <c r="N204" s="164">
        <f t="shared" si="32"/>
        <v>0</v>
      </c>
      <c r="O204" s="164">
        <f t="shared" ref="O204:O267" si="36">MIN(J204-Q204-P204,L204)</f>
        <v>0</v>
      </c>
      <c r="P204" s="164">
        <f t="shared" ref="P204:P267" si="37">MIN(J204-Q204,N204)</f>
        <v>0</v>
      </c>
      <c r="Q204" s="164">
        <f t="shared" ref="Q204:Q267" si="38">MIN(J204,M204)</f>
        <v>0</v>
      </c>
      <c r="R204" s="164">
        <f t="shared" si="35"/>
        <v>0</v>
      </c>
      <c r="S204" s="164">
        <f t="shared" ref="S204:S267" si="39">L204-O204</f>
        <v>0</v>
      </c>
      <c r="T204" s="164">
        <f t="shared" ref="T204:T267" si="40">M204+R204-Q204</f>
        <v>0</v>
      </c>
    </row>
    <row r="205" spans="2:20" x14ac:dyDescent="0.2">
      <c r="B205" s="171"/>
      <c r="D205" s="171"/>
      <c r="F205" s="158">
        <v>194</v>
      </c>
      <c r="G205" s="249">
        <f t="shared" ref="G205:G268" si="41">EOMONTH($D$9,F205-1)</f>
        <v>49552</v>
      </c>
      <c r="H205" s="158">
        <f t="shared" si="33"/>
        <v>31</v>
      </c>
      <c r="I205" s="254">
        <f>VLOOKUP(G205,'Прогноз переменной ставки'!$B$5:$E$304,4,1)</f>
        <v>9.9000000000000005E-2</v>
      </c>
      <c r="J205" s="164">
        <f t="shared" ref="J205:J268" si="42">IF(F205=$D$4,K205+N205,MIN($D$5,K205+N205))</f>
        <v>0</v>
      </c>
      <c r="K205" s="164">
        <f t="shared" ref="K205:K268" si="43">L205+M205</f>
        <v>0</v>
      </c>
      <c r="L205" s="164">
        <f t="shared" si="34"/>
        <v>0</v>
      </c>
      <c r="M205" s="164">
        <f t="shared" si="34"/>
        <v>0</v>
      </c>
      <c r="N205" s="164">
        <f t="shared" ref="N205:N268" si="44">L205*I205/365.25*H205</f>
        <v>0</v>
      </c>
      <c r="O205" s="164">
        <f t="shared" si="36"/>
        <v>0</v>
      </c>
      <c r="P205" s="164">
        <f t="shared" si="37"/>
        <v>0</v>
      </c>
      <c r="Q205" s="164">
        <f t="shared" si="38"/>
        <v>0</v>
      </c>
      <c r="R205" s="164">
        <f t="shared" si="35"/>
        <v>0</v>
      </c>
      <c r="S205" s="164">
        <f t="shared" si="39"/>
        <v>0</v>
      </c>
      <c r="T205" s="164">
        <f t="shared" si="40"/>
        <v>0</v>
      </c>
    </row>
    <row r="206" spans="2:20" x14ac:dyDescent="0.2">
      <c r="B206" s="171"/>
      <c r="D206" s="171"/>
      <c r="F206" s="158">
        <v>195</v>
      </c>
      <c r="G206" s="249">
        <f t="shared" si="41"/>
        <v>49582</v>
      </c>
      <c r="H206" s="158">
        <f t="shared" ref="H206:H269" si="45">G206-G205</f>
        <v>30</v>
      </c>
      <c r="I206" s="254">
        <f>VLOOKUP(G206,'Прогноз переменной ставки'!$B$5:$E$304,4,1)</f>
        <v>9.9000000000000005E-2</v>
      </c>
      <c r="J206" s="164">
        <f t="shared" si="42"/>
        <v>0</v>
      </c>
      <c r="K206" s="164">
        <f t="shared" si="43"/>
        <v>0</v>
      </c>
      <c r="L206" s="164">
        <f t="shared" ref="L206:M221" si="46">S205</f>
        <v>0</v>
      </c>
      <c r="M206" s="164">
        <f t="shared" si="46"/>
        <v>0</v>
      </c>
      <c r="N206" s="164">
        <f t="shared" si="44"/>
        <v>0</v>
      </c>
      <c r="O206" s="164">
        <f t="shared" si="36"/>
        <v>0</v>
      </c>
      <c r="P206" s="164">
        <f t="shared" si="37"/>
        <v>0</v>
      </c>
      <c r="Q206" s="164">
        <f t="shared" si="38"/>
        <v>0</v>
      </c>
      <c r="R206" s="164">
        <f t="shared" ref="R206:R269" si="47">MAX(N206-P206,0)</f>
        <v>0</v>
      </c>
      <c r="S206" s="164">
        <f t="shared" si="39"/>
        <v>0</v>
      </c>
      <c r="T206" s="164">
        <f t="shared" si="40"/>
        <v>0</v>
      </c>
    </row>
    <row r="207" spans="2:20" x14ac:dyDescent="0.2">
      <c r="B207" s="171"/>
      <c r="D207" s="171"/>
      <c r="F207" s="158">
        <v>196</v>
      </c>
      <c r="G207" s="249">
        <f t="shared" si="41"/>
        <v>49613</v>
      </c>
      <c r="H207" s="158">
        <f t="shared" si="45"/>
        <v>31</v>
      </c>
      <c r="I207" s="254">
        <f>VLOOKUP(G207,'Прогноз переменной ставки'!$B$5:$E$304,4,1)</f>
        <v>9.9000000000000005E-2</v>
      </c>
      <c r="J207" s="164">
        <f t="shared" si="42"/>
        <v>0</v>
      </c>
      <c r="K207" s="164">
        <f t="shared" si="43"/>
        <v>0</v>
      </c>
      <c r="L207" s="164">
        <f t="shared" si="46"/>
        <v>0</v>
      </c>
      <c r="M207" s="164">
        <f t="shared" si="46"/>
        <v>0</v>
      </c>
      <c r="N207" s="164">
        <f t="shared" si="44"/>
        <v>0</v>
      </c>
      <c r="O207" s="164">
        <f t="shared" si="36"/>
        <v>0</v>
      </c>
      <c r="P207" s="164">
        <f t="shared" si="37"/>
        <v>0</v>
      </c>
      <c r="Q207" s="164">
        <f t="shared" si="38"/>
        <v>0</v>
      </c>
      <c r="R207" s="164">
        <f t="shared" si="47"/>
        <v>0</v>
      </c>
      <c r="S207" s="164">
        <f t="shared" si="39"/>
        <v>0</v>
      </c>
      <c r="T207" s="164">
        <f t="shared" si="40"/>
        <v>0</v>
      </c>
    </row>
    <row r="208" spans="2:20" x14ac:dyDescent="0.2">
      <c r="B208" s="171"/>
      <c r="D208" s="171"/>
      <c r="E208" s="171"/>
      <c r="F208" s="158">
        <v>197</v>
      </c>
      <c r="G208" s="249">
        <f t="shared" si="41"/>
        <v>49643</v>
      </c>
      <c r="H208" s="158">
        <f t="shared" si="45"/>
        <v>30</v>
      </c>
      <c r="I208" s="254">
        <f>VLOOKUP(G208,'Прогноз переменной ставки'!$B$5:$E$304,4,1)</f>
        <v>9.9000000000000005E-2</v>
      </c>
      <c r="J208" s="164">
        <f t="shared" si="42"/>
        <v>0</v>
      </c>
      <c r="K208" s="164">
        <f t="shared" si="43"/>
        <v>0</v>
      </c>
      <c r="L208" s="164">
        <f t="shared" si="46"/>
        <v>0</v>
      </c>
      <c r="M208" s="164">
        <f t="shared" si="46"/>
        <v>0</v>
      </c>
      <c r="N208" s="164">
        <f t="shared" si="44"/>
        <v>0</v>
      </c>
      <c r="O208" s="164">
        <f t="shared" si="36"/>
        <v>0</v>
      </c>
      <c r="P208" s="164">
        <f t="shared" si="37"/>
        <v>0</v>
      </c>
      <c r="Q208" s="164">
        <f t="shared" si="38"/>
        <v>0</v>
      </c>
      <c r="R208" s="164">
        <f t="shared" si="47"/>
        <v>0</v>
      </c>
      <c r="S208" s="164">
        <f t="shared" si="39"/>
        <v>0</v>
      </c>
      <c r="T208" s="164">
        <f t="shared" si="40"/>
        <v>0</v>
      </c>
    </row>
    <row r="209" spans="2:20" x14ac:dyDescent="0.2">
      <c r="B209" s="171"/>
      <c r="D209" s="171"/>
      <c r="E209" s="171"/>
      <c r="F209" s="158">
        <v>198</v>
      </c>
      <c r="G209" s="249">
        <f t="shared" si="41"/>
        <v>49674</v>
      </c>
      <c r="H209" s="158">
        <f t="shared" si="45"/>
        <v>31</v>
      </c>
      <c r="I209" s="254">
        <f>VLOOKUP(G209,'Прогноз переменной ставки'!$B$5:$E$304,4,1)</f>
        <v>9.9000000000000005E-2</v>
      </c>
      <c r="J209" s="164">
        <f t="shared" si="42"/>
        <v>0</v>
      </c>
      <c r="K209" s="164">
        <f t="shared" si="43"/>
        <v>0</v>
      </c>
      <c r="L209" s="164">
        <f t="shared" si="46"/>
        <v>0</v>
      </c>
      <c r="M209" s="164">
        <f t="shared" si="46"/>
        <v>0</v>
      </c>
      <c r="N209" s="164">
        <f t="shared" si="44"/>
        <v>0</v>
      </c>
      <c r="O209" s="164">
        <f t="shared" si="36"/>
        <v>0</v>
      </c>
      <c r="P209" s="164">
        <f t="shared" si="37"/>
        <v>0</v>
      </c>
      <c r="Q209" s="164">
        <f t="shared" si="38"/>
        <v>0</v>
      </c>
      <c r="R209" s="164">
        <f t="shared" si="47"/>
        <v>0</v>
      </c>
      <c r="S209" s="164">
        <f t="shared" si="39"/>
        <v>0</v>
      </c>
      <c r="T209" s="164">
        <f t="shared" si="40"/>
        <v>0</v>
      </c>
    </row>
    <row r="210" spans="2:20" x14ac:dyDescent="0.2">
      <c r="B210" s="171"/>
      <c r="D210" s="171"/>
      <c r="E210" s="171"/>
      <c r="F210" s="158">
        <v>199</v>
      </c>
      <c r="G210" s="249">
        <f t="shared" si="41"/>
        <v>49705</v>
      </c>
      <c r="H210" s="158">
        <f t="shared" si="45"/>
        <v>31</v>
      </c>
      <c r="I210" s="254">
        <f>VLOOKUP(G210,'Прогноз переменной ставки'!$B$5:$E$304,4,1)</f>
        <v>9.9000000000000005E-2</v>
      </c>
      <c r="J210" s="164">
        <f t="shared" si="42"/>
        <v>0</v>
      </c>
      <c r="K210" s="164">
        <f t="shared" si="43"/>
        <v>0</v>
      </c>
      <c r="L210" s="164">
        <f t="shared" si="46"/>
        <v>0</v>
      </c>
      <c r="M210" s="164">
        <f t="shared" si="46"/>
        <v>0</v>
      </c>
      <c r="N210" s="164">
        <f t="shared" si="44"/>
        <v>0</v>
      </c>
      <c r="O210" s="164">
        <f t="shared" si="36"/>
        <v>0</v>
      </c>
      <c r="P210" s="164">
        <f t="shared" si="37"/>
        <v>0</v>
      </c>
      <c r="Q210" s="164">
        <f t="shared" si="38"/>
        <v>0</v>
      </c>
      <c r="R210" s="164">
        <f t="shared" si="47"/>
        <v>0</v>
      </c>
      <c r="S210" s="164">
        <f t="shared" si="39"/>
        <v>0</v>
      </c>
      <c r="T210" s="164">
        <f t="shared" si="40"/>
        <v>0</v>
      </c>
    </row>
    <row r="211" spans="2:20" x14ac:dyDescent="0.2">
      <c r="B211" s="171"/>
      <c r="D211" s="171"/>
      <c r="E211" s="171"/>
      <c r="F211" s="158">
        <v>200</v>
      </c>
      <c r="G211" s="249">
        <f t="shared" si="41"/>
        <v>49734</v>
      </c>
      <c r="H211" s="158">
        <f t="shared" si="45"/>
        <v>29</v>
      </c>
      <c r="I211" s="254">
        <f>VLOOKUP(G211,'Прогноз переменной ставки'!$B$5:$E$304,4,1)</f>
        <v>9.9000000000000005E-2</v>
      </c>
      <c r="J211" s="164">
        <f t="shared" si="42"/>
        <v>0</v>
      </c>
      <c r="K211" s="164">
        <f t="shared" si="43"/>
        <v>0</v>
      </c>
      <c r="L211" s="164">
        <f t="shared" si="46"/>
        <v>0</v>
      </c>
      <c r="M211" s="164">
        <f t="shared" si="46"/>
        <v>0</v>
      </c>
      <c r="N211" s="164">
        <f t="shared" si="44"/>
        <v>0</v>
      </c>
      <c r="O211" s="164">
        <f t="shared" si="36"/>
        <v>0</v>
      </c>
      <c r="P211" s="164">
        <f t="shared" si="37"/>
        <v>0</v>
      </c>
      <c r="Q211" s="164">
        <f t="shared" si="38"/>
        <v>0</v>
      </c>
      <c r="R211" s="164">
        <f t="shared" si="47"/>
        <v>0</v>
      </c>
      <c r="S211" s="164">
        <f t="shared" si="39"/>
        <v>0</v>
      </c>
      <c r="T211" s="164">
        <f t="shared" si="40"/>
        <v>0</v>
      </c>
    </row>
    <row r="212" spans="2:20" x14ac:dyDescent="0.2">
      <c r="B212" s="171"/>
      <c r="D212" s="171"/>
      <c r="E212" s="171"/>
      <c r="F212" s="158">
        <v>201</v>
      </c>
      <c r="G212" s="249">
        <f t="shared" si="41"/>
        <v>49765</v>
      </c>
      <c r="H212" s="158">
        <f t="shared" si="45"/>
        <v>31</v>
      </c>
      <c r="I212" s="254">
        <f>VLOOKUP(G212,'Прогноз переменной ставки'!$B$5:$E$304,4,1)</f>
        <v>9.9000000000000005E-2</v>
      </c>
      <c r="J212" s="164">
        <f t="shared" si="42"/>
        <v>0</v>
      </c>
      <c r="K212" s="164">
        <f t="shared" si="43"/>
        <v>0</v>
      </c>
      <c r="L212" s="164">
        <f t="shared" si="46"/>
        <v>0</v>
      </c>
      <c r="M212" s="164">
        <f t="shared" si="46"/>
        <v>0</v>
      </c>
      <c r="N212" s="164">
        <f t="shared" si="44"/>
        <v>0</v>
      </c>
      <c r="O212" s="164">
        <f t="shared" si="36"/>
        <v>0</v>
      </c>
      <c r="P212" s="164">
        <f t="shared" si="37"/>
        <v>0</v>
      </c>
      <c r="Q212" s="164">
        <f t="shared" si="38"/>
        <v>0</v>
      </c>
      <c r="R212" s="164">
        <f t="shared" si="47"/>
        <v>0</v>
      </c>
      <c r="S212" s="164">
        <f t="shared" si="39"/>
        <v>0</v>
      </c>
      <c r="T212" s="164">
        <f t="shared" si="40"/>
        <v>0</v>
      </c>
    </row>
    <row r="213" spans="2:20" x14ac:dyDescent="0.2">
      <c r="B213" s="171"/>
      <c r="D213" s="171"/>
      <c r="E213" s="171"/>
      <c r="F213" s="158">
        <v>202</v>
      </c>
      <c r="G213" s="249">
        <f t="shared" si="41"/>
        <v>49795</v>
      </c>
      <c r="H213" s="158">
        <f t="shared" si="45"/>
        <v>30</v>
      </c>
      <c r="I213" s="254">
        <f>VLOOKUP(G213,'Прогноз переменной ставки'!$B$5:$E$304,4,1)</f>
        <v>9.9000000000000005E-2</v>
      </c>
      <c r="J213" s="164">
        <f t="shared" si="42"/>
        <v>0</v>
      </c>
      <c r="K213" s="164">
        <f t="shared" si="43"/>
        <v>0</v>
      </c>
      <c r="L213" s="164">
        <f t="shared" si="46"/>
        <v>0</v>
      </c>
      <c r="M213" s="164">
        <f t="shared" si="46"/>
        <v>0</v>
      </c>
      <c r="N213" s="164">
        <f t="shared" si="44"/>
        <v>0</v>
      </c>
      <c r="O213" s="164">
        <f t="shared" si="36"/>
        <v>0</v>
      </c>
      <c r="P213" s="164">
        <f t="shared" si="37"/>
        <v>0</v>
      </c>
      <c r="Q213" s="164">
        <f t="shared" si="38"/>
        <v>0</v>
      </c>
      <c r="R213" s="164">
        <f t="shared" si="47"/>
        <v>0</v>
      </c>
      <c r="S213" s="164">
        <f t="shared" si="39"/>
        <v>0</v>
      </c>
      <c r="T213" s="164">
        <f t="shared" si="40"/>
        <v>0</v>
      </c>
    </row>
    <row r="214" spans="2:20" x14ac:dyDescent="0.2">
      <c r="B214" s="171"/>
      <c r="D214" s="171"/>
      <c r="E214" s="171"/>
      <c r="F214" s="158">
        <v>203</v>
      </c>
      <c r="G214" s="249">
        <f t="shared" si="41"/>
        <v>49826</v>
      </c>
      <c r="H214" s="158">
        <f t="shared" si="45"/>
        <v>31</v>
      </c>
      <c r="I214" s="254">
        <f>VLOOKUP(G214,'Прогноз переменной ставки'!$B$5:$E$304,4,1)</f>
        <v>9.9000000000000005E-2</v>
      </c>
      <c r="J214" s="164">
        <f t="shared" si="42"/>
        <v>0</v>
      </c>
      <c r="K214" s="164">
        <f t="shared" si="43"/>
        <v>0</v>
      </c>
      <c r="L214" s="164">
        <f t="shared" si="46"/>
        <v>0</v>
      </c>
      <c r="M214" s="164">
        <f t="shared" si="46"/>
        <v>0</v>
      </c>
      <c r="N214" s="164">
        <f t="shared" si="44"/>
        <v>0</v>
      </c>
      <c r="O214" s="164">
        <f t="shared" si="36"/>
        <v>0</v>
      </c>
      <c r="P214" s="164">
        <f t="shared" si="37"/>
        <v>0</v>
      </c>
      <c r="Q214" s="164">
        <f t="shared" si="38"/>
        <v>0</v>
      </c>
      <c r="R214" s="164">
        <f t="shared" si="47"/>
        <v>0</v>
      </c>
      <c r="S214" s="164">
        <f t="shared" si="39"/>
        <v>0</v>
      </c>
      <c r="T214" s="164">
        <f t="shared" si="40"/>
        <v>0</v>
      </c>
    </row>
    <row r="215" spans="2:20" x14ac:dyDescent="0.2">
      <c r="B215" s="171"/>
      <c r="D215" s="171"/>
      <c r="E215" s="171"/>
      <c r="F215" s="158">
        <v>204</v>
      </c>
      <c r="G215" s="249">
        <f t="shared" si="41"/>
        <v>49856</v>
      </c>
      <c r="H215" s="158">
        <f t="shared" si="45"/>
        <v>30</v>
      </c>
      <c r="I215" s="254">
        <f>VLOOKUP(G215,'Прогноз переменной ставки'!$B$5:$E$304,4,1)</f>
        <v>9.9000000000000005E-2</v>
      </c>
      <c r="J215" s="164">
        <f t="shared" si="42"/>
        <v>0</v>
      </c>
      <c r="K215" s="164">
        <f t="shared" si="43"/>
        <v>0</v>
      </c>
      <c r="L215" s="164">
        <f t="shared" si="46"/>
        <v>0</v>
      </c>
      <c r="M215" s="164">
        <f t="shared" si="46"/>
        <v>0</v>
      </c>
      <c r="N215" s="164">
        <f t="shared" si="44"/>
        <v>0</v>
      </c>
      <c r="O215" s="164">
        <f t="shared" si="36"/>
        <v>0</v>
      </c>
      <c r="P215" s="164">
        <f t="shared" si="37"/>
        <v>0</v>
      </c>
      <c r="Q215" s="164">
        <f t="shared" si="38"/>
        <v>0</v>
      </c>
      <c r="R215" s="164">
        <f t="shared" si="47"/>
        <v>0</v>
      </c>
      <c r="S215" s="164">
        <f t="shared" si="39"/>
        <v>0</v>
      </c>
      <c r="T215" s="164">
        <f t="shared" si="40"/>
        <v>0</v>
      </c>
    </row>
    <row r="216" spans="2:20" x14ac:dyDescent="0.2">
      <c r="B216" s="171"/>
      <c r="D216" s="171"/>
      <c r="E216" s="171"/>
      <c r="F216" s="158">
        <v>205</v>
      </c>
      <c r="G216" s="249">
        <f t="shared" si="41"/>
        <v>49887</v>
      </c>
      <c r="H216" s="158">
        <f t="shared" si="45"/>
        <v>31</v>
      </c>
      <c r="I216" s="254">
        <f>VLOOKUP(G216,'Прогноз переменной ставки'!$B$5:$E$304,4,1)</f>
        <v>9.9000000000000005E-2</v>
      </c>
      <c r="J216" s="164">
        <f t="shared" si="42"/>
        <v>0</v>
      </c>
      <c r="K216" s="164">
        <f t="shared" si="43"/>
        <v>0</v>
      </c>
      <c r="L216" s="164">
        <f t="shared" si="46"/>
        <v>0</v>
      </c>
      <c r="M216" s="164">
        <f t="shared" si="46"/>
        <v>0</v>
      </c>
      <c r="N216" s="164">
        <f t="shared" si="44"/>
        <v>0</v>
      </c>
      <c r="O216" s="164">
        <f t="shared" si="36"/>
        <v>0</v>
      </c>
      <c r="P216" s="164">
        <f t="shared" si="37"/>
        <v>0</v>
      </c>
      <c r="Q216" s="164">
        <f t="shared" si="38"/>
        <v>0</v>
      </c>
      <c r="R216" s="164">
        <f t="shared" si="47"/>
        <v>0</v>
      </c>
      <c r="S216" s="164">
        <f t="shared" si="39"/>
        <v>0</v>
      </c>
      <c r="T216" s="164">
        <f t="shared" si="40"/>
        <v>0</v>
      </c>
    </row>
    <row r="217" spans="2:20" x14ac:dyDescent="0.2">
      <c r="B217" s="171"/>
      <c r="D217" s="171"/>
      <c r="E217" s="171"/>
      <c r="F217" s="158">
        <v>206</v>
      </c>
      <c r="G217" s="249">
        <f t="shared" si="41"/>
        <v>49918</v>
      </c>
      <c r="H217" s="158">
        <f t="shared" si="45"/>
        <v>31</v>
      </c>
      <c r="I217" s="254">
        <f>VLOOKUP(G217,'Прогноз переменной ставки'!$B$5:$E$304,4,1)</f>
        <v>9.9000000000000005E-2</v>
      </c>
      <c r="J217" s="164">
        <f t="shared" si="42"/>
        <v>0</v>
      </c>
      <c r="K217" s="164">
        <f t="shared" si="43"/>
        <v>0</v>
      </c>
      <c r="L217" s="164">
        <f t="shared" si="46"/>
        <v>0</v>
      </c>
      <c r="M217" s="164">
        <f t="shared" si="46"/>
        <v>0</v>
      </c>
      <c r="N217" s="164">
        <f t="shared" si="44"/>
        <v>0</v>
      </c>
      <c r="O217" s="164">
        <f t="shared" si="36"/>
        <v>0</v>
      </c>
      <c r="P217" s="164">
        <f t="shared" si="37"/>
        <v>0</v>
      </c>
      <c r="Q217" s="164">
        <f t="shared" si="38"/>
        <v>0</v>
      </c>
      <c r="R217" s="164">
        <f t="shared" si="47"/>
        <v>0</v>
      </c>
      <c r="S217" s="164">
        <f t="shared" si="39"/>
        <v>0</v>
      </c>
      <c r="T217" s="164">
        <f t="shared" si="40"/>
        <v>0</v>
      </c>
    </row>
    <row r="218" spans="2:20" x14ac:dyDescent="0.2">
      <c r="B218" s="171"/>
      <c r="D218" s="171"/>
      <c r="E218" s="171"/>
      <c r="F218" s="158">
        <v>207</v>
      </c>
      <c r="G218" s="249">
        <f t="shared" si="41"/>
        <v>49948</v>
      </c>
      <c r="H218" s="158">
        <f t="shared" si="45"/>
        <v>30</v>
      </c>
      <c r="I218" s="254">
        <f>VLOOKUP(G218,'Прогноз переменной ставки'!$B$5:$E$304,4,1)</f>
        <v>9.9000000000000005E-2</v>
      </c>
      <c r="J218" s="164">
        <f t="shared" si="42"/>
        <v>0</v>
      </c>
      <c r="K218" s="164">
        <f t="shared" si="43"/>
        <v>0</v>
      </c>
      <c r="L218" s="164">
        <f t="shared" si="46"/>
        <v>0</v>
      </c>
      <c r="M218" s="164">
        <f t="shared" si="46"/>
        <v>0</v>
      </c>
      <c r="N218" s="164">
        <f t="shared" si="44"/>
        <v>0</v>
      </c>
      <c r="O218" s="164">
        <f t="shared" si="36"/>
        <v>0</v>
      </c>
      <c r="P218" s="164">
        <f t="shared" si="37"/>
        <v>0</v>
      </c>
      <c r="Q218" s="164">
        <f t="shared" si="38"/>
        <v>0</v>
      </c>
      <c r="R218" s="164">
        <f t="shared" si="47"/>
        <v>0</v>
      </c>
      <c r="S218" s="164">
        <f t="shared" si="39"/>
        <v>0</v>
      </c>
      <c r="T218" s="164">
        <f t="shared" si="40"/>
        <v>0</v>
      </c>
    </row>
    <row r="219" spans="2:20" x14ac:dyDescent="0.2">
      <c r="B219" s="171"/>
      <c r="D219" s="171"/>
      <c r="E219" s="171"/>
      <c r="F219" s="158">
        <v>208</v>
      </c>
      <c r="G219" s="249">
        <f t="shared" si="41"/>
        <v>49979</v>
      </c>
      <c r="H219" s="158">
        <f t="shared" si="45"/>
        <v>31</v>
      </c>
      <c r="I219" s="254">
        <f>VLOOKUP(G219,'Прогноз переменной ставки'!$B$5:$E$304,4,1)</f>
        <v>9.9000000000000005E-2</v>
      </c>
      <c r="J219" s="164">
        <f t="shared" si="42"/>
        <v>0</v>
      </c>
      <c r="K219" s="164">
        <f t="shared" si="43"/>
        <v>0</v>
      </c>
      <c r="L219" s="164">
        <f t="shared" si="46"/>
        <v>0</v>
      </c>
      <c r="M219" s="164">
        <f t="shared" si="46"/>
        <v>0</v>
      </c>
      <c r="N219" s="164">
        <f t="shared" si="44"/>
        <v>0</v>
      </c>
      <c r="O219" s="164">
        <f t="shared" si="36"/>
        <v>0</v>
      </c>
      <c r="P219" s="164">
        <f t="shared" si="37"/>
        <v>0</v>
      </c>
      <c r="Q219" s="164">
        <f t="shared" si="38"/>
        <v>0</v>
      </c>
      <c r="R219" s="164">
        <f t="shared" si="47"/>
        <v>0</v>
      </c>
      <c r="S219" s="164">
        <f t="shared" si="39"/>
        <v>0</v>
      </c>
      <c r="T219" s="164">
        <f t="shared" si="40"/>
        <v>0</v>
      </c>
    </row>
    <row r="220" spans="2:20" x14ac:dyDescent="0.2">
      <c r="B220" s="171"/>
      <c r="D220" s="171"/>
      <c r="E220" s="171"/>
      <c r="F220" s="158">
        <v>209</v>
      </c>
      <c r="G220" s="249">
        <f t="shared" si="41"/>
        <v>50009</v>
      </c>
      <c r="H220" s="158">
        <f t="shared" si="45"/>
        <v>30</v>
      </c>
      <c r="I220" s="254">
        <f>VLOOKUP(G220,'Прогноз переменной ставки'!$B$5:$E$304,4,1)</f>
        <v>9.9000000000000005E-2</v>
      </c>
      <c r="J220" s="164">
        <f t="shared" si="42"/>
        <v>0</v>
      </c>
      <c r="K220" s="164">
        <f t="shared" si="43"/>
        <v>0</v>
      </c>
      <c r="L220" s="164">
        <f t="shared" si="46"/>
        <v>0</v>
      </c>
      <c r="M220" s="164">
        <f t="shared" si="46"/>
        <v>0</v>
      </c>
      <c r="N220" s="164">
        <f t="shared" si="44"/>
        <v>0</v>
      </c>
      <c r="O220" s="164">
        <f t="shared" si="36"/>
        <v>0</v>
      </c>
      <c r="P220" s="164">
        <f t="shared" si="37"/>
        <v>0</v>
      </c>
      <c r="Q220" s="164">
        <f t="shared" si="38"/>
        <v>0</v>
      </c>
      <c r="R220" s="164">
        <f t="shared" si="47"/>
        <v>0</v>
      </c>
      <c r="S220" s="164">
        <f t="shared" si="39"/>
        <v>0</v>
      </c>
      <c r="T220" s="164">
        <f t="shared" si="40"/>
        <v>0</v>
      </c>
    </row>
    <row r="221" spans="2:20" x14ac:dyDescent="0.2">
      <c r="B221" s="171"/>
      <c r="D221" s="171"/>
      <c r="F221" s="158">
        <v>210</v>
      </c>
      <c r="G221" s="249">
        <f t="shared" si="41"/>
        <v>50040</v>
      </c>
      <c r="H221" s="158">
        <f t="shared" si="45"/>
        <v>31</v>
      </c>
      <c r="I221" s="254">
        <f>VLOOKUP(G221,'Прогноз переменной ставки'!$B$5:$E$304,4,1)</f>
        <v>9.9000000000000005E-2</v>
      </c>
      <c r="J221" s="164">
        <f t="shared" si="42"/>
        <v>0</v>
      </c>
      <c r="K221" s="164">
        <f t="shared" si="43"/>
        <v>0</v>
      </c>
      <c r="L221" s="164">
        <f t="shared" si="46"/>
        <v>0</v>
      </c>
      <c r="M221" s="164">
        <f t="shared" si="46"/>
        <v>0</v>
      </c>
      <c r="N221" s="164">
        <f t="shared" si="44"/>
        <v>0</v>
      </c>
      <c r="O221" s="164">
        <f t="shared" si="36"/>
        <v>0</v>
      </c>
      <c r="P221" s="164">
        <f t="shared" si="37"/>
        <v>0</v>
      </c>
      <c r="Q221" s="164">
        <f t="shared" si="38"/>
        <v>0</v>
      </c>
      <c r="R221" s="164">
        <f t="shared" si="47"/>
        <v>0</v>
      </c>
      <c r="S221" s="164">
        <f t="shared" si="39"/>
        <v>0</v>
      </c>
      <c r="T221" s="164">
        <f t="shared" si="40"/>
        <v>0</v>
      </c>
    </row>
    <row r="222" spans="2:20" x14ac:dyDescent="0.2">
      <c r="B222" s="171"/>
      <c r="D222" s="171"/>
      <c r="F222" s="158">
        <v>211</v>
      </c>
      <c r="G222" s="249">
        <f t="shared" si="41"/>
        <v>50071</v>
      </c>
      <c r="H222" s="158">
        <f t="shared" si="45"/>
        <v>31</v>
      </c>
      <c r="I222" s="254">
        <f>VLOOKUP(G222,'Прогноз переменной ставки'!$B$5:$E$304,4,1)</f>
        <v>9.9000000000000005E-2</v>
      </c>
      <c r="J222" s="164">
        <f t="shared" si="42"/>
        <v>0</v>
      </c>
      <c r="K222" s="164">
        <f t="shared" si="43"/>
        <v>0</v>
      </c>
      <c r="L222" s="164">
        <f t="shared" ref="L222:M277" si="48">S221</f>
        <v>0</v>
      </c>
      <c r="M222" s="164">
        <f t="shared" si="48"/>
        <v>0</v>
      </c>
      <c r="N222" s="164">
        <f t="shared" si="44"/>
        <v>0</v>
      </c>
      <c r="O222" s="164">
        <f t="shared" si="36"/>
        <v>0</v>
      </c>
      <c r="P222" s="164">
        <f t="shared" si="37"/>
        <v>0</v>
      </c>
      <c r="Q222" s="164">
        <f t="shared" si="38"/>
        <v>0</v>
      </c>
      <c r="R222" s="164">
        <f t="shared" si="47"/>
        <v>0</v>
      </c>
      <c r="S222" s="164">
        <f t="shared" si="39"/>
        <v>0</v>
      </c>
      <c r="T222" s="164">
        <f t="shared" si="40"/>
        <v>0</v>
      </c>
    </row>
    <row r="223" spans="2:20" x14ac:dyDescent="0.2">
      <c r="B223" s="171"/>
      <c r="D223" s="171"/>
      <c r="F223" s="158">
        <v>212</v>
      </c>
      <c r="G223" s="249">
        <f t="shared" si="41"/>
        <v>50099</v>
      </c>
      <c r="H223" s="158">
        <f t="shared" si="45"/>
        <v>28</v>
      </c>
      <c r="I223" s="254">
        <f>VLOOKUP(G223,'Прогноз переменной ставки'!$B$5:$E$304,4,1)</f>
        <v>9.9000000000000005E-2</v>
      </c>
      <c r="J223" s="164">
        <f t="shared" si="42"/>
        <v>0</v>
      </c>
      <c r="K223" s="164">
        <f t="shared" si="43"/>
        <v>0</v>
      </c>
      <c r="L223" s="164">
        <f t="shared" si="48"/>
        <v>0</v>
      </c>
      <c r="M223" s="164">
        <f t="shared" si="48"/>
        <v>0</v>
      </c>
      <c r="N223" s="164">
        <f t="shared" si="44"/>
        <v>0</v>
      </c>
      <c r="O223" s="164">
        <f t="shared" si="36"/>
        <v>0</v>
      </c>
      <c r="P223" s="164">
        <f t="shared" si="37"/>
        <v>0</v>
      </c>
      <c r="Q223" s="164">
        <f t="shared" si="38"/>
        <v>0</v>
      </c>
      <c r="R223" s="164">
        <f t="shared" si="47"/>
        <v>0</v>
      </c>
      <c r="S223" s="164">
        <f t="shared" si="39"/>
        <v>0</v>
      </c>
      <c r="T223" s="164">
        <f t="shared" si="40"/>
        <v>0</v>
      </c>
    </row>
    <row r="224" spans="2:20" x14ac:dyDescent="0.2">
      <c r="B224" s="171"/>
      <c r="D224" s="171"/>
      <c r="F224" s="158">
        <v>213</v>
      </c>
      <c r="G224" s="249">
        <f t="shared" si="41"/>
        <v>50130</v>
      </c>
      <c r="H224" s="158">
        <f t="shared" si="45"/>
        <v>31</v>
      </c>
      <c r="I224" s="254">
        <f>VLOOKUP(G224,'Прогноз переменной ставки'!$B$5:$E$304,4,1)</f>
        <v>9.9000000000000005E-2</v>
      </c>
      <c r="J224" s="164">
        <f t="shared" si="42"/>
        <v>0</v>
      </c>
      <c r="K224" s="164">
        <f t="shared" si="43"/>
        <v>0</v>
      </c>
      <c r="L224" s="164">
        <f t="shared" si="48"/>
        <v>0</v>
      </c>
      <c r="M224" s="164">
        <f t="shared" si="48"/>
        <v>0</v>
      </c>
      <c r="N224" s="164">
        <f t="shared" si="44"/>
        <v>0</v>
      </c>
      <c r="O224" s="164">
        <f t="shared" si="36"/>
        <v>0</v>
      </c>
      <c r="P224" s="164">
        <f t="shared" si="37"/>
        <v>0</v>
      </c>
      <c r="Q224" s="164">
        <f t="shared" si="38"/>
        <v>0</v>
      </c>
      <c r="R224" s="164">
        <f t="shared" si="47"/>
        <v>0</v>
      </c>
      <c r="S224" s="164">
        <f t="shared" si="39"/>
        <v>0</v>
      </c>
      <c r="T224" s="164">
        <f t="shared" si="40"/>
        <v>0</v>
      </c>
    </row>
    <row r="225" spans="2:20" x14ac:dyDescent="0.2">
      <c r="B225" s="171"/>
      <c r="D225" s="171"/>
      <c r="F225" s="158">
        <v>214</v>
      </c>
      <c r="G225" s="249">
        <f t="shared" si="41"/>
        <v>50160</v>
      </c>
      <c r="H225" s="158">
        <f t="shared" si="45"/>
        <v>30</v>
      </c>
      <c r="I225" s="254">
        <f>VLOOKUP(G225,'Прогноз переменной ставки'!$B$5:$E$304,4,1)</f>
        <v>9.9000000000000005E-2</v>
      </c>
      <c r="J225" s="164">
        <f t="shared" si="42"/>
        <v>0</v>
      </c>
      <c r="K225" s="164">
        <f t="shared" si="43"/>
        <v>0</v>
      </c>
      <c r="L225" s="164">
        <f t="shared" si="48"/>
        <v>0</v>
      </c>
      <c r="M225" s="164">
        <f t="shared" si="48"/>
        <v>0</v>
      </c>
      <c r="N225" s="164">
        <f t="shared" si="44"/>
        <v>0</v>
      </c>
      <c r="O225" s="164">
        <f t="shared" si="36"/>
        <v>0</v>
      </c>
      <c r="P225" s="164">
        <f t="shared" si="37"/>
        <v>0</v>
      </c>
      <c r="Q225" s="164">
        <f t="shared" si="38"/>
        <v>0</v>
      </c>
      <c r="R225" s="164">
        <f t="shared" si="47"/>
        <v>0</v>
      </c>
      <c r="S225" s="164">
        <f t="shared" si="39"/>
        <v>0</v>
      </c>
      <c r="T225" s="164">
        <f t="shared" si="40"/>
        <v>0</v>
      </c>
    </row>
    <row r="226" spans="2:20" x14ac:dyDescent="0.2">
      <c r="B226" s="171"/>
      <c r="D226" s="171"/>
      <c r="F226" s="158">
        <v>215</v>
      </c>
      <c r="G226" s="249">
        <f t="shared" si="41"/>
        <v>50191</v>
      </c>
      <c r="H226" s="158">
        <f t="shared" si="45"/>
        <v>31</v>
      </c>
      <c r="I226" s="254">
        <f>VLOOKUP(G226,'Прогноз переменной ставки'!$B$5:$E$304,4,1)</f>
        <v>9.9000000000000005E-2</v>
      </c>
      <c r="J226" s="164">
        <f t="shared" si="42"/>
        <v>0</v>
      </c>
      <c r="K226" s="164">
        <f t="shared" si="43"/>
        <v>0</v>
      </c>
      <c r="L226" s="164">
        <f t="shared" si="48"/>
        <v>0</v>
      </c>
      <c r="M226" s="164">
        <f t="shared" si="48"/>
        <v>0</v>
      </c>
      <c r="N226" s="164">
        <f t="shared" si="44"/>
        <v>0</v>
      </c>
      <c r="O226" s="164">
        <f t="shared" si="36"/>
        <v>0</v>
      </c>
      <c r="P226" s="164">
        <f t="shared" si="37"/>
        <v>0</v>
      </c>
      <c r="Q226" s="164">
        <f t="shared" si="38"/>
        <v>0</v>
      </c>
      <c r="R226" s="164">
        <f t="shared" si="47"/>
        <v>0</v>
      </c>
      <c r="S226" s="164">
        <f t="shared" si="39"/>
        <v>0</v>
      </c>
      <c r="T226" s="164">
        <f t="shared" si="40"/>
        <v>0</v>
      </c>
    </row>
    <row r="227" spans="2:20" x14ac:dyDescent="0.2">
      <c r="B227" s="171"/>
      <c r="D227" s="171"/>
      <c r="F227" s="158">
        <v>216</v>
      </c>
      <c r="G227" s="249">
        <f t="shared" si="41"/>
        <v>50221</v>
      </c>
      <c r="H227" s="158">
        <f t="shared" si="45"/>
        <v>30</v>
      </c>
      <c r="I227" s="254">
        <f>VLOOKUP(G227,'Прогноз переменной ставки'!$B$5:$E$304,4,1)</f>
        <v>9.9000000000000005E-2</v>
      </c>
      <c r="J227" s="164">
        <f t="shared" si="42"/>
        <v>0</v>
      </c>
      <c r="K227" s="164">
        <f t="shared" si="43"/>
        <v>0</v>
      </c>
      <c r="L227" s="164">
        <f t="shared" si="48"/>
        <v>0</v>
      </c>
      <c r="M227" s="164">
        <f t="shared" si="48"/>
        <v>0</v>
      </c>
      <c r="N227" s="164">
        <f t="shared" si="44"/>
        <v>0</v>
      </c>
      <c r="O227" s="164">
        <f t="shared" si="36"/>
        <v>0</v>
      </c>
      <c r="P227" s="164">
        <f t="shared" si="37"/>
        <v>0</v>
      </c>
      <c r="Q227" s="164">
        <f t="shared" si="38"/>
        <v>0</v>
      </c>
      <c r="R227" s="164">
        <f t="shared" si="47"/>
        <v>0</v>
      </c>
      <c r="S227" s="164">
        <f t="shared" si="39"/>
        <v>0</v>
      </c>
      <c r="T227" s="164">
        <f t="shared" si="40"/>
        <v>0</v>
      </c>
    </row>
    <row r="228" spans="2:20" x14ac:dyDescent="0.2">
      <c r="B228" s="171"/>
      <c r="D228" s="171"/>
      <c r="F228" s="158">
        <v>217</v>
      </c>
      <c r="G228" s="249">
        <f t="shared" si="41"/>
        <v>50252</v>
      </c>
      <c r="H228" s="158">
        <f t="shared" si="45"/>
        <v>31</v>
      </c>
      <c r="I228" s="254">
        <f>VLOOKUP(G228,'Прогноз переменной ставки'!$B$5:$E$304,4,1)</f>
        <v>9.9000000000000005E-2</v>
      </c>
      <c r="J228" s="164">
        <f t="shared" si="42"/>
        <v>0</v>
      </c>
      <c r="K228" s="164">
        <f t="shared" si="43"/>
        <v>0</v>
      </c>
      <c r="L228" s="164">
        <f t="shared" si="48"/>
        <v>0</v>
      </c>
      <c r="M228" s="164">
        <f t="shared" si="48"/>
        <v>0</v>
      </c>
      <c r="N228" s="164">
        <f t="shared" si="44"/>
        <v>0</v>
      </c>
      <c r="O228" s="164">
        <f t="shared" si="36"/>
        <v>0</v>
      </c>
      <c r="P228" s="164">
        <f t="shared" si="37"/>
        <v>0</v>
      </c>
      <c r="Q228" s="164">
        <f t="shared" si="38"/>
        <v>0</v>
      </c>
      <c r="R228" s="164">
        <f t="shared" si="47"/>
        <v>0</v>
      </c>
      <c r="S228" s="164">
        <f t="shared" si="39"/>
        <v>0</v>
      </c>
      <c r="T228" s="164">
        <f t="shared" si="40"/>
        <v>0</v>
      </c>
    </row>
    <row r="229" spans="2:20" x14ac:dyDescent="0.2">
      <c r="B229" s="171"/>
      <c r="D229" s="171"/>
      <c r="F229" s="158">
        <v>218</v>
      </c>
      <c r="G229" s="249">
        <f t="shared" si="41"/>
        <v>50283</v>
      </c>
      <c r="H229" s="158">
        <f t="shared" si="45"/>
        <v>31</v>
      </c>
      <c r="I229" s="254">
        <f>VLOOKUP(G229,'Прогноз переменной ставки'!$B$5:$E$304,4,1)</f>
        <v>9.9000000000000005E-2</v>
      </c>
      <c r="J229" s="164">
        <f t="shared" si="42"/>
        <v>0</v>
      </c>
      <c r="K229" s="164">
        <f t="shared" si="43"/>
        <v>0</v>
      </c>
      <c r="L229" s="164">
        <f t="shared" si="48"/>
        <v>0</v>
      </c>
      <c r="M229" s="164">
        <f t="shared" si="48"/>
        <v>0</v>
      </c>
      <c r="N229" s="164">
        <f t="shared" si="44"/>
        <v>0</v>
      </c>
      <c r="O229" s="164">
        <f t="shared" si="36"/>
        <v>0</v>
      </c>
      <c r="P229" s="164">
        <f t="shared" si="37"/>
        <v>0</v>
      </c>
      <c r="Q229" s="164">
        <f t="shared" si="38"/>
        <v>0</v>
      </c>
      <c r="R229" s="164">
        <f t="shared" si="47"/>
        <v>0</v>
      </c>
      <c r="S229" s="164">
        <f t="shared" si="39"/>
        <v>0</v>
      </c>
      <c r="T229" s="164">
        <f t="shared" si="40"/>
        <v>0</v>
      </c>
    </row>
    <row r="230" spans="2:20" x14ac:dyDescent="0.2">
      <c r="B230" s="171"/>
      <c r="D230" s="171"/>
      <c r="F230" s="158">
        <v>219</v>
      </c>
      <c r="G230" s="249">
        <f t="shared" si="41"/>
        <v>50313</v>
      </c>
      <c r="H230" s="158">
        <f t="shared" si="45"/>
        <v>30</v>
      </c>
      <c r="I230" s="254">
        <f>VLOOKUP(G230,'Прогноз переменной ставки'!$B$5:$E$304,4,1)</f>
        <v>9.9000000000000005E-2</v>
      </c>
      <c r="J230" s="164">
        <f t="shared" si="42"/>
        <v>0</v>
      </c>
      <c r="K230" s="164">
        <f t="shared" si="43"/>
        <v>0</v>
      </c>
      <c r="L230" s="164">
        <f t="shared" si="48"/>
        <v>0</v>
      </c>
      <c r="M230" s="164">
        <f t="shared" si="48"/>
        <v>0</v>
      </c>
      <c r="N230" s="164">
        <f t="shared" si="44"/>
        <v>0</v>
      </c>
      <c r="O230" s="164">
        <f t="shared" si="36"/>
        <v>0</v>
      </c>
      <c r="P230" s="164">
        <f t="shared" si="37"/>
        <v>0</v>
      </c>
      <c r="Q230" s="164">
        <f t="shared" si="38"/>
        <v>0</v>
      </c>
      <c r="R230" s="164">
        <f t="shared" si="47"/>
        <v>0</v>
      </c>
      <c r="S230" s="164">
        <f t="shared" si="39"/>
        <v>0</v>
      </c>
      <c r="T230" s="164">
        <f t="shared" si="40"/>
        <v>0</v>
      </c>
    </row>
    <row r="231" spans="2:20" x14ac:dyDescent="0.2">
      <c r="B231" s="171"/>
      <c r="D231" s="171"/>
      <c r="F231" s="158">
        <v>220</v>
      </c>
      <c r="G231" s="249">
        <f t="shared" si="41"/>
        <v>50344</v>
      </c>
      <c r="H231" s="158">
        <f t="shared" si="45"/>
        <v>31</v>
      </c>
      <c r="I231" s="254">
        <f>VLOOKUP(G231,'Прогноз переменной ставки'!$B$5:$E$304,4,1)</f>
        <v>9.9000000000000005E-2</v>
      </c>
      <c r="J231" s="164">
        <f t="shared" si="42"/>
        <v>0</v>
      </c>
      <c r="K231" s="164">
        <f t="shared" si="43"/>
        <v>0</v>
      </c>
      <c r="L231" s="164">
        <f t="shared" si="48"/>
        <v>0</v>
      </c>
      <c r="M231" s="164">
        <f t="shared" si="48"/>
        <v>0</v>
      </c>
      <c r="N231" s="164">
        <f t="shared" si="44"/>
        <v>0</v>
      </c>
      <c r="O231" s="164">
        <f t="shared" si="36"/>
        <v>0</v>
      </c>
      <c r="P231" s="164">
        <f t="shared" si="37"/>
        <v>0</v>
      </c>
      <c r="Q231" s="164">
        <f t="shared" si="38"/>
        <v>0</v>
      </c>
      <c r="R231" s="164">
        <f t="shared" si="47"/>
        <v>0</v>
      </c>
      <c r="S231" s="164">
        <f t="shared" si="39"/>
        <v>0</v>
      </c>
      <c r="T231" s="164">
        <f t="shared" si="40"/>
        <v>0</v>
      </c>
    </row>
    <row r="232" spans="2:20" x14ac:dyDescent="0.2">
      <c r="B232" s="171"/>
      <c r="D232" s="171"/>
      <c r="F232" s="158">
        <v>221</v>
      </c>
      <c r="G232" s="249">
        <f t="shared" si="41"/>
        <v>50374</v>
      </c>
      <c r="H232" s="158">
        <f t="shared" si="45"/>
        <v>30</v>
      </c>
      <c r="I232" s="254">
        <f>VLOOKUP(G232,'Прогноз переменной ставки'!$B$5:$E$304,4,1)</f>
        <v>9.9000000000000005E-2</v>
      </c>
      <c r="J232" s="164">
        <f t="shared" si="42"/>
        <v>0</v>
      </c>
      <c r="K232" s="164">
        <f t="shared" si="43"/>
        <v>0</v>
      </c>
      <c r="L232" s="164">
        <f t="shared" si="48"/>
        <v>0</v>
      </c>
      <c r="M232" s="164">
        <f t="shared" si="48"/>
        <v>0</v>
      </c>
      <c r="N232" s="164">
        <f t="shared" si="44"/>
        <v>0</v>
      </c>
      <c r="O232" s="164">
        <f t="shared" si="36"/>
        <v>0</v>
      </c>
      <c r="P232" s="164">
        <f t="shared" si="37"/>
        <v>0</v>
      </c>
      <c r="Q232" s="164">
        <f t="shared" si="38"/>
        <v>0</v>
      </c>
      <c r="R232" s="164">
        <f t="shared" si="47"/>
        <v>0</v>
      </c>
      <c r="S232" s="164">
        <f t="shared" si="39"/>
        <v>0</v>
      </c>
      <c r="T232" s="164">
        <f t="shared" si="40"/>
        <v>0</v>
      </c>
    </row>
    <row r="233" spans="2:20" x14ac:dyDescent="0.2">
      <c r="B233" s="171"/>
      <c r="D233" s="171"/>
      <c r="F233" s="158">
        <v>222</v>
      </c>
      <c r="G233" s="249">
        <f t="shared" si="41"/>
        <v>50405</v>
      </c>
      <c r="H233" s="158">
        <f t="shared" si="45"/>
        <v>31</v>
      </c>
      <c r="I233" s="254">
        <f>VLOOKUP(G233,'Прогноз переменной ставки'!$B$5:$E$304,4,1)</f>
        <v>9.9000000000000005E-2</v>
      </c>
      <c r="J233" s="164">
        <f t="shared" si="42"/>
        <v>0</v>
      </c>
      <c r="K233" s="164">
        <f t="shared" si="43"/>
        <v>0</v>
      </c>
      <c r="L233" s="164">
        <f t="shared" si="48"/>
        <v>0</v>
      </c>
      <c r="M233" s="164">
        <f t="shared" si="48"/>
        <v>0</v>
      </c>
      <c r="N233" s="164">
        <f t="shared" si="44"/>
        <v>0</v>
      </c>
      <c r="O233" s="164">
        <f t="shared" si="36"/>
        <v>0</v>
      </c>
      <c r="P233" s="164">
        <f t="shared" si="37"/>
        <v>0</v>
      </c>
      <c r="Q233" s="164">
        <f t="shared" si="38"/>
        <v>0</v>
      </c>
      <c r="R233" s="164">
        <f t="shared" si="47"/>
        <v>0</v>
      </c>
      <c r="S233" s="164">
        <f t="shared" si="39"/>
        <v>0</v>
      </c>
      <c r="T233" s="164">
        <f t="shared" si="40"/>
        <v>0</v>
      </c>
    </row>
    <row r="234" spans="2:20" x14ac:dyDescent="0.2">
      <c r="B234" s="171"/>
      <c r="D234" s="171"/>
      <c r="F234" s="158">
        <v>223</v>
      </c>
      <c r="G234" s="249">
        <f t="shared" si="41"/>
        <v>50436</v>
      </c>
      <c r="H234" s="158">
        <f t="shared" si="45"/>
        <v>31</v>
      </c>
      <c r="I234" s="254">
        <f>VLOOKUP(G234,'Прогноз переменной ставки'!$B$5:$E$304,4,1)</f>
        <v>9.9000000000000005E-2</v>
      </c>
      <c r="J234" s="164">
        <f t="shared" si="42"/>
        <v>0</v>
      </c>
      <c r="K234" s="164">
        <f t="shared" si="43"/>
        <v>0</v>
      </c>
      <c r="L234" s="164">
        <f t="shared" si="48"/>
        <v>0</v>
      </c>
      <c r="M234" s="164">
        <f t="shared" si="48"/>
        <v>0</v>
      </c>
      <c r="N234" s="164">
        <f t="shared" si="44"/>
        <v>0</v>
      </c>
      <c r="O234" s="164">
        <f t="shared" si="36"/>
        <v>0</v>
      </c>
      <c r="P234" s="164">
        <f t="shared" si="37"/>
        <v>0</v>
      </c>
      <c r="Q234" s="164">
        <f t="shared" si="38"/>
        <v>0</v>
      </c>
      <c r="R234" s="164">
        <f t="shared" si="47"/>
        <v>0</v>
      </c>
      <c r="S234" s="164">
        <f t="shared" si="39"/>
        <v>0</v>
      </c>
      <c r="T234" s="164">
        <f t="shared" si="40"/>
        <v>0</v>
      </c>
    </row>
    <row r="235" spans="2:20" x14ac:dyDescent="0.2">
      <c r="B235" s="171"/>
      <c r="D235" s="171"/>
      <c r="F235" s="158">
        <v>224</v>
      </c>
      <c r="G235" s="249">
        <f t="shared" si="41"/>
        <v>50464</v>
      </c>
      <c r="H235" s="158">
        <f t="shared" si="45"/>
        <v>28</v>
      </c>
      <c r="I235" s="254">
        <f>VLOOKUP(G235,'Прогноз переменной ставки'!$B$5:$E$304,4,1)</f>
        <v>9.9000000000000005E-2</v>
      </c>
      <c r="J235" s="164">
        <f t="shared" si="42"/>
        <v>0</v>
      </c>
      <c r="K235" s="164">
        <f t="shared" si="43"/>
        <v>0</v>
      </c>
      <c r="L235" s="164">
        <f t="shared" si="48"/>
        <v>0</v>
      </c>
      <c r="M235" s="164">
        <f t="shared" si="48"/>
        <v>0</v>
      </c>
      <c r="N235" s="164">
        <f t="shared" si="44"/>
        <v>0</v>
      </c>
      <c r="O235" s="164">
        <f t="shared" si="36"/>
        <v>0</v>
      </c>
      <c r="P235" s="164">
        <f t="shared" si="37"/>
        <v>0</v>
      </c>
      <c r="Q235" s="164">
        <f t="shared" si="38"/>
        <v>0</v>
      </c>
      <c r="R235" s="164">
        <f t="shared" si="47"/>
        <v>0</v>
      </c>
      <c r="S235" s="164">
        <f t="shared" si="39"/>
        <v>0</v>
      </c>
      <c r="T235" s="164">
        <f t="shared" si="40"/>
        <v>0</v>
      </c>
    </row>
    <row r="236" spans="2:20" x14ac:dyDescent="0.2">
      <c r="B236" s="171"/>
      <c r="D236" s="171"/>
      <c r="F236" s="158">
        <v>225</v>
      </c>
      <c r="G236" s="249">
        <f t="shared" si="41"/>
        <v>50495</v>
      </c>
      <c r="H236" s="158">
        <f t="shared" si="45"/>
        <v>31</v>
      </c>
      <c r="I236" s="254">
        <f>VLOOKUP(G236,'Прогноз переменной ставки'!$B$5:$E$304,4,1)</f>
        <v>9.9000000000000005E-2</v>
      </c>
      <c r="J236" s="164">
        <f t="shared" si="42"/>
        <v>0</v>
      </c>
      <c r="K236" s="164">
        <f t="shared" si="43"/>
        <v>0</v>
      </c>
      <c r="L236" s="164">
        <f t="shared" si="48"/>
        <v>0</v>
      </c>
      <c r="M236" s="164">
        <f t="shared" si="48"/>
        <v>0</v>
      </c>
      <c r="N236" s="164">
        <f t="shared" si="44"/>
        <v>0</v>
      </c>
      <c r="O236" s="164">
        <f t="shared" si="36"/>
        <v>0</v>
      </c>
      <c r="P236" s="164">
        <f t="shared" si="37"/>
        <v>0</v>
      </c>
      <c r="Q236" s="164">
        <f t="shared" si="38"/>
        <v>0</v>
      </c>
      <c r="R236" s="164">
        <f t="shared" si="47"/>
        <v>0</v>
      </c>
      <c r="S236" s="164">
        <f t="shared" si="39"/>
        <v>0</v>
      </c>
      <c r="T236" s="164">
        <f t="shared" si="40"/>
        <v>0</v>
      </c>
    </row>
    <row r="237" spans="2:20" x14ac:dyDescent="0.2">
      <c r="B237" s="171"/>
      <c r="D237" s="171"/>
      <c r="F237" s="158">
        <v>226</v>
      </c>
      <c r="G237" s="249">
        <f t="shared" si="41"/>
        <v>50525</v>
      </c>
      <c r="H237" s="158">
        <f t="shared" si="45"/>
        <v>30</v>
      </c>
      <c r="I237" s="254">
        <f>VLOOKUP(G237,'Прогноз переменной ставки'!$B$5:$E$304,4,1)</f>
        <v>9.9000000000000005E-2</v>
      </c>
      <c r="J237" s="164">
        <f t="shared" si="42"/>
        <v>0</v>
      </c>
      <c r="K237" s="164">
        <f t="shared" si="43"/>
        <v>0</v>
      </c>
      <c r="L237" s="164">
        <f t="shared" si="48"/>
        <v>0</v>
      </c>
      <c r="M237" s="164">
        <f t="shared" si="48"/>
        <v>0</v>
      </c>
      <c r="N237" s="164">
        <f t="shared" si="44"/>
        <v>0</v>
      </c>
      <c r="O237" s="164">
        <f t="shared" si="36"/>
        <v>0</v>
      </c>
      <c r="P237" s="164">
        <f t="shared" si="37"/>
        <v>0</v>
      </c>
      <c r="Q237" s="164">
        <f t="shared" si="38"/>
        <v>0</v>
      </c>
      <c r="R237" s="164">
        <f t="shared" si="47"/>
        <v>0</v>
      </c>
      <c r="S237" s="164">
        <f t="shared" si="39"/>
        <v>0</v>
      </c>
      <c r="T237" s="164">
        <f t="shared" si="40"/>
        <v>0</v>
      </c>
    </row>
    <row r="238" spans="2:20" x14ac:dyDescent="0.2">
      <c r="B238" s="171"/>
      <c r="D238" s="171"/>
      <c r="F238" s="158">
        <v>227</v>
      </c>
      <c r="G238" s="249">
        <f t="shared" si="41"/>
        <v>50556</v>
      </c>
      <c r="H238" s="158">
        <f t="shared" si="45"/>
        <v>31</v>
      </c>
      <c r="I238" s="254">
        <f>VLOOKUP(G238,'Прогноз переменной ставки'!$B$5:$E$304,4,1)</f>
        <v>9.9000000000000005E-2</v>
      </c>
      <c r="J238" s="164">
        <f t="shared" si="42"/>
        <v>0</v>
      </c>
      <c r="K238" s="164">
        <f t="shared" si="43"/>
        <v>0</v>
      </c>
      <c r="L238" s="164">
        <f t="shared" si="48"/>
        <v>0</v>
      </c>
      <c r="M238" s="164">
        <f t="shared" si="48"/>
        <v>0</v>
      </c>
      <c r="N238" s="164">
        <f t="shared" si="44"/>
        <v>0</v>
      </c>
      <c r="O238" s="164">
        <f t="shared" si="36"/>
        <v>0</v>
      </c>
      <c r="P238" s="164">
        <f t="shared" si="37"/>
        <v>0</v>
      </c>
      <c r="Q238" s="164">
        <f t="shared" si="38"/>
        <v>0</v>
      </c>
      <c r="R238" s="164">
        <f t="shared" si="47"/>
        <v>0</v>
      </c>
      <c r="S238" s="164">
        <f t="shared" si="39"/>
        <v>0</v>
      </c>
      <c r="T238" s="164">
        <f t="shared" si="40"/>
        <v>0</v>
      </c>
    </row>
    <row r="239" spans="2:20" x14ac:dyDescent="0.2">
      <c r="B239" s="171"/>
      <c r="D239" s="171"/>
      <c r="F239" s="158">
        <v>228</v>
      </c>
      <c r="G239" s="249">
        <f t="shared" si="41"/>
        <v>50586</v>
      </c>
      <c r="H239" s="158">
        <f t="shared" si="45"/>
        <v>30</v>
      </c>
      <c r="I239" s="254">
        <f>VLOOKUP(G239,'Прогноз переменной ставки'!$B$5:$E$304,4,1)</f>
        <v>9.9000000000000005E-2</v>
      </c>
      <c r="J239" s="164">
        <f t="shared" si="42"/>
        <v>0</v>
      </c>
      <c r="K239" s="164">
        <f t="shared" si="43"/>
        <v>0</v>
      </c>
      <c r="L239" s="164">
        <f t="shared" si="48"/>
        <v>0</v>
      </c>
      <c r="M239" s="164">
        <f t="shared" si="48"/>
        <v>0</v>
      </c>
      <c r="N239" s="164">
        <f t="shared" si="44"/>
        <v>0</v>
      </c>
      <c r="O239" s="164">
        <f t="shared" si="36"/>
        <v>0</v>
      </c>
      <c r="P239" s="164">
        <f t="shared" si="37"/>
        <v>0</v>
      </c>
      <c r="Q239" s="164">
        <f t="shared" si="38"/>
        <v>0</v>
      </c>
      <c r="R239" s="164">
        <f t="shared" si="47"/>
        <v>0</v>
      </c>
      <c r="S239" s="164">
        <f t="shared" si="39"/>
        <v>0</v>
      </c>
      <c r="T239" s="164">
        <f t="shared" si="40"/>
        <v>0</v>
      </c>
    </row>
    <row r="240" spans="2:20" x14ac:dyDescent="0.2">
      <c r="B240" s="171"/>
      <c r="D240" s="171"/>
      <c r="F240" s="158">
        <v>229</v>
      </c>
      <c r="G240" s="249">
        <f t="shared" si="41"/>
        <v>50617</v>
      </c>
      <c r="H240" s="158">
        <f t="shared" si="45"/>
        <v>31</v>
      </c>
      <c r="I240" s="254">
        <f>VLOOKUP(G240,'Прогноз переменной ставки'!$B$5:$E$304,4,1)</f>
        <v>9.9000000000000005E-2</v>
      </c>
      <c r="J240" s="164">
        <f t="shared" si="42"/>
        <v>0</v>
      </c>
      <c r="K240" s="164">
        <f t="shared" si="43"/>
        <v>0</v>
      </c>
      <c r="L240" s="164">
        <f t="shared" si="48"/>
        <v>0</v>
      </c>
      <c r="M240" s="164">
        <f t="shared" si="48"/>
        <v>0</v>
      </c>
      <c r="N240" s="164">
        <f t="shared" si="44"/>
        <v>0</v>
      </c>
      <c r="O240" s="164">
        <f t="shared" si="36"/>
        <v>0</v>
      </c>
      <c r="P240" s="164">
        <f t="shared" si="37"/>
        <v>0</v>
      </c>
      <c r="Q240" s="164">
        <f t="shared" si="38"/>
        <v>0</v>
      </c>
      <c r="R240" s="164">
        <f t="shared" si="47"/>
        <v>0</v>
      </c>
      <c r="S240" s="164">
        <f t="shared" si="39"/>
        <v>0</v>
      </c>
      <c r="T240" s="164">
        <f t="shared" si="40"/>
        <v>0</v>
      </c>
    </row>
    <row r="241" spans="2:20" x14ac:dyDescent="0.2">
      <c r="B241" s="171"/>
      <c r="D241" s="171"/>
      <c r="F241" s="158">
        <v>230</v>
      </c>
      <c r="G241" s="249">
        <f t="shared" si="41"/>
        <v>50648</v>
      </c>
      <c r="H241" s="158">
        <f t="shared" si="45"/>
        <v>31</v>
      </c>
      <c r="I241" s="254">
        <f>VLOOKUP(G241,'Прогноз переменной ставки'!$B$5:$E$304,4,1)</f>
        <v>9.9000000000000005E-2</v>
      </c>
      <c r="J241" s="164">
        <f t="shared" si="42"/>
        <v>0</v>
      </c>
      <c r="K241" s="164">
        <f t="shared" si="43"/>
        <v>0</v>
      </c>
      <c r="L241" s="164">
        <f t="shared" si="48"/>
        <v>0</v>
      </c>
      <c r="M241" s="164">
        <f t="shared" si="48"/>
        <v>0</v>
      </c>
      <c r="N241" s="164">
        <f t="shared" si="44"/>
        <v>0</v>
      </c>
      <c r="O241" s="164">
        <f t="shared" si="36"/>
        <v>0</v>
      </c>
      <c r="P241" s="164">
        <f t="shared" si="37"/>
        <v>0</v>
      </c>
      <c r="Q241" s="164">
        <f t="shared" si="38"/>
        <v>0</v>
      </c>
      <c r="R241" s="164">
        <f t="shared" si="47"/>
        <v>0</v>
      </c>
      <c r="S241" s="164">
        <f t="shared" si="39"/>
        <v>0</v>
      </c>
      <c r="T241" s="164">
        <f t="shared" si="40"/>
        <v>0</v>
      </c>
    </row>
    <row r="242" spans="2:20" x14ac:dyDescent="0.2">
      <c r="B242" s="171"/>
      <c r="D242" s="171"/>
      <c r="F242" s="158">
        <v>231</v>
      </c>
      <c r="G242" s="249">
        <f t="shared" si="41"/>
        <v>50678</v>
      </c>
      <c r="H242" s="158">
        <f t="shared" si="45"/>
        <v>30</v>
      </c>
      <c r="I242" s="254">
        <f>VLOOKUP(G242,'Прогноз переменной ставки'!$B$5:$E$304,4,1)</f>
        <v>9.9000000000000005E-2</v>
      </c>
      <c r="J242" s="164">
        <f t="shared" si="42"/>
        <v>0</v>
      </c>
      <c r="K242" s="164">
        <f t="shared" si="43"/>
        <v>0</v>
      </c>
      <c r="L242" s="164">
        <f t="shared" si="48"/>
        <v>0</v>
      </c>
      <c r="M242" s="164">
        <f t="shared" si="48"/>
        <v>0</v>
      </c>
      <c r="N242" s="164">
        <f t="shared" si="44"/>
        <v>0</v>
      </c>
      <c r="O242" s="164">
        <f t="shared" si="36"/>
        <v>0</v>
      </c>
      <c r="P242" s="164">
        <f t="shared" si="37"/>
        <v>0</v>
      </c>
      <c r="Q242" s="164">
        <f t="shared" si="38"/>
        <v>0</v>
      </c>
      <c r="R242" s="164">
        <f t="shared" si="47"/>
        <v>0</v>
      </c>
      <c r="S242" s="164">
        <f t="shared" si="39"/>
        <v>0</v>
      </c>
      <c r="T242" s="164">
        <f t="shared" si="40"/>
        <v>0</v>
      </c>
    </row>
    <row r="243" spans="2:20" x14ac:dyDescent="0.2">
      <c r="B243" s="171"/>
      <c r="D243" s="171"/>
      <c r="F243" s="158">
        <v>232</v>
      </c>
      <c r="G243" s="249">
        <f t="shared" si="41"/>
        <v>50709</v>
      </c>
      <c r="H243" s="158">
        <f t="shared" si="45"/>
        <v>31</v>
      </c>
      <c r="I243" s="254">
        <f>VLOOKUP(G243,'Прогноз переменной ставки'!$B$5:$E$304,4,1)</f>
        <v>9.9000000000000005E-2</v>
      </c>
      <c r="J243" s="164">
        <f t="shared" si="42"/>
        <v>0</v>
      </c>
      <c r="K243" s="164">
        <f t="shared" si="43"/>
        <v>0</v>
      </c>
      <c r="L243" s="164">
        <f t="shared" si="48"/>
        <v>0</v>
      </c>
      <c r="M243" s="164">
        <f t="shared" si="48"/>
        <v>0</v>
      </c>
      <c r="N243" s="164">
        <f t="shared" si="44"/>
        <v>0</v>
      </c>
      <c r="O243" s="164">
        <f t="shared" si="36"/>
        <v>0</v>
      </c>
      <c r="P243" s="164">
        <f t="shared" si="37"/>
        <v>0</v>
      </c>
      <c r="Q243" s="164">
        <f t="shared" si="38"/>
        <v>0</v>
      </c>
      <c r="R243" s="164">
        <f t="shared" si="47"/>
        <v>0</v>
      </c>
      <c r="S243" s="164">
        <f t="shared" si="39"/>
        <v>0</v>
      </c>
      <c r="T243" s="164">
        <f t="shared" si="40"/>
        <v>0</v>
      </c>
    </row>
    <row r="244" spans="2:20" x14ac:dyDescent="0.2">
      <c r="B244" s="171"/>
      <c r="D244" s="171"/>
      <c r="F244" s="158">
        <v>233</v>
      </c>
      <c r="G244" s="249">
        <f t="shared" si="41"/>
        <v>50739</v>
      </c>
      <c r="H244" s="158">
        <f t="shared" si="45"/>
        <v>30</v>
      </c>
      <c r="I244" s="254">
        <f>VLOOKUP(G244,'Прогноз переменной ставки'!$B$5:$E$304,4,1)</f>
        <v>9.9000000000000005E-2</v>
      </c>
      <c r="J244" s="164">
        <f t="shared" si="42"/>
        <v>0</v>
      </c>
      <c r="K244" s="164">
        <f t="shared" si="43"/>
        <v>0</v>
      </c>
      <c r="L244" s="164">
        <f t="shared" si="48"/>
        <v>0</v>
      </c>
      <c r="M244" s="164">
        <f t="shared" si="48"/>
        <v>0</v>
      </c>
      <c r="N244" s="164">
        <f t="shared" si="44"/>
        <v>0</v>
      </c>
      <c r="O244" s="164">
        <f t="shared" si="36"/>
        <v>0</v>
      </c>
      <c r="P244" s="164">
        <f t="shared" si="37"/>
        <v>0</v>
      </c>
      <c r="Q244" s="164">
        <f t="shared" si="38"/>
        <v>0</v>
      </c>
      <c r="R244" s="164">
        <f t="shared" si="47"/>
        <v>0</v>
      </c>
      <c r="S244" s="164">
        <f t="shared" si="39"/>
        <v>0</v>
      </c>
      <c r="T244" s="164">
        <f t="shared" si="40"/>
        <v>0</v>
      </c>
    </row>
    <row r="245" spans="2:20" x14ac:dyDescent="0.2">
      <c r="B245" s="171"/>
      <c r="D245" s="171"/>
      <c r="F245" s="158">
        <v>234</v>
      </c>
      <c r="G245" s="249">
        <f t="shared" si="41"/>
        <v>50770</v>
      </c>
      <c r="H245" s="158">
        <f t="shared" si="45"/>
        <v>31</v>
      </c>
      <c r="I245" s="254">
        <f>VLOOKUP(G245,'Прогноз переменной ставки'!$B$5:$E$304,4,1)</f>
        <v>9.9000000000000005E-2</v>
      </c>
      <c r="J245" s="164">
        <f t="shared" si="42"/>
        <v>0</v>
      </c>
      <c r="K245" s="164">
        <f t="shared" si="43"/>
        <v>0</v>
      </c>
      <c r="L245" s="164">
        <f t="shared" si="48"/>
        <v>0</v>
      </c>
      <c r="M245" s="164">
        <f t="shared" si="48"/>
        <v>0</v>
      </c>
      <c r="N245" s="164">
        <f t="shared" si="44"/>
        <v>0</v>
      </c>
      <c r="O245" s="164">
        <f t="shared" si="36"/>
        <v>0</v>
      </c>
      <c r="P245" s="164">
        <f t="shared" si="37"/>
        <v>0</v>
      </c>
      <c r="Q245" s="164">
        <f t="shared" si="38"/>
        <v>0</v>
      </c>
      <c r="R245" s="164">
        <f t="shared" si="47"/>
        <v>0</v>
      </c>
      <c r="S245" s="164">
        <f t="shared" si="39"/>
        <v>0</v>
      </c>
      <c r="T245" s="164">
        <f t="shared" si="40"/>
        <v>0</v>
      </c>
    </row>
    <row r="246" spans="2:20" x14ac:dyDescent="0.2">
      <c r="B246" s="171"/>
      <c r="D246" s="171"/>
      <c r="F246" s="158">
        <v>235</v>
      </c>
      <c r="G246" s="249">
        <f t="shared" si="41"/>
        <v>50801</v>
      </c>
      <c r="H246" s="158">
        <f t="shared" si="45"/>
        <v>31</v>
      </c>
      <c r="I246" s="254">
        <f>VLOOKUP(G246,'Прогноз переменной ставки'!$B$5:$E$304,4,1)</f>
        <v>9.9000000000000005E-2</v>
      </c>
      <c r="J246" s="164">
        <f t="shared" si="42"/>
        <v>0</v>
      </c>
      <c r="K246" s="164">
        <f t="shared" si="43"/>
        <v>0</v>
      </c>
      <c r="L246" s="164">
        <f t="shared" si="48"/>
        <v>0</v>
      </c>
      <c r="M246" s="164">
        <f t="shared" si="48"/>
        <v>0</v>
      </c>
      <c r="N246" s="164">
        <f t="shared" si="44"/>
        <v>0</v>
      </c>
      <c r="O246" s="164">
        <f t="shared" si="36"/>
        <v>0</v>
      </c>
      <c r="P246" s="164">
        <f t="shared" si="37"/>
        <v>0</v>
      </c>
      <c r="Q246" s="164">
        <f t="shared" si="38"/>
        <v>0</v>
      </c>
      <c r="R246" s="164">
        <f t="shared" si="47"/>
        <v>0</v>
      </c>
      <c r="S246" s="164">
        <f t="shared" si="39"/>
        <v>0</v>
      </c>
      <c r="T246" s="164">
        <f t="shared" si="40"/>
        <v>0</v>
      </c>
    </row>
    <row r="247" spans="2:20" x14ac:dyDescent="0.2">
      <c r="B247" s="171"/>
      <c r="D247" s="171"/>
      <c r="F247" s="158">
        <v>236</v>
      </c>
      <c r="G247" s="249">
        <f t="shared" si="41"/>
        <v>50829</v>
      </c>
      <c r="H247" s="158">
        <f t="shared" si="45"/>
        <v>28</v>
      </c>
      <c r="I247" s="254">
        <f>VLOOKUP(G247,'Прогноз переменной ставки'!$B$5:$E$304,4,1)</f>
        <v>9.9000000000000005E-2</v>
      </c>
      <c r="J247" s="164">
        <f t="shared" si="42"/>
        <v>0</v>
      </c>
      <c r="K247" s="164">
        <f t="shared" si="43"/>
        <v>0</v>
      </c>
      <c r="L247" s="164">
        <f t="shared" si="48"/>
        <v>0</v>
      </c>
      <c r="M247" s="164">
        <f t="shared" si="48"/>
        <v>0</v>
      </c>
      <c r="N247" s="164">
        <f t="shared" si="44"/>
        <v>0</v>
      </c>
      <c r="O247" s="164">
        <f t="shared" si="36"/>
        <v>0</v>
      </c>
      <c r="P247" s="164">
        <f t="shared" si="37"/>
        <v>0</v>
      </c>
      <c r="Q247" s="164">
        <f t="shared" si="38"/>
        <v>0</v>
      </c>
      <c r="R247" s="164">
        <f t="shared" si="47"/>
        <v>0</v>
      </c>
      <c r="S247" s="164">
        <f t="shared" si="39"/>
        <v>0</v>
      </c>
      <c r="T247" s="164">
        <f t="shared" si="40"/>
        <v>0</v>
      </c>
    </row>
    <row r="248" spans="2:20" x14ac:dyDescent="0.2">
      <c r="B248" s="171"/>
      <c r="D248" s="171"/>
      <c r="F248" s="158">
        <v>237</v>
      </c>
      <c r="G248" s="249">
        <f t="shared" si="41"/>
        <v>50860</v>
      </c>
      <c r="H248" s="158">
        <f t="shared" si="45"/>
        <v>31</v>
      </c>
      <c r="I248" s="254">
        <f>VLOOKUP(G248,'Прогноз переменной ставки'!$B$5:$E$304,4,1)</f>
        <v>9.9000000000000005E-2</v>
      </c>
      <c r="J248" s="164">
        <f t="shared" si="42"/>
        <v>0</v>
      </c>
      <c r="K248" s="164">
        <f t="shared" si="43"/>
        <v>0</v>
      </c>
      <c r="L248" s="164">
        <f t="shared" si="48"/>
        <v>0</v>
      </c>
      <c r="M248" s="164">
        <f t="shared" si="48"/>
        <v>0</v>
      </c>
      <c r="N248" s="164">
        <f t="shared" si="44"/>
        <v>0</v>
      </c>
      <c r="O248" s="164">
        <f t="shared" si="36"/>
        <v>0</v>
      </c>
      <c r="P248" s="164">
        <f t="shared" si="37"/>
        <v>0</v>
      </c>
      <c r="Q248" s="164">
        <f t="shared" si="38"/>
        <v>0</v>
      </c>
      <c r="R248" s="164">
        <f t="shared" si="47"/>
        <v>0</v>
      </c>
      <c r="S248" s="164">
        <f t="shared" si="39"/>
        <v>0</v>
      </c>
      <c r="T248" s="164">
        <f t="shared" si="40"/>
        <v>0</v>
      </c>
    </row>
    <row r="249" spans="2:20" x14ac:dyDescent="0.2">
      <c r="B249" s="171"/>
      <c r="D249" s="171"/>
      <c r="F249" s="158">
        <v>238</v>
      </c>
      <c r="G249" s="249">
        <f t="shared" si="41"/>
        <v>50890</v>
      </c>
      <c r="H249" s="158">
        <f t="shared" si="45"/>
        <v>30</v>
      </c>
      <c r="I249" s="254">
        <f>VLOOKUP(G249,'Прогноз переменной ставки'!$B$5:$E$304,4,1)</f>
        <v>9.9000000000000005E-2</v>
      </c>
      <c r="J249" s="164">
        <f t="shared" si="42"/>
        <v>0</v>
      </c>
      <c r="K249" s="164">
        <f t="shared" si="43"/>
        <v>0</v>
      </c>
      <c r="L249" s="164">
        <f t="shared" si="48"/>
        <v>0</v>
      </c>
      <c r="M249" s="164">
        <f t="shared" si="48"/>
        <v>0</v>
      </c>
      <c r="N249" s="164">
        <f t="shared" si="44"/>
        <v>0</v>
      </c>
      <c r="O249" s="164">
        <f t="shared" si="36"/>
        <v>0</v>
      </c>
      <c r="P249" s="164">
        <f t="shared" si="37"/>
        <v>0</v>
      </c>
      <c r="Q249" s="164">
        <f t="shared" si="38"/>
        <v>0</v>
      </c>
      <c r="R249" s="164">
        <f t="shared" si="47"/>
        <v>0</v>
      </c>
      <c r="S249" s="164">
        <f t="shared" si="39"/>
        <v>0</v>
      </c>
      <c r="T249" s="164">
        <f t="shared" si="40"/>
        <v>0</v>
      </c>
    </row>
    <row r="250" spans="2:20" x14ac:dyDescent="0.2">
      <c r="B250" s="171"/>
      <c r="D250" s="171"/>
      <c r="F250" s="158">
        <v>239</v>
      </c>
      <c r="G250" s="249">
        <f t="shared" si="41"/>
        <v>50921</v>
      </c>
      <c r="H250" s="158">
        <f t="shared" si="45"/>
        <v>31</v>
      </c>
      <c r="I250" s="254">
        <f>VLOOKUP(G250,'Прогноз переменной ставки'!$B$5:$E$304,4,1)</f>
        <v>9.9000000000000005E-2</v>
      </c>
      <c r="J250" s="164">
        <f t="shared" si="42"/>
        <v>0</v>
      </c>
      <c r="K250" s="164">
        <f t="shared" si="43"/>
        <v>0</v>
      </c>
      <c r="L250" s="164">
        <f t="shared" si="48"/>
        <v>0</v>
      </c>
      <c r="M250" s="164">
        <f t="shared" si="48"/>
        <v>0</v>
      </c>
      <c r="N250" s="164">
        <f t="shared" si="44"/>
        <v>0</v>
      </c>
      <c r="O250" s="164">
        <f t="shared" si="36"/>
        <v>0</v>
      </c>
      <c r="P250" s="164">
        <f t="shared" si="37"/>
        <v>0</v>
      </c>
      <c r="Q250" s="164">
        <f t="shared" si="38"/>
        <v>0</v>
      </c>
      <c r="R250" s="164">
        <f t="shared" si="47"/>
        <v>0</v>
      </c>
      <c r="S250" s="164">
        <f t="shared" si="39"/>
        <v>0</v>
      </c>
      <c r="T250" s="164">
        <f t="shared" si="40"/>
        <v>0</v>
      </c>
    </row>
    <row r="251" spans="2:20" x14ac:dyDescent="0.2">
      <c r="B251" s="171"/>
      <c r="D251" s="171"/>
      <c r="F251" s="158">
        <v>240</v>
      </c>
      <c r="G251" s="249">
        <f t="shared" si="41"/>
        <v>50951</v>
      </c>
      <c r="H251" s="158">
        <f t="shared" si="45"/>
        <v>30</v>
      </c>
      <c r="I251" s="254">
        <f>VLOOKUP(G251,'Прогноз переменной ставки'!$B$5:$E$304,4,1)</f>
        <v>9.9000000000000005E-2</v>
      </c>
      <c r="J251" s="164">
        <f t="shared" si="42"/>
        <v>0</v>
      </c>
      <c r="K251" s="164">
        <f t="shared" si="43"/>
        <v>0</v>
      </c>
      <c r="L251" s="164">
        <f t="shared" si="48"/>
        <v>0</v>
      </c>
      <c r="M251" s="164">
        <f t="shared" si="48"/>
        <v>0</v>
      </c>
      <c r="N251" s="164">
        <f t="shared" si="44"/>
        <v>0</v>
      </c>
      <c r="O251" s="164">
        <f t="shared" si="36"/>
        <v>0</v>
      </c>
      <c r="P251" s="164">
        <f t="shared" si="37"/>
        <v>0</v>
      </c>
      <c r="Q251" s="164">
        <f t="shared" si="38"/>
        <v>0</v>
      </c>
      <c r="R251" s="164">
        <f t="shared" si="47"/>
        <v>0</v>
      </c>
      <c r="S251" s="164">
        <f t="shared" si="39"/>
        <v>0</v>
      </c>
      <c r="T251" s="164">
        <f t="shared" si="40"/>
        <v>0</v>
      </c>
    </row>
    <row r="252" spans="2:20" x14ac:dyDescent="0.2">
      <c r="B252" s="171"/>
      <c r="D252" s="171"/>
      <c r="F252" s="158">
        <v>241</v>
      </c>
      <c r="G252" s="249">
        <f t="shared" si="41"/>
        <v>50982</v>
      </c>
      <c r="H252" s="158">
        <f t="shared" si="45"/>
        <v>31</v>
      </c>
      <c r="I252" s="254">
        <f>VLOOKUP(G252,'Прогноз переменной ставки'!$B$5:$E$304,4,1)</f>
        <v>9.9000000000000005E-2</v>
      </c>
      <c r="J252" s="164">
        <f t="shared" si="42"/>
        <v>0</v>
      </c>
      <c r="K252" s="164">
        <f t="shared" si="43"/>
        <v>0</v>
      </c>
      <c r="L252" s="164">
        <f t="shared" si="48"/>
        <v>0</v>
      </c>
      <c r="M252" s="164">
        <f t="shared" si="48"/>
        <v>0</v>
      </c>
      <c r="N252" s="164">
        <f t="shared" si="44"/>
        <v>0</v>
      </c>
      <c r="O252" s="164">
        <f t="shared" si="36"/>
        <v>0</v>
      </c>
      <c r="P252" s="164">
        <f t="shared" si="37"/>
        <v>0</v>
      </c>
      <c r="Q252" s="164">
        <f t="shared" si="38"/>
        <v>0</v>
      </c>
      <c r="R252" s="164">
        <f t="shared" si="47"/>
        <v>0</v>
      </c>
      <c r="S252" s="164">
        <f t="shared" si="39"/>
        <v>0</v>
      </c>
      <c r="T252" s="164">
        <f t="shared" si="40"/>
        <v>0</v>
      </c>
    </row>
    <row r="253" spans="2:20" x14ac:dyDescent="0.2">
      <c r="B253" s="171"/>
      <c r="D253" s="171"/>
      <c r="F253" s="158">
        <v>242</v>
      </c>
      <c r="G253" s="249">
        <f t="shared" si="41"/>
        <v>51013</v>
      </c>
      <c r="H253" s="158">
        <f t="shared" si="45"/>
        <v>31</v>
      </c>
      <c r="I253" s="254">
        <f>VLOOKUP(G253,'Прогноз переменной ставки'!$B$5:$E$304,4,1)</f>
        <v>9.9000000000000005E-2</v>
      </c>
      <c r="J253" s="164">
        <f t="shared" si="42"/>
        <v>0</v>
      </c>
      <c r="K253" s="164">
        <f t="shared" si="43"/>
        <v>0</v>
      </c>
      <c r="L253" s="164">
        <f t="shared" si="48"/>
        <v>0</v>
      </c>
      <c r="M253" s="164">
        <f t="shared" si="48"/>
        <v>0</v>
      </c>
      <c r="N253" s="164">
        <f t="shared" si="44"/>
        <v>0</v>
      </c>
      <c r="O253" s="164">
        <f t="shared" si="36"/>
        <v>0</v>
      </c>
      <c r="P253" s="164">
        <f t="shared" si="37"/>
        <v>0</v>
      </c>
      <c r="Q253" s="164">
        <f t="shared" si="38"/>
        <v>0</v>
      </c>
      <c r="R253" s="164">
        <f t="shared" si="47"/>
        <v>0</v>
      </c>
      <c r="S253" s="164">
        <f t="shared" si="39"/>
        <v>0</v>
      </c>
      <c r="T253" s="164">
        <f t="shared" si="40"/>
        <v>0</v>
      </c>
    </row>
    <row r="254" spans="2:20" x14ac:dyDescent="0.2">
      <c r="B254" s="171"/>
      <c r="D254" s="171"/>
      <c r="F254" s="158">
        <v>243</v>
      </c>
      <c r="G254" s="249">
        <f t="shared" si="41"/>
        <v>51043</v>
      </c>
      <c r="H254" s="158">
        <f t="shared" si="45"/>
        <v>30</v>
      </c>
      <c r="I254" s="254">
        <f>VLOOKUP(G254,'Прогноз переменной ставки'!$B$5:$E$304,4,1)</f>
        <v>9.9000000000000005E-2</v>
      </c>
      <c r="J254" s="164">
        <f t="shared" si="42"/>
        <v>0</v>
      </c>
      <c r="K254" s="164">
        <f t="shared" si="43"/>
        <v>0</v>
      </c>
      <c r="L254" s="164">
        <f t="shared" si="48"/>
        <v>0</v>
      </c>
      <c r="M254" s="164">
        <f t="shared" si="48"/>
        <v>0</v>
      </c>
      <c r="N254" s="164">
        <f t="shared" si="44"/>
        <v>0</v>
      </c>
      <c r="O254" s="164">
        <f t="shared" si="36"/>
        <v>0</v>
      </c>
      <c r="P254" s="164">
        <f t="shared" si="37"/>
        <v>0</v>
      </c>
      <c r="Q254" s="164">
        <f t="shared" si="38"/>
        <v>0</v>
      </c>
      <c r="R254" s="164">
        <f t="shared" si="47"/>
        <v>0</v>
      </c>
      <c r="S254" s="164">
        <f t="shared" si="39"/>
        <v>0</v>
      </c>
      <c r="T254" s="164">
        <f t="shared" si="40"/>
        <v>0</v>
      </c>
    </row>
    <row r="255" spans="2:20" x14ac:dyDescent="0.2">
      <c r="B255" s="171"/>
      <c r="D255" s="171"/>
      <c r="F255" s="158">
        <v>244</v>
      </c>
      <c r="G255" s="249">
        <f t="shared" si="41"/>
        <v>51074</v>
      </c>
      <c r="H255" s="158">
        <f t="shared" si="45"/>
        <v>31</v>
      </c>
      <c r="I255" s="254">
        <f>VLOOKUP(G255,'Прогноз переменной ставки'!$B$5:$E$304,4,1)</f>
        <v>9.9000000000000005E-2</v>
      </c>
      <c r="J255" s="164">
        <f t="shared" si="42"/>
        <v>0</v>
      </c>
      <c r="K255" s="164">
        <f t="shared" si="43"/>
        <v>0</v>
      </c>
      <c r="L255" s="164">
        <f t="shared" si="48"/>
        <v>0</v>
      </c>
      <c r="M255" s="164">
        <f t="shared" si="48"/>
        <v>0</v>
      </c>
      <c r="N255" s="164">
        <f t="shared" si="44"/>
        <v>0</v>
      </c>
      <c r="O255" s="164">
        <f t="shared" si="36"/>
        <v>0</v>
      </c>
      <c r="P255" s="164">
        <f t="shared" si="37"/>
        <v>0</v>
      </c>
      <c r="Q255" s="164">
        <f t="shared" si="38"/>
        <v>0</v>
      </c>
      <c r="R255" s="164">
        <f t="shared" si="47"/>
        <v>0</v>
      </c>
      <c r="S255" s="164">
        <f t="shared" si="39"/>
        <v>0</v>
      </c>
      <c r="T255" s="164">
        <f t="shared" si="40"/>
        <v>0</v>
      </c>
    </row>
    <row r="256" spans="2:20" x14ac:dyDescent="0.2">
      <c r="B256" s="171"/>
      <c r="D256" s="171"/>
      <c r="F256" s="158">
        <v>245</v>
      </c>
      <c r="G256" s="249">
        <f t="shared" si="41"/>
        <v>51104</v>
      </c>
      <c r="H256" s="158">
        <f t="shared" si="45"/>
        <v>30</v>
      </c>
      <c r="I256" s="254">
        <f>VLOOKUP(G256,'Прогноз переменной ставки'!$B$5:$E$304,4,1)</f>
        <v>9.9000000000000005E-2</v>
      </c>
      <c r="J256" s="164">
        <f t="shared" si="42"/>
        <v>0</v>
      </c>
      <c r="K256" s="164">
        <f t="shared" si="43"/>
        <v>0</v>
      </c>
      <c r="L256" s="164">
        <f t="shared" si="48"/>
        <v>0</v>
      </c>
      <c r="M256" s="164">
        <f t="shared" si="48"/>
        <v>0</v>
      </c>
      <c r="N256" s="164">
        <f t="shared" si="44"/>
        <v>0</v>
      </c>
      <c r="O256" s="164">
        <f t="shared" si="36"/>
        <v>0</v>
      </c>
      <c r="P256" s="164">
        <f t="shared" si="37"/>
        <v>0</v>
      </c>
      <c r="Q256" s="164">
        <f t="shared" si="38"/>
        <v>0</v>
      </c>
      <c r="R256" s="164">
        <f t="shared" si="47"/>
        <v>0</v>
      </c>
      <c r="S256" s="164">
        <f t="shared" si="39"/>
        <v>0</v>
      </c>
      <c r="T256" s="164">
        <f t="shared" si="40"/>
        <v>0</v>
      </c>
    </row>
    <row r="257" spans="2:20" x14ac:dyDescent="0.2">
      <c r="B257" s="171"/>
      <c r="D257" s="171"/>
      <c r="F257" s="158">
        <v>246</v>
      </c>
      <c r="G257" s="249">
        <f t="shared" si="41"/>
        <v>51135</v>
      </c>
      <c r="H257" s="158">
        <f t="shared" si="45"/>
        <v>31</v>
      </c>
      <c r="I257" s="254">
        <f>VLOOKUP(G257,'Прогноз переменной ставки'!$B$5:$E$304,4,1)</f>
        <v>9.9000000000000005E-2</v>
      </c>
      <c r="J257" s="164">
        <f t="shared" si="42"/>
        <v>0</v>
      </c>
      <c r="K257" s="164">
        <f t="shared" si="43"/>
        <v>0</v>
      </c>
      <c r="L257" s="164">
        <f t="shared" si="48"/>
        <v>0</v>
      </c>
      <c r="M257" s="164">
        <f t="shared" si="48"/>
        <v>0</v>
      </c>
      <c r="N257" s="164">
        <f t="shared" si="44"/>
        <v>0</v>
      </c>
      <c r="O257" s="164">
        <f t="shared" si="36"/>
        <v>0</v>
      </c>
      <c r="P257" s="164">
        <f t="shared" si="37"/>
        <v>0</v>
      </c>
      <c r="Q257" s="164">
        <f t="shared" si="38"/>
        <v>0</v>
      </c>
      <c r="R257" s="164">
        <f t="shared" si="47"/>
        <v>0</v>
      </c>
      <c r="S257" s="164">
        <f t="shared" si="39"/>
        <v>0</v>
      </c>
      <c r="T257" s="164">
        <f t="shared" si="40"/>
        <v>0</v>
      </c>
    </row>
    <row r="258" spans="2:20" x14ac:dyDescent="0.2">
      <c r="B258" s="171"/>
      <c r="D258" s="171"/>
      <c r="F258" s="158">
        <v>247</v>
      </c>
      <c r="G258" s="249">
        <f t="shared" si="41"/>
        <v>51166</v>
      </c>
      <c r="H258" s="158">
        <f t="shared" si="45"/>
        <v>31</v>
      </c>
      <c r="I258" s="254">
        <f>VLOOKUP(G258,'Прогноз переменной ставки'!$B$5:$E$304,4,1)</f>
        <v>9.9000000000000005E-2</v>
      </c>
      <c r="J258" s="164">
        <f t="shared" si="42"/>
        <v>0</v>
      </c>
      <c r="K258" s="164">
        <f t="shared" si="43"/>
        <v>0</v>
      </c>
      <c r="L258" s="164">
        <f t="shared" si="48"/>
        <v>0</v>
      </c>
      <c r="M258" s="164">
        <f t="shared" si="48"/>
        <v>0</v>
      </c>
      <c r="N258" s="164">
        <f t="shared" si="44"/>
        <v>0</v>
      </c>
      <c r="O258" s="164">
        <f t="shared" si="36"/>
        <v>0</v>
      </c>
      <c r="P258" s="164">
        <f t="shared" si="37"/>
        <v>0</v>
      </c>
      <c r="Q258" s="164">
        <f t="shared" si="38"/>
        <v>0</v>
      </c>
      <c r="R258" s="164">
        <f t="shared" si="47"/>
        <v>0</v>
      </c>
      <c r="S258" s="164">
        <f t="shared" si="39"/>
        <v>0</v>
      </c>
      <c r="T258" s="164">
        <f t="shared" si="40"/>
        <v>0</v>
      </c>
    </row>
    <row r="259" spans="2:20" x14ac:dyDescent="0.2">
      <c r="B259" s="171"/>
      <c r="D259" s="171"/>
      <c r="F259" s="158">
        <v>248</v>
      </c>
      <c r="G259" s="249">
        <f t="shared" si="41"/>
        <v>51195</v>
      </c>
      <c r="H259" s="158">
        <f t="shared" si="45"/>
        <v>29</v>
      </c>
      <c r="I259" s="254">
        <f>VLOOKUP(G259,'Прогноз переменной ставки'!$B$5:$E$304,4,1)</f>
        <v>9.9000000000000005E-2</v>
      </c>
      <c r="J259" s="164">
        <f t="shared" si="42"/>
        <v>0</v>
      </c>
      <c r="K259" s="164">
        <f t="shared" si="43"/>
        <v>0</v>
      </c>
      <c r="L259" s="164">
        <f t="shared" si="48"/>
        <v>0</v>
      </c>
      <c r="M259" s="164">
        <f t="shared" si="48"/>
        <v>0</v>
      </c>
      <c r="N259" s="164">
        <f t="shared" si="44"/>
        <v>0</v>
      </c>
      <c r="O259" s="164">
        <f t="shared" si="36"/>
        <v>0</v>
      </c>
      <c r="P259" s="164">
        <f t="shared" si="37"/>
        <v>0</v>
      </c>
      <c r="Q259" s="164">
        <f t="shared" si="38"/>
        <v>0</v>
      </c>
      <c r="R259" s="164">
        <f t="shared" si="47"/>
        <v>0</v>
      </c>
      <c r="S259" s="164">
        <f t="shared" si="39"/>
        <v>0</v>
      </c>
      <c r="T259" s="164">
        <f t="shared" si="40"/>
        <v>0</v>
      </c>
    </row>
    <row r="260" spans="2:20" x14ac:dyDescent="0.2">
      <c r="B260" s="171"/>
      <c r="D260" s="171"/>
      <c r="F260" s="158">
        <v>249</v>
      </c>
      <c r="G260" s="249">
        <f t="shared" si="41"/>
        <v>51226</v>
      </c>
      <c r="H260" s="158">
        <f t="shared" si="45"/>
        <v>31</v>
      </c>
      <c r="I260" s="254">
        <f>VLOOKUP(G260,'Прогноз переменной ставки'!$B$5:$E$304,4,1)</f>
        <v>9.9000000000000005E-2</v>
      </c>
      <c r="J260" s="164">
        <f t="shared" si="42"/>
        <v>0</v>
      </c>
      <c r="K260" s="164">
        <f t="shared" si="43"/>
        <v>0</v>
      </c>
      <c r="L260" s="164">
        <f t="shared" si="48"/>
        <v>0</v>
      </c>
      <c r="M260" s="164">
        <f t="shared" si="48"/>
        <v>0</v>
      </c>
      <c r="N260" s="164">
        <f t="shared" si="44"/>
        <v>0</v>
      </c>
      <c r="O260" s="164">
        <f t="shared" si="36"/>
        <v>0</v>
      </c>
      <c r="P260" s="164">
        <f t="shared" si="37"/>
        <v>0</v>
      </c>
      <c r="Q260" s="164">
        <f t="shared" si="38"/>
        <v>0</v>
      </c>
      <c r="R260" s="164">
        <f t="shared" si="47"/>
        <v>0</v>
      </c>
      <c r="S260" s="164">
        <f t="shared" si="39"/>
        <v>0</v>
      </c>
      <c r="T260" s="164">
        <f t="shared" si="40"/>
        <v>0</v>
      </c>
    </row>
    <row r="261" spans="2:20" x14ac:dyDescent="0.2">
      <c r="B261" s="171"/>
      <c r="D261" s="171"/>
      <c r="F261" s="158">
        <v>250</v>
      </c>
      <c r="G261" s="249">
        <f t="shared" si="41"/>
        <v>51256</v>
      </c>
      <c r="H261" s="158">
        <f t="shared" si="45"/>
        <v>30</v>
      </c>
      <c r="I261" s="254">
        <f>VLOOKUP(G261,'Прогноз переменной ставки'!$B$5:$E$304,4,1)</f>
        <v>9.9000000000000005E-2</v>
      </c>
      <c r="J261" s="164">
        <f t="shared" si="42"/>
        <v>0</v>
      </c>
      <c r="K261" s="164">
        <f t="shared" si="43"/>
        <v>0</v>
      </c>
      <c r="L261" s="164">
        <f t="shared" si="48"/>
        <v>0</v>
      </c>
      <c r="M261" s="164">
        <f t="shared" si="48"/>
        <v>0</v>
      </c>
      <c r="N261" s="164">
        <f t="shared" si="44"/>
        <v>0</v>
      </c>
      <c r="O261" s="164">
        <f t="shared" si="36"/>
        <v>0</v>
      </c>
      <c r="P261" s="164">
        <f t="shared" si="37"/>
        <v>0</v>
      </c>
      <c r="Q261" s="164">
        <f t="shared" si="38"/>
        <v>0</v>
      </c>
      <c r="R261" s="164">
        <f t="shared" si="47"/>
        <v>0</v>
      </c>
      <c r="S261" s="164">
        <f t="shared" si="39"/>
        <v>0</v>
      </c>
      <c r="T261" s="164">
        <f t="shared" si="40"/>
        <v>0</v>
      </c>
    </row>
    <row r="262" spans="2:20" x14ac:dyDescent="0.2">
      <c r="B262" s="171"/>
      <c r="D262" s="171"/>
      <c r="F262" s="158">
        <v>251</v>
      </c>
      <c r="G262" s="249">
        <f t="shared" si="41"/>
        <v>51287</v>
      </c>
      <c r="H262" s="158">
        <f t="shared" si="45"/>
        <v>31</v>
      </c>
      <c r="I262" s="254">
        <f>VLOOKUP(G262,'Прогноз переменной ставки'!$B$5:$E$304,4,1)</f>
        <v>9.9000000000000005E-2</v>
      </c>
      <c r="J262" s="164">
        <f t="shared" si="42"/>
        <v>0</v>
      </c>
      <c r="K262" s="164">
        <f t="shared" si="43"/>
        <v>0</v>
      </c>
      <c r="L262" s="164">
        <f t="shared" si="48"/>
        <v>0</v>
      </c>
      <c r="M262" s="164">
        <f t="shared" si="48"/>
        <v>0</v>
      </c>
      <c r="N262" s="164">
        <f t="shared" si="44"/>
        <v>0</v>
      </c>
      <c r="O262" s="164">
        <f t="shared" si="36"/>
        <v>0</v>
      </c>
      <c r="P262" s="164">
        <f t="shared" si="37"/>
        <v>0</v>
      </c>
      <c r="Q262" s="164">
        <f t="shared" si="38"/>
        <v>0</v>
      </c>
      <c r="R262" s="164">
        <f t="shared" si="47"/>
        <v>0</v>
      </c>
      <c r="S262" s="164">
        <f t="shared" si="39"/>
        <v>0</v>
      </c>
      <c r="T262" s="164">
        <f t="shared" si="40"/>
        <v>0</v>
      </c>
    </row>
    <row r="263" spans="2:20" x14ac:dyDescent="0.2">
      <c r="B263" s="171"/>
      <c r="D263" s="171"/>
      <c r="F263" s="158">
        <v>252</v>
      </c>
      <c r="G263" s="249">
        <f t="shared" si="41"/>
        <v>51317</v>
      </c>
      <c r="H263" s="158">
        <f t="shared" si="45"/>
        <v>30</v>
      </c>
      <c r="I263" s="254">
        <f>VLOOKUP(G263,'Прогноз переменной ставки'!$B$5:$E$304,4,1)</f>
        <v>9.9000000000000005E-2</v>
      </c>
      <c r="J263" s="164">
        <f t="shared" si="42"/>
        <v>0</v>
      </c>
      <c r="K263" s="164">
        <f t="shared" si="43"/>
        <v>0</v>
      </c>
      <c r="L263" s="164">
        <f t="shared" si="48"/>
        <v>0</v>
      </c>
      <c r="M263" s="164">
        <f t="shared" si="48"/>
        <v>0</v>
      </c>
      <c r="N263" s="164">
        <f t="shared" si="44"/>
        <v>0</v>
      </c>
      <c r="O263" s="164">
        <f t="shared" si="36"/>
        <v>0</v>
      </c>
      <c r="P263" s="164">
        <f t="shared" si="37"/>
        <v>0</v>
      </c>
      <c r="Q263" s="164">
        <f t="shared" si="38"/>
        <v>0</v>
      </c>
      <c r="R263" s="164">
        <f t="shared" si="47"/>
        <v>0</v>
      </c>
      <c r="S263" s="164">
        <f t="shared" si="39"/>
        <v>0</v>
      </c>
      <c r="T263" s="164">
        <f t="shared" si="40"/>
        <v>0</v>
      </c>
    </row>
    <row r="264" spans="2:20" x14ac:dyDescent="0.2">
      <c r="F264" s="158">
        <v>253</v>
      </c>
      <c r="G264" s="249">
        <f t="shared" si="41"/>
        <v>51348</v>
      </c>
      <c r="H264" s="158">
        <f t="shared" si="45"/>
        <v>31</v>
      </c>
      <c r="I264" s="254">
        <f>VLOOKUP(G264,'Прогноз переменной ставки'!$B$5:$E$304,4,1)</f>
        <v>9.9000000000000005E-2</v>
      </c>
      <c r="J264" s="164">
        <f t="shared" si="42"/>
        <v>0</v>
      </c>
      <c r="K264" s="164">
        <f t="shared" si="43"/>
        <v>0</v>
      </c>
      <c r="L264" s="164">
        <f t="shared" si="48"/>
        <v>0</v>
      </c>
      <c r="M264" s="164">
        <f t="shared" si="48"/>
        <v>0</v>
      </c>
      <c r="N264" s="164">
        <f t="shared" si="44"/>
        <v>0</v>
      </c>
      <c r="O264" s="164">
        <f t="shared" si="36"/>
        <v>0</v>
      </c>
      <c r="P264" s="164">
        <f t="shared" si="37"/>
        <v>0</v>
      </c>
      <c r="Q264" s="164">
        <f t="shared" si="38"/>
        <v>0</v>
      </c>
      <c r="R264" s="164">
        <f t="shared" si="47"/>
        <v>0</v>
      </c>
      <c r="S264" s="164">
        <f t="shared" si="39"/>
        <v>0</v>
      </c>
      <c r="T264" s="164">
        <f t="shared" si="40"/>
        <v>0</v>
      </c>
    </row>
    <row r="265" spans="2:20" x14ac:dyDescent="0.2">
      <c r="F265" s="158">
        <v>254</v>
      </c>
      <c r="G265" s="249">
        <f t="shared" si="41"/>
        <v>51379</v>
      </c>
      <c r="H265" s="158">
        <f t="shared" si="45"/>
        <v>31</v>
      </c>
      <c r="I265" s="254">
        <f>VLOOKUP(G265,'Прогноз переменной ставки'!$B$5:$E$304,4,1)</f>
        <v>9.9000000000000005E-2</v>
      </c>
      <c r="J265" s="164">
        <f t="shared" si="42"/>
        <v>0</v>
      </c>
      <c r="K265" s="164">
        <f t="shared" si="43"/>
        <v>0</v>
      </c>
      <c r="L265" s="164">
        <f t="shared" si="48"/>
        <v>0</v>
      </c>
      <c r="M265" s="164">
        <f t="shared" si="48"/>
        <v>0</v>
      </c>
      <c r="N265" s="164">
        <f t="shared" si="44"/>
        <v>0</v>
      </c>
      <c r="O265" s="164">
        <f t="shared" si="36"/>
        <v>0</v>
      </c>
      <c r="P265" s="164">
        <f t="shared" si="37"/>
        <v>0</v>
      </c>
      <c r="Q265" s="164">
        <f t="shared" si="38"/>
        <v>0</v>
      </c>
      <c r="R265" s="164">
        <f t="shared" si="47"/>
        <v>0</v>
      </c>
      <c r="S265" s="164">
        <f t="shared" si="39"/>
        <v>0</v>
      </c>
      <c r="T265" s="164">
        <f t="shared" si="40"/>
        <v>0</v>
      </c>
    </row>
    <row r="266" spans="2:20" x14ac:dyDescent="0.2">
      <c r="F266" s="158">
        <v>255</v>
      </c>
      <c r="G266" s="249">
        <f t="shared" si="41"/>
        <v>51409</v>
      </c>
      <c r="H266" s="158">
        <f t="shared" si="45"/>
        <v>30</v>
      </c>
      <c r="I266" s="254">
        <f>VLOOKUP(G266,'Прогноз переменной ставки'!$B$5:$E$304,4,1)</f>
        <v>9.9000000000000005E-2</v>
      </c>
      <c r="J266" s="164">
        <f t="shared" si="42"/>
        <v>0</v>
      </c>
      <c r="K266" s="164">
        <f t="shared" si="43"/>
        <v>0</v>
      </c>
      <c r="L266" s="164">
        <f t="shared" si="48"/>
        <v>0</v>
      </c>
      <c r="M266" s="164">
        <f t="shared" si="48"/>
        <v>0</v>
      </c>
      <c r="N266" s="164">
        <f t="shared" si="44"/>
        <v>0</v>
      </c>
      <c r="O266" s="164">
        <f t="shared" si="36"/>
        <v>0</v>
      </c>
      <c r="P266" s="164">
        <f t="shared" si="37"/>
        <v>0</v>
      </c>
      <c r="Q266" s="164">
        <f t="shared" si="38"/>
        <v>0</v>
      </c>
      <c r="R266" s="164">
        <f t="shared" si="47"/>
        <v>0</v>
      </c>
      <c r="S266" s="164">
        <f t="shared" si="39"/>
        <v>0</v>
      </c>
      <c r="T266" s="164">
        <f t="shared" si="40"/>
        <v>0</v>
      </c>
    </row>
    <row r="267" spans="2:20" x14ac:dyDescent="0.2">
      <c r="F267" s="158">
        <v>256</v>
      </c>
      <c r="G267" s="249">
        <f t="shared" si="41"/>
        <v>51440</v>
      </c>
      <c r="H267" s="158">
        <f t="shared" si="45"/>
        <v>31</v>
      </c>
      <c r="I267" s="254">
        <f>VLOOKUP(G267,'Прогноз переменной ставки'!$B$5:$E$304,4,1)</f>
        <v>9.9000000000000005E-2</v>
      </c>
      <c r="J267" s="164">
        <f t="shared" si="42"/>
        <v>0</v>
      </c>
      <c r="K267" s="164">
        <f t="shared" si="43"/>
        <v>0</v>
      </c>
      <c r="L267" s="164">
        <f t="shared" si="48"/>
        <v>0</v>
      </c>
      <c r="M267" s="164">
        <f t="shared" si="48"/>
        <v>0</v>
      </c>
      <c r="N267" s="164">
        <f t="shared" si="44"/>
        <v>0</v>
      </c>
      <c r="O267" s="164">
        <f t="shared" si="36"/>
        <v>0</v>
      </c>
      <c r="P267" s="164">
        <f t="shared" si="37"/>
        <v>0</v>
      </c>
      <c r="Q267" s="164">
        <f t="shared" si="38"/>
        <v>0</v>
      </c>
      <c r="R267" s="164">
        <f t="shared" si="47"/>
        <v>0</v>
      </c>
      <c r="S267" s="164">
        <f t="shared" si="39"/>
        <v>0</v>
      </c>
      <c r="T267" s="164">
        <f t="shared" si="40"/>
        <v>0</v>
      </c>
    </row>
    <row r="268" spans="2:20" x14ac:dyDescent="0.2">
      <c r="F268" s="158">
        <v>257</v>
      </c>
      <c r="G268" s="249">
        <f t="shared" si="41"/>
        <v>51470</v>
      </c>
      <c r="H268" s="158">
        <f t="shared" si="45"/>
        <v>30</v>
      </c>
      <c r="I268" s="254">
        <f>VLOOKUP(G268,'Прогноз переменной ставки'!$B$5:$E$304,4,1)</f>
        <v>9.9000000000000005E-2</v>
      </c>
      <c r="J268" s="164">
        <f t="shared" si="42"/>
        <v>0</v>
      </c>
      <c r="K268" s="164">
        <f t="shared" si="43"/>
        <v>0</v>
      </c>
      <c r="L268" s="164">
        <f t="shared" si="48"/>
        <v>0</v>
      </c>
      <c r="M268" s="164">
        <f t="shared" si="48"/>
        <v>0</v>
      </c>
      <c r="N268" s="164">
        <f t="shared" si="44"/>
        <v>0</v>
      </c>
      <c r="O268" s="164">
        <f t="shared" ref="O268:O311" si="49">MIN(J268-Q268-P268,L268)</f>
        <v>0</v>
      </c>
      <c r="P268" s="164">
        <f t="shared" ref="P268:P311" si="50">MIN(J268-Q268,N268)</f>
        <v>0</v>
      </c>
      <c r="Q268" s="164">
        <f t="shared" ref="Q268:Q311" si="51">MIN(J268,M268)</f>
        <v>0</v>
      </c>
      <c r="R268" s="164">
        <f t="shared" si="47"/>
        <v>0</v>
      </c>
      <c r="S268" s="164">
        <f t="shared" ref="S268:S311" si="52">L268-O268</f>
        <v>0</v>
      </c>
      <c r="T268" s="164">
        <f t="shared" ref="T268:T311" si="53">M268+R268-Q268</f>
        <v>0</v>
      </c>
    </row>
    <row r="269" spans="2:20" x14ac:dyDescent="0.2">
      <c r="F269" s="158">
        <v>258</v>
      </c>
      <c r="G269" s="249">
        <f t="shared" ref="G269:G311" si="54">EOMONTH($D$9,F269-1)</f>
        <v>51501</v>
      </c>
      <c r="H269" s="158">
        <f t="shared" si="45"/>
        <v>31</v>
      </c>
      <c r="I269" s="254">
        <f>VLOOKUP(G269,'Прогноз переменной ставки'!$B$5:$E$304,4,1)</f>
        <v>9.9000000000000005E-2</v>
      </c>
      <c r="J269" s="164">
        <f t="shared" ref="J269:J311" si="55">IF(F269=$D$4,K269+N269,MIN($D$5,K269+N269))</f>
        <v>0</v>
      </c>
      <c r="K269" s="164">
        <f t="shared" ref="K269:K311" si="56">L269+M269</f>
        <v>0</v>
      </c>
      <c r="L269" s="164">
        <f t="shared" si="48"/>
        <v>0</v>
      </c>
      <c r="M269" s="164">
        <f t="shared" si="48"/>
        <v>0</v>
      </c>
      <c r="N269" s="164">
        <f t="shared" ref="N269:N311" si="57">L269*I269/365.25*H269</f>
        <v>0</v>
      </c>
      <c r="O269" s="164">
        <f t="shared" si="49"/>
        <v>0</v>
      </c>
      <c r="P269" s="164">
        <f t="shared" si="50"/>
        <v>0</v>
      </c>
      <c r="Q269" s="164">
        <f t="shared" si="51"/>
        <v>0</v>
      </c>
      <c r="R269" s="164">
        <f t="shared" si="47"/>
        <v>0</v>
      </c>
      <c r="S269" s="164">
        <f t="shared" si="52"/>
        <v>0</v>
      </c>
      <c r="T269" s="164">
        <f t="shared" si="53"/>
        <v>0</v>
      </c>
    </row>
    <row r="270" spans="2:20" x14ac:dyDescent="0.2">
      <c r="F270" s="158">
        <v>259</v>
      </c>
      <c r="G270" s="249">
        <f t="shared" si="54"/>
        <v>51532</v>
      </c>
      <c r="H270" s="158">
        <f t="shared" ref="H270:H311" si="58">G270-G269</f>
        <v>31</v>
      </c>
      <c r="I270" s="254">
        <f>VLOOKUP(G270,'Прогноз переменной ставки'!$B$5:$E$304,4,1)</f>
        <v>9.9000000000000005E-2</v>
      </c>
      <c r="J270" s="164">
        <f t="shared" si="55"/>
        <v>0</v>
      </c>
      <c r="K270" s="164">
        <f t="shared" si="56"/>
        <v>0</v>
      </c>
      <c r="L270" s="164">
        <f t="shared" si="48"/>
        <v>0</v>
      </c>
      <c r="M270" s="164">
        <f t="shared" si="48"/>
        <v>0</v>
      </c>
      <c r="N270" s="164">
        <f t="shared" si="57"/>
        <v>0</v>
      </c>
      <c r="O270" s="164">
        <f t="shared" si="49"/>
        <v>0</v>
      </c>
      <c r="P270" s="164">
        <f t="shared" si="50"/>
        <v>0</v>
      </c>
      <c r="Q270" s="164">
        <f t="shared" si="51"/>
        <v>0</v>
      </c>
      <c r="R270" s="164">
        <f t="shared" ref="R270:R311" si="59">MAX(N270-P270,0)</f>
        <v>0</v>
      </c>
      <c r="S270" s="164">
        <f t="shared" si="52"/>
        <v>0</v>
      </c>
      <c r="T270" s="164">
        <f t="shared" si="53"/>
        <v>0</v>
      </c>
    </row>
    <row r="271" spans="2:20" x14ac:dyDescent="0.2">
      <c r="F271" s="158">
        <v>260</v>
      </c>
      <c r="G271" s="249">
        <f t="shared" si="54"/>
        <v>51560</v>
      </c>
      <c r="H271" s="158">
        <f t="shared" si="58"/>
        <v>28</v>
      </c>
      <c r="I271" s="254">
        <f>VLOOKUP(G271,'Прогноз переменной ставки'!$B$5:$E$304,4,1)</f>
        <v>9.9000000000000005E-2</v>
      </c>
      <c r="J271" s="164">
        <f t="shared" si="55"/>
        <v>0</v>
      </c>
      <c r="K271" s="164">
        <f t="shared" si="56"/>
        <v>0</v>
      </c>
      <c r="L271" s="164">
        <f t="shared" si="48"/>
        <v>0</v>
      </c>
      <c r="M271" s="164">
        <f t="shared" si="48"/>
        <v>0</v>
      </c>
      <c r="N271" s="164">
        <f t="shared" si="57"/>
        <v>0</v>
      </c>
      <c r="O271" s="164">
        <f t="shared" si="49"/>
        <v>0</v>
      </c>
      <c r="P271" s="164">
        <f t="shared" si="50"/>
        <v>0</v>
      </c>
      <c r="Q271" s="164">
        <f t="shared" si="51"/>
        <v>0</v>
      </c>
      <c r="R271" s="164">
        <f t="shared" si="59"/>
        <v>0</v>
      </c>
      <c r="S271" s="164">
        <f t="shared" si="52"/>
        <v>0</v>
      </c>
      <c r="T271" s="164">
        <f t="shared" si="53"/>
        <v>0</v>
      </c>
    </row>
    <row r="272" spans="2:20" x14ac:dyDescent="0.2">
      <c r="F272" s="158">
        <v>261</v>
      </c>
      <c r="G272" s="249">
        <f t="shared" si="54"/>
        <v>51591</v>
      </c>
      <c r="H272" s="158">
        <f t="shared" si="58"/>
        <v>31</v>
      </c>
      <c r="I272" s="254">
        <f>VLOOKUP(G272,'Прогноз переменной ставки'!$B$5:$E$304,4,1)</f>
        <v>9.9000000000000005E-2</v>
      </c>
      <c r="J272" s="164">
        <f t="shared" si="55"/>
        <v>0</v>
      </c>
      <c r="K272" s="164">
        <f t="shared" si="56"/>
        <v>0</v>
      </c>
      <c r="L272" s="164">
        <f t="shared" si="48"/>
        <v>0</v>
      </c>
      <c r="M272" s="164">
        <f t="shared" si="48"/>
        <v>0</v>
      </c>
      <c r="N272" s="164">
        <f t="shared" si="57"/>
        <v>0</v>
      </c>
      <c r="O272" s="164">
        <f t="shared" si="49"/>
        <v>0</v>
      </c>
      <c r="P272" s="164">
        <f t="shared" si="50"/>
        <v>0</v>
      </c>
      <c r="Q272" s="164">
        <f t="shared" si="51"/>
        <v>0</v>
      </c>
      <c r="R272" s="164">
        <f t="shared" si="59"/>
        <v>0</v>
      </c>
      <c r="S272" s="164">
        <f t="shared" si="52"/>
        <v>0</v>
      </c>
      <c r="T272" s="164">
        <f t="shared" si="53"/>
        <v>0</v>
      </c>
    </row>
    <row r="273" spans="6:20" x14ac:dyDescent="0.2">
      <c r="F273" s="158">
        <v>262</v>
      </c>
      <c r="G273" s="249">
        <f t="shared" si="54"/>
        <v>51621</v>
      </c>
      <c r="H273" s="158">
        <f t="shared" si="58"/>
        <v>30</v>
      </c>
      <c r="I273" s="254">
        <f>VLOOKUP(G273,'Прогноз переменной ставки'!$B$5:$E$304,4,1)</f>
        <v>9.9000000000000005E-2</v>
      </c>
      <c r="J273" s="164">
        <f t="shared" si="55"/>
        <v>0</v>
      </c>
      <c r="K273" s="164">
        <f t="shared" si="56"/>
        <v>0</v>
      </c>
      <c r="L273" s="164">
        <f t="shared" si="48"/>
        <v>0</v>
      </c>
      <c r="M273" s="164">
        <f t="shared" si="48"/>
        <v>0</v>
      </c>
      <c r="N273" s="164">
        <f t="shared" si="57"/>
        <v>0</v>
      </c>
      <c r="O273" s="164">
        <f t="shared" si="49"/>
        <v>0</v>
      </c>
      <c r="P273" s="164">
        <f t="shared" si="50"/>
        <v>0</v>
      </c>
      <c r="Q273" s="164">
        <f t="shared" si="51"/>
        <v>0</v>
      </c>
      <c r="R273" s="164">
        <f t="shared" si="59"/>
        <v>0</v>
      </c>
      <c r="S273" s="164">
        <f t="shared" si="52"/>
        <v>0</v>
      </c>
      <c r="T273" s="164">
        <f t="shared" si="53"/>
        <v>0</v>
      </c>
    </row>
    <row r="274" spans="6:20" x14ac:dyDescent="0.2">
      <c r="F274" s="158">
        <v>263</v>
      </c>
      <c r="G274" s="249">
        <f t="shared" si="54"/>
        <v>51652</v>
      </c>
      <c r="H274" s="158">
        <f t="shared" si="58"/>
        <v>31</v>
      </c>
      <c r="I274" s="254">
        <f>VLOOKUP(G274,'Прогноз переменной ставки'!$B$5:$E$304,4,1)</f>
        <v>9.9000000000000005E-2</v>
      </c>
      <c r="J274" s="164">
        <f t="shared" si="55"/>
        <v>0</v>
      </c>
      <c r="K274" s="164">
        <f t="shared" si="56"/>
        <v>0</v>
      </c>
      <c r="L274" s="164">
        <f t="shared" si="48"/>
        <v>0</v>
      </c>
      <c r="M274" s="164">
        <f t="shared" si="48"/>
        <v>0</v>
      </c>
      <c r="N274" s="164">
        <f t="shared" si="57"/>
        <v>0</v>
      </c>
      <c r="O274" s="164">
        <f t="shared" si="49"/>
        <v>0</v>
      </c>
      <c r="P274" s="164">
        <f t="shared" si="50"/>
        <v>0</v>
      </c>
      <c r="Q274" s="164">
        <f t="shared" si="51"/>
        <v>0</v>
      </c>
      <c r="R274" s="164">
        <f t="shared" si="59"/>
        <v>0</v>
      </c>
      <c r="S274" s="164">
        <f t="shared" si="52"/>
        <v>0</v>
      </c>
      <c r="T274" s="164">
        <f t="shared" si="53"/>
        <v>0</v>
      </c>
    </row>
    <row r="275" spans="6:20" x14ac:dyDescent="0.2">
      <c r="F275" s="158">
        <v>264</v>
      </c>
      <c r="G275" s="249">
        <f t="shared" si="54"/>
        <v>51682</v>
      </c>
      <c r="H275" s="158">
        <f t="shared" si="58"/>
        <v>30</v>
      </c>
      <c r="I275" s="254">
        <f>VLOOKUP(G275,'Прогноз переменной ставки'!$B$5:$E$304,4,1)</f>
        <v>9.9000000000000005E-2</v>
      </c>
      <c r="J275" s="164">
        <f t="shared" si="55"/>
        <v>0</v>
      </c>
      <c r="K275" s="164">
        <f t="shared" si="56"/>
        <v>0</v>
      </c>
      <c r="L275" s="164">
        <f t="shared" si="48"/>
        <v>0</v>
      </c>
      <c r="M275" s="164">
        <f t="shared" si="48"/>
        <v>0</v>
      </c>
      <c r="N275" s="164">
        <f t="shared" si="57"/>
        <v>0</v>
      </c>
      <c r="O275" s="164">
        <f t="shared" si="49"/>
        <v>0</v>
      </c>
      <c r="P275" s="164">
        <f t="shared" si="50"/>
        <v>0</v>
      </c>
      <c r="Q275" s="164">
        <f t="shared" si="51"/>
        <v>0</v>
      </c>
      <c r="R275" s="164">
        <f t="shared" si="59"/>
        <v>0</v>
      </c>
      <c r="S275" s="164">
        <f t="shared" si="52"/>
        <v>0</v>
      </c>
      <c r="T275" s="164">
        <f t="shared" si="53"/>
        <v>0</v>
      </c>
    </row>
    <row r="276" spans="6:20" x14ac:dyDescent="0.2">
      <c r="F276" s="158">
        <v>265</v>
      </c>
      <c r="G276" s="249">
        <f t="shared" si="54"/>
        <v>51713</v>
      </c>
      <c r="H276" s="158">
        <f t="shared" si="58"/>
        <v>31</v>
      </c>
      <c r="I276" s="254">
        <f>VLOOKUP(G276,'Прогноз переменной ставки'!$B$5:$E$304,4,1)</f>
        <v>9.9000000000000005E-2</v>
      </c>
      <c r="J276" s="164">
        <f t="shared" si="55"/>
        <v>0</v>
      </c>
      <c r="K276" s="164">
        <f t="shared" si="56"/>
        <v>0</v>
      </c>
      <c r="L276" s="164">
        <f t="shared" si="48"/>
        <v>0</v>
      </c>
      <c r="M276" s="164">
        <f t="shared" si="48"/>
        <v>0</v>
      </c>
      <c r="N276" s="164">
        <f t="shared" si="57"/>
        <v>0</v>
      </c>
      <c r="O276" s="164">
        <f t="shared" si="49"/>
        <v>0</v>
      </c>
      <c r="P276" s="164">
        <f t="shared" si="50"/>
        <v>0</v>
      </c>
      <c r="Q276" s="164">
        <f t="shared" si="51"/>
        <v>0</v>
      </c>
      <c r="R276" s="164">
        <f t="shared" si="59"/>
        <v>0</v>
      </c>
      <c r="S276" s="164">
        <f t="shared" si="52"/>
        <v>0</v>
      </c>
      <c r="T276" s="164">
        <f t="shared" si="53"/>
        <v>0</v>
      </c>
    </row>
    <row r="277" spans="6:20" x14ac:dyDescent="0.2">
      <c r="F277" s="158">
        <v>266</v>
      </c>
      <c r="G277" s="249">
        <f t="shared" si="54"/>
        <v>51744</v>
      </c>
      <c r="H277" s="158">
        <f t="shared" si="58"/>
        <v>31</v>
      </c>
      <c r="I277" s="254">
        <f>VLOOKUP(G277,'Прогноз переменной ставки'!$B$5:$E$304,4,1)</f>
        <v>9.9000000000000005E-2</v>
      </c>
      <c r="J277" s="164">
        <f t="shared" si="55"/>
        <v>0</v>
      </c>
      <c r="K277" s="164">
        <f t="shared" si="56"/>
        <v>0</v>
      </c>
      <c r="L277" s="164">
        <f t="shared" si="48"/>
        <v>0</v>
      </c>
      <c r="M277" s="164">
        <f t="shared" si="48"/>
        <v>0</v>
      </c>
      <c r="N277" s="164">
        <f t="shared" si="57"/>
        <v>0</v>
      </c>
      <c r="O277" s="164">
        <f t="shared" si="49"/>
        <v>0</v>
      </c>
      <c r="P277" s="164">
        <f t="shared" si="50"/>
        <v>0</v>
      </c>
      <c r="Q277" s="164">
        <f t="shared" si="51"/>
        <v>0</v>
      </c>
      <c r="R277" s="164">
        <f t="shared" si="59"/>
        <v>0</v>
      </c>
      <c r="S277" s="164">
        <f t="shared" si="52"/>
        <v>0</v>
      </c>
      <c r="T277" s="164">
        <f t="shared" si="53"/>
        <v>0</v>
      </c>
    </row>
    <row r="278" spans="6:20" x14ac:dyDescent="0.2">
      <c r="F278" s="158">
        <v>267</v>
      </c>
      <c r="G278" s="249">
        <f t="shared" si="54"/>
        <v>51774</v>
      </c>
      <c r="H278" s="158">
        <f t="shared" si="58"/>
        <v>30</v>
      </c>
      <c r="I278" s="254">
        <f>VLOOKUP(G278,'Прогноз переменной ставки'!$B$5:$E$304,4,1)</f>
        <v>9.9000000000000005E-2</v>
      </c>
      <c r="J278" s="164">
        <f t="shared" si="55"/>
        <v>0</v>
      </c>
      <c r="K278" s="164">
        <f t="shared" si="56"/>
        <v>0</v>
      </c>
      <c r="L278" s="164">
        <f t="shared" ref="L278:M311" si="60">S277</f>
        <v>0</v>
      </c>
      <c r="M278" s="164">
        <f t="shared" si="60"/>
        <v>0</v>
      </c>
      <c r="N278" s="164">
        <f t="shared" si="57"/>
        <v>0</v>
      </c>
      <c r="O278" s="164">
        <f t="shared" si="49"/>
        <v>0</v>
      </c>
      <c r="P278" s="164">
        <f t="shared" si="50"/>
        <v>0</v>
      </c>
      <c r="Q278" s="164">
        <f t="shared" si="51"/>
        <v>0</v>
      </c>
      <c r="R278" s="164">
        <f t="shared" si="59"/>
        <v>0</v>
      </c>
      <c r="S278" s="164">
        <f t="shared" si="52"/>
        <v>0</v>
      </c>
      <c r="T278" s="164">
        <f t="shared" si="53"/>
        <v>0</v>
      </c>
    </row>
    <row r="279" spans="6:20" x14ac:dyDescent="0.2">
      <c r="F279" s="158">
        <v>268</v>
      </c>
      <c r="G279" s="249">
        <f t="shared" si="54"/>
        <v>51805</v>
      </c>
      <c r="H279" s="158">
        <f t="shared" si="58"/>
        <v>31</v>
      </c>
      <c r="I279" s="254">
        <f>VLOOKUP(G279,'Прогноз переменной ставки'!$B$5:$E$304,4,1)</f>
        <v>9.9000000000000005E-2</v>
      </c>
      <c r="J279" s="164">
        <f t="shared" si="55"/>
        <v>0</v>
      </c>
      <c r="K279" s="164">
        <f t="shared" si="56"/>
        <v>0</v>
      </c>
      <c r="L279" s="164">
        <f t="shared" si="60"/>
        <v>0</v>
      </c>
      <c r="M279" s="164">
        <f t="shared" si="60"/>
        <v>0</v>
      </c>
      <c r="N279" s="164">
        <f t="shared" si="57"/>
        <v>0</v>
      </c>
      <c r="O279" s="164">
        <f t="shared" si="49"/>
        <v>0</v>
      </c>
      <c r="P279" s="164">
        <f t="shared" si="50"/>
        <v>0</v>
      </c>
      <c r="Q279" s="164">
        <f t="shared" si="51"/>
        <v>0</v>
      </c>
      <c r="R279" s="164">
        <f t="shared" si="59"/>
        <v>0</v>
      </c>
      <c r="S279" s="164">
        <f t="shared" si="52"/>
        <v>0</v>
      </c>
      <c r="T279" s="164">
        <f t="shared" si="53"/>
        <v>0</v>
      </c>
    </row>
    <row r="280" spans="6:20" x14ac:dyDescent="0.2">
      <c r="F280" s="158">
        <v>269</v>
      </c>
      <c r="G280" s="249">
        <f t="shared" si="54"/>
        <v>51835</v>
      </c>
      <c r="H280" s="158">
        <f t="shared" si="58"/>
        <v>30</v>
      </c>
      <c r="I280" s="254">
        <f>VLOOKUP(G280,'Прогноз переменной ставки'!$B$5:$E$304,4,1)</f>
        <v>9.9000000000000005E-2</v>
      </c>
      <c r="J280" s="164">
        <f t="shared" si="55"/>
        <v>0</v>
      </c>
      <c r="K280" s="164">
        <f t="shared" si="56"/>
        <v>0</v>
      </c>
      <c r="L280" s="164">
        <f t="shared" si="60"/>
        <v>0</v>
      </c>
      <c r="M280" s="164">
        <f t="shared" si="60"/>
        <v>0</v>
      </c>
      <c r="N280" s="164">
        <f t="shared" si="57"/>
        <v>0</v>
      </c>
      <c r="O280" s="164">
        <f t="shared" si="49"/>
        <v>0</v>
      </c>
      <c r="P280" s="164">
        <f t="shared" si="50"/>
        <v>0</v>
      </c>
      <c r="Q280" s="164">
        <f t="shared" si="51"/>
        <v>0</v>
      </c>
      <c r="R280" s="164">
        <f t="shared" si="59"/>
        <v>0</v>
      </c>
      <c r="S280" s="164">
        <f t="shared" si="52"/>
        <v>0</v>
      </c>
      <c r="T280" s="164">
        <f t="shared" si="53"/>
        <v>0</v>
      </c>
    </row>
    <row r="281" spans="6:20" x14ac:dyDescent="0.2">
      <c r="F281" s="158">
        <v>270</v>
      </c>
      <c r="G281" s="249">
        <f t="shared" si="54"/>
        <v>51866</v>
      </c>
      <c r="H281" s="158">
        <f t="shared" si="58"/>
        <v>31</v>
      </c>
      <c r="I281" s="254">
        <f>VLOOKUP(G281,'Прогноз переменной ставки'!$B$5:$E$304,4,1)</f>
        <v>9.9000000000000005E-2</v>
      </c>
      <c r="J281" s="164">
        <f t="shared" si="55"/>
        <v>0</v>
      </c>
      <c r="K281" s="164">
        <f t="shared" si="56"/>
        <v>0</v>
      </c>
      <c r="L281" s="164">
        <f t="shared" si="60"/>
        <v>0</v>
      </c>
      <c r="M281" s="164">
        <f t="shared" si="60"/>
        <v>0</v>
      </c>
      <c r="N281" s="164">
        <f t="shared" si="57"/>
        <v>0</v>
      </c>
      <c r="O281" s="164">
        <f t="shared" si="49"/>
        <v>0</v>
      </c>
      <c r="P281" s="164">
        <f t="shared" si="50"/>
        <v>0</v>
      </c>
      <c r="Q281" s="164">
        <f t="shared" si="51"/>
        <v>0</v>
      </c>
      <c r="R281" s="164">
        <f t="shared" si="59"/>
        <v>0</v>
      </c>
      <c r="S281" s="164">
        <f t="shared" si="52"/>
        <v>0</v>
      </c>
      <c r="T281" s="164">
        <f t="shared" si="53"/>
        <v>0</v>
      </c>
    </row>
    <row r="282" spans="6:20" x14ac:dyDescent="0.2">
      <c r="F282" s="158">
        <v>271</v>
      </c>
      <c r="G282" s="249">
        <f t="shared" si="54"/>
        <v>51897</v>
      </c>
      <c r="H282" s="158">
        <f t="shared" si="58"/>
        <v>31</v>
      </c>
      <c r="I282" s="254">
        <f>VLOOKUP(G282,'Прогноз переменной ставки'!$B$5:$E$304,4,1)</f>
        <v>9.9000000000000005E-2</v>
      </c>
      <c r="J282" s="164">
        <f t="shared" si="55"/>
        <v>0</v>
      </c>
      <c r="K282" s="164">
        <f t="shared" si="56"/>
        <v>0</v>
      </c>
      <c r="L282" s="164">
        <f t="shared" si="60"/>
        <v>0</v>
      </c>
      <c r="M282" s="164">
        <f t="shared" si="60"/>
        <v>0</v>
      </c>
      <c r="N282" s="164">
        <f t="shared" si="57"/>
        <v>0</v>
      </c>
      <c r="O282" s="164">
        <f t="shared" si="49"/>
        <v>0</v>
      </c>
      <c r="P282" s="164">
        <f t="shared" si="50"/>
        <v>0</v>
      </c>
      <c r="Q282" s="164">
        <f t="shared" si="51"/>
        <v>0</v>
      </c>
      <c r="R282" s="164">
        <f t="shared" si="59"/>
        <v>0</v>
      </c>
      <c r="S282" s="164">
        <f t="shared" si="52"/>
        <v>0</v>
      </c>
      <c r="T282" s="164">
        <f t="shared" si="53"/>
        <v>0</v>
      </c>
    </row>
    <row r="283" spans="6:20" x14ac:dyDescent="0.2">
      <c r="F283" s="158">
        <v>272</v>
      </c>
      <c r="G283" s="249">
        <f t="shared" si="54"/>
        <v>51925</v>
      </c>
      <c r="H283" s="158">
        <f t="shared" si="58"/>
        <v>28</v>
      </c>
      <c r="I283" s="254">
        <f>VLOOKUP(G283,'Прогноз переменной ставки'!$B$5:$E$304,4,1)</f>
        <v>9.9000000000000005E-2</v>
      </c>
      <c r="J283" s="164">
        <f t="shared" si="55"/>
        <v>0</v>
      </c>
      <c r="K283" s="164">
        <f t="shared" si="56"/>
        <v>0</v>
      </c>
      <c r="L283" s="164">
        <f t="shared" si="60"/>
        <v>0</v>
      </c>
      <c r="M283" s="164">
        <f t="shared" si="60"/>
        <v>0</v>
      </c>
      <c r="N283" s="164">
        <f t="shared" si="57"/>
        <v>0</v>
      </c>
      <c r="O283" s="164">
        <f t="shared" si="49"/>
        <v>0</v>
      </c>
      <c r="P283" s="164">
        <f t="shared" si="50"/>
        <v>0</v>
      </c>
      <c r="Q283" s="164">
        <f t="shared" si="51"/>
        <v>0</v>
      </c>
      <c r="R283" s="164">
        <f t="shared" si="59"/>
        <v>0</v>
      </c>
      <c r="S283" s="164">
        <f t="shared" si="52"/>
        <v>0</v>
      </c>
      <c r="T283" s="164">
        <f t="shared" si="53"/>
        <v>0</v>
      </c>
    </row>
    <row r="284" spans="6:20" x14ac:dyDescent="0.2">
      <c r="F284" s="158">
        <v>273</v>
      </c>
      <c r="G284" s="249">
        <f t="shared" si="54"/>
        <v>51956</v>
      </c>
      <c r="H284" s="158">
        <f t="shared" si="58"/>
        <v>31</v>
      </c>
      <c r="I284" s="254">
        <f>VLOOKUP(G284,'Прогноз переменной ставки'!$B$5:$E$304,4,1)</f>
        <v>9.9000000000000005E-2</v>
      </c>
      <c r="J284" s="164">
        <f t="shared" si="55"/>
        <v>0</v>
      </c>
      <c r="K284" s="164">
        <f t="shared" si="56"/>
        <v>0</v>
      </c>
      <c r="L284" s="164">
        <f t="shared" si="60"/>
        <v>0</v>
      </c>
      <c r="M284" s="164">
        <f t="shared" si="60"/>
        <v>0</v>
      </c>
      <c r="N284" s="164">
        <f t="shared" si="57"/>
        <v>0</v>
      </c>
      <c r="O284" s="164">
        <f t="shared" si="49"/>
        <v>0</v>
      </c>
      <c r="P284" s="164">
        <f t="shared" si="50"/>
        <v>0</v>
      </c>
      <c r="Q284" s="164">
        <f t="shared" si="51"/>
        <v>0</v>
      </c>
      <c r="R284" s="164">
        <f t="shared" si="59"/>
        <v>0</v>
      </c>
      <c r="S284" s="164">
        <f t="shared" si="52"/>
        <v>0</v>
      </c>
      <c r="T284" s="164">
        <f t="shared" si="53"/>
        <v>0</v>
      </c>
    </row>
    <row r="285" spans="6:20" x14ac:dyDescent="0.2">
      <c r="F285" s="158">
        <v>274</v>
      </c>
      <c r="G285" s="249">
        <f t="shared" si="54"/>
        <v>51986</v>
      </c>
      <c r="H285" s="158">
        <f t="shared" si="58"/>
        <v>30</v>
      </c>
      <c r="I285" s="254">
        <f>VLOOKUP(G285,'Прогноз переменной ставки'!$B$5:$E$304,4,1)</f>
        <v>9.9000000000000005E-2</v>
      </c>
      <c r="J285" s="164">
        <f t="shared" si="55"/>
        <v>0</v>
      </c>
      <c r="K285" s="164">
        <f t="shared" si="56"/>
        <v>0</v>
      </c>
      <c r="L285" s="164">
        <f t="shared" si="60"/>
        <v>0</v>
      </c>
      <c r="M285" s="164">
        <f t="shared" si="60"/>
        <v>0</v>
      </c>
      <c r="N285" s="164">
        <f t="shared" si="57"/>
        <v>0</v>
      </c>
      <c r="O285" s="164">
        <f t="shared" si="49"/>
        <v>0</v>
      </c>
      <c r="P285" s="164">
        <f t="shared" si="50"/>
        <v>0</v>
      </c>
      <c r="Q285" s="164">
        <f t="shared" si="51"/>
        <v>0</v>
      </c>
      <c r="R285" s="164">
        <f t="shared" si="59"/>
        <v>0</v>
      </c>
      <c r="S285" s="164">
        <f t="shared" si="52"/>
        <v>0</v>
      </c>
      <c r="T285" s="164">
        <f t="shared" si="53"/>
        <v>0</v>
      </c>
    </row>
    <row r="286" spans="6:20" x14ac:dyDescent="0.2">
      <c r="F286" s="158">
        <v>275</v>
      </c>
      <c r="G286" s="249">
        <f t="shared" si="54"/>
        <v>52017</v>
      </c>
      <c r="H286" s="158">
        <f t="shared" si="58"/>
        <v>31</v>
      </c>
      <c r="I286" s="254">
        <f>VLOOKUP(G286,'Прогноз переменной ставки'!$B$5:$E$304,4,1)</f>
        <v>9.9000000000000005E-2</v>
      </c>
      <c r="J286" s="164">
        <f t="shared" si="55"/>
        <v>0</v>
      </c>
      <c r="K286" s="164">
        <f t="shared" si="56"/>
        <v>0</v>
      </c>
      <c r="L286" s="164">
        <f t="shared" si="60"/>
        <v>0</v>
      </c>
      <c r="M286" s="164">
        <f t="shared" si="60"/>
        <v>0</v>
      </c>
      <c r="N286" s="164">
        <f t="shared" si="57"/>
        <v>0</v>
      </c>
      <c r="O286" s="164">
        <f t="shared" si="49"/>
        <v>0</v>
      </c>
      <c r="P286" s="164">
        <f t="shared" si="50"/>
        <v>0</v>
      </c>
      <c r="Q286" s="164">
        <f t="shared" si="51"/>
        <v>0</v>
      </c>
      <c r="R286" s="164">
        <f t="shared" si="59"/>
        <v>0</v>
      </c>
      <c r="S286" s="164">
        <f t="shared" si="52"/>
        <v>0</v>
      </c>
      <c r="T286" s="164">
        <f t="shared" si="53"/>
        <v>0</v>
      </c>
    </row>
    <row r="287" spans="6:20" x14ac:dyDescent="0.2">
      <c r="F287" s="158">
        <v>276</v>
      </c>
      <c r="G287" s="249">
        <f t="shared" si="54"/>
        <v>52047</v>
      </c>
      <c r="H287" s="158">
        <f t="shared" si="58"/>
        <v>30</v>
      </c>
      <c r="I287" s="254">
        <f>VLOOKUP(G287,'Прогноз переменной ставки'!$B$5:$E$304,4,1)</f>
        <v>9.9000000000000005E-2</v>
      </c>
      <c r="J287" s="164">
        <f t="shared" si="55"/>
        <v>0</v>
      </c>
      <c r="K287" s="164">
        <f t="shared" si="56"/>
        <v>0</v>
      </c>
      <c r="L287" s="164">
        <f t="shared" si="60"/>
        <v>0</v>
      </c>
      <c r="M287" s="164">
        <f t="shared" si="60"/>
        <v>0</v>
      </c>
      <c r="N287" s="164">
        <f t="shared" si="57"/>
        <v>0</v>
      </c>
      <c r="O287" s="164">
        <f t="shared" si="49"/>
        <v>0</v>
      </c>
      <c r="P287" s="164">
        <f t="shared" si="50"/>
        <v>0</v>
      </c>
      <c r="Q287" s="164">
        <f t="shared" si="51"/>
        <v>0</v>
      </c>
      <c r="R287" s="164">
        <f t="shared" si="59"/>
        <v>0</v>
      </c>
      <c r="S287" s="164">
        <f t="shared" si="52"/>
        <v>0</v>
      </c>
      <c r="T287" s="164">
        <f t="shared" si="53"/>
        <v>0</v>
      </c>
    </row>
    <row r="288" spans="6:20" x14ac:dyDescent="0.2">
      <c r="F288" s="158">
        <v>277</v>
      </c>
      <c r="G288" s="249">
        <f t="shared" si="54"/>
        <v>52078</v>
      </c>
      <c r="H288" s="158">
        <f t="shared" si="58"/>
        <v>31</v>
      </c>
      <c r="I288" s="254">
        <f>VLOOKUP(G288,'Прогноз переменной ставки'!$B$5:$E$304,4,1)</f>
        <v>9.9000000000000005E-2</v>
      </c>
      <c r="J288" s="164">
        <f t="shared" si="55"/>
        <v>0</v>
      </c>
      <c r="K288" s="164">
        <f t="shared" si="56"/>
        <v>0</v>
      </c>
      <c r="L288" s="164">
        <f t="shared" si="60"/>
        <v>0</v>
      </c>
      <c r="M288" s="164">
        <f t="shared" si="60"/>
        <v>0</v>
      </c>
      <c r="N288" s="164">
        <f t="shared" si="57"/>
        <v>0</v>
      </c>
      <c r="O288" s="164">
        <f t="shared" si="49"/>
        <v>0</v>
      </c>
      <c r="P288" s="164">
        <f t="shared" si="50"/>
        <v>0</v>
      </c>
      <c r="Q288" s="164">
        <f t="shared" si="51"/>
        <v>0</v>
      </c>
      <c r="R288" s="164">
        <f t="shared" si="59"/>
        <v>0</v>
      </c>
      <c r="S288" s="164">
        <f t="shared" si="52"/>
        <v>0</v>
      </c>
      <c r="T288" s="164">
        <f t="shared" si="53"/>
        <v>0</v>
      </c>
    </row>
    <row r="289" spans="6:20" x14ac:dyDescent="0.2">
      <c r="F289" s="158">
        <v>278</v>
      </c>
      <c r="G289" s="249">
        <f t="shared" si="54"/>
        <v>52109</v>
      </c>
      <c r="H289" s="158">
        <f t="shared" si="58"/>
        <v>31</v>
      </c>
      <c r="I289" s="254">
        <f>VLOOKUP(G289,'Прогноз переменной ставки'!$B$5:$E$304,4,1)</f>
        <v>9.9000000000000005E-2</v>
      </c>
      <c r="J289" s="164">
        <f t="shared" si="55"/>
        <v>0</v>
      </c>
      <c r="K289" s="164">
        <f t="shared" si="56"/>
        <v>0</v>
      </c>
      <c r="L289" s="164">
        <f t="shared" si="60"/>
        <v>0</v>
      </c>
      <c r="M289" s="164">
        <f t="shared" si="60"/>
        <v>0</v>
      </c>
      <c r="N289" s="164">
        <f t="shared" si="57"/>
        <v>0</v>
      </c>
      <c r="O289" s="164">
        <f t="shared" si="49"/>
        <v>0</v>
      </c>
      <c r="P289" s="164">
        <f t="shared" si="50"/>
        <v>0</v>
      </c>
      <c r="Q289" s="164">
        <f t="shared" si="51"/>
        <v>0</v>
      </c>
      <c r="R289" s="164">
        <f t="shared" si="59"/>
        <v>0</v>
      </c>
      <c r="S289" s="164">
        <f t="shared" si="52"/>
        <v>0</v>
      </c>
      <c r="T289" s="164">
        <f t="shared" si="53"/>
        <v>0</v>
      </c>
    </row>
    <row r="290" spans="6:20" x14ac:dyDescent="0.2">
      <c r="F290" s="158">
        <v>279</v>
      </c>
      <c r="G290" s="249">
        <f t="shared" si="54"/>
        <v>52139</v>
      </c>
      <c r="H290" s="158">
        <f t="shared" si="58"/>
        <v>30</v>
      </c>
      <c r="I290" s="254">
        <f>VLOOKUP(G290,'Прогноз переменной ставки'!$B$5:$E$304,4,1)</f>
        <v>9.9000000000000005E-2</v>
      </c>
      <c r="J290" s="164">
        <f t="shared" si="55"/>
        <v>0</v>
      </c>
      <c r="K290" s="164">
        <f t="shared" si="56"/>
        <v>0</v>
      </c>
      <c r="L290" s="164">
        <f t="shared" si="60"/>
        <v>0</v>
      </c>
      <c r="M290" s="164">
        <f t="shared" si="60"/>
        <v>0</v>
      </c>
      <c r="N290" s="164">
        <f t="shared" si="57"/>
        <v>0</v>
      </c>
      <c r="O290" s="164">
        <f t="shared" si="49"/>
        <v>0</v>
      </c>
      <c r="P290" s="164">
        <f t="shared" si="50"/>
        <v>0</v>
      </c>
      <c r="Q290" s="164">
        <f t="shared" si="51"/>
        <v>0</v>
      </c>
      <c r="R290" s="164">
        <f t="shared" si="59"/>
        <v>0</v>
      </c>
      <c r="S290" s="164">
        <f t="shared" si="52"/>
        <v>0</v>
      </c>
      <c r="T290" s="164">
        <f t="shared" si="53"/>
        <v>0</v>
      </c>
    </row>
    <row r="291" spans="6:20" x14ac:dyDescent="0.2">
      <c r="F291" s="158">
        <v>280</v>
      </c>
      <c r="G291" s="249">
        <f t="shared" si="54"/>
        <v>52170</v>
      </c>
      <c r="H291" s="158">
        <f t="shared" si="58"/>
        <v>31</v>
      </c>
      <c r="I291" s="254">
        <f>VLOOKUP(G291,'Прогноз переменной ставки'!$B$5:$E$304,4,1)</f>
        <v>9.9000000000000005E-2</v>
      </c>
      <c r="J291" s="164">
        <f t="shared" si="55"/>
        <v>0</v>
      </c>
      <c r="K291" s="164">
        <f t="shared" si="56"/>
        <v>0</v>
      </c>
      <c r="L291" s="164">
        <f t="shared" si="60"/>
        <v>0</v>
      </c>
      <c r="M291" s="164">
        <f t="shared" si="60"/>
        <v>0</v>
      </c>
      <c r="N291" s="164">
        <f t="shared" si="57"/>
        <v>0</v>
      </c>
      <c r="O291" s="164">
        <f t="shared" si="49"/>
        <v>0</v>
      </c>
      <c r="P291" s="164">
        <f t="shared" si="50"/>
        <v>0</v>
      </c>
      <c r="Q291" s="164">
        <f t="shared" si="51"/>
        <v>0</v>
      </c>
      <c r="R291" s="164">
        <f t="shared" si="59"/>
        <v>0</v>
      </c>
      <c r="S291" s="164">
        <f t="shared" si="52"/>
        <v>0</v>
      </c>
      <c r="T291" s="164">
        <f t="shared" si="53"/>
        <v>0</v>
      </c>
    </row>
    <row r="292" spans="6:20" x14ac:dyDescent="0.2">
      <c r="F292" s="158">
        <v>281</v>
      </c>
      <c r="G292" s="249">
        <f t="shared" si="54"/>
        <v>52200</v>
      </c>
      <c r="H292" s="158">
        <f t="shared" si="58"/>
        <v>30</v>
      </c>
      <c r="I292" s="254">
        <f>VLOOKUP(G292,'Прогноз переменной ставки'!$B$5:$E$304,4,1)</f>
        <v>9.9000000000000005E-2</v>
      </c>
      <c r="J292" s="164">
        <f t="shared" si="55"/>
        <v>0</v>
      </c>
      <c r="K292" s="164">
        <f t="shared" si="56"/>
        <v>0</v>
      </c>
      <c r="L292" s="164">
        <f t="shared" si="60"/>
        <v>0</v>
      </c>
      <c r="M292" s="164">
        <f t="shared" si="60"/>
        <v>0</v>
      </c>
      <c r="N292" s="164">
        <f t="shared" si="57"/>
        <v>0</v>
      </c>
      <c r="O292" s="164">
        <f t="shared" si="49"/>
        <v>0</v>
      </c>
      <c r="P292" s="164">
        <f t="shared" si="50"/>
        <v>0</v>
      </c>
      <c r="Q292" s="164">
        <f t="shared" si="51"/>
        <v>0</v>
      </c>
      <c r="R292" s="164">
        <f t="shared" si="59"/>
        <v>0</v>
      </c>
      <c r="S292" s="164">
        <f t="shared" si="52"/>
        <v>0</v>
      </c>
      <c r="T292" s="164">
        <f t="shared" si="53"/>
        <v>0</v>
      </c>
    </row>
    <row r="293" spans="6:20" x14ac:dyDescent="0.2">
      <c r="F293" s="158">
        <v>282</v>
      </c>
      <c r="G293" s="249">
        <f t="shared" si="54"/>
        <v>52231</v>
      </c>
      <c r="H293" s="158">
        <f t="shared" si="58"/>
        <v>31</v>
      </c>
      <c r="I293" s="254">
        <f>VLOOKUP(G293,'Прогноз переменной ставки'!$B$5:$E$304,4,1)</f>
        <v>9.9000000000000005E-2</v>
      </c>
      <c r="J293" s="164">
        <f t="shared" si="55"/>
        <v>0</v>
      </c>
      <c r="K293" s="164">
        <f t="shared" si="56"/>
        <v>0</v>
      </c>
      <c r="L293" s="164">
        <f t="shared" si="60"/>
        <v>0</v>
      </c>
      <c r="M293" s="164">
        <f t="shared" si="60"/>
        <v>0</v>
      </c>
      <c r="N293" s="164">
        <f t="shared" si="57"/>
        <v>0</v>
      </c>
      <c r="O293" s="164">
        <f t="shared" si="49"/>
        <v>0</v>
      </c>
      <c r="P293" s="164">
        <f t="shared" si="50"/>
        <v>0</v>
      </c>
      <c r="Q293" s="164">
        <f t="shared" si="51"/>
        <v>0</v>
      </c>
      <c r="R293" s="164">
        <f t="shared" si="59"/>
        <v>0</v>
      </c>
      <c r="S293" s="164">
        <f t="shared" si="52"/>
        <v>0</v>
      </c>
      <c r="T293" s="164">
        <f t="shared" si="53"/>
        <v>0</v>
      </c>
    </row>
    <row r="294" spans="6:20" x14ac:dyDescent="0.2">
      <c r="F294" s="158">
        <v>283</v>
      </c>
      <c r="G294" s="249">
        <f t="shared" si="54"/>
        <v>52262</v>
      </c>
      <c r="H294" s="158">
        <f t="shared" si="58"/>
        <v>31</v>
      </c>
      <c r="I294" s="254">
        <f>VLOOKUP(G294,'Прогноз переменной ставки'!$B$5:$E$304,4,1)</f>
        <v>9.9000000000000005E-2</v>
      </c>
      <c r="J294" s="164">
        <f t="shared" si="55"/>
        <v>0</v>
      </c>
      <c r="K294" s="164">
        <f t="shared" si="56"/>
        <v>0</v>
      </c>
      <c r="L294" s="164">
        <f t="shared" si="60"/>
        <v>0</v>
      </c>
      <c r="M294" s="164">
        <f t="shared" si="60"/>
        <v>0</v>
      </c>
      <c r="N294" s="164">
        <f t="shared" si="57"/>
        <v>0</v>
      </c>
      <c r="O294" s="164">
        <f t="shared" si="49"/>
        <v>0</v>
      </c>
      <c r="P294" s="164">
        <f t="shared" si="50"/>
        <v>0</v>
      </c>
      <c r="Q294" s="164">
        <f t="shared" si="51"/>
        <v>0</v>
      </c>
      <c r="R294" s="164">
        <f t="shared" si="59"/>
        <v>0</v>
      </c>
      <c r="S294" s="164">
        <f t="shared" si="52"/>
        <v>0</v>
      </c>
      <c r="T294" s="164">
        <f t="shared" si="53"/>
        <v>0</v>
      </c>
    </row>
    <row r="295" spans="6:20" x14ac:dyDescent="0.2">
      <c r="F295" s="158">
        <v>284</v>
      </c>
      <c r="G295" s="249">
        <f t="shared" si="54"/>
        <v>52290</v>
      </c>
      <c r="H295" s="158">
        <f t="shared" si="58"/>
        <v>28</v>
      </c>
      <c r="I295" s="254">
        <f>VLOOKUP(G295,'Прогноз переменной ставки'!$B$5:$E$304,4,1)</f>
        <v>9.9000000000000005E-2</v>
      </c>
      <c r="J295" s="164">
        <f t="shared" si="55"/>
        <v>0</v>
      </c>
      <c r="K295" s="164">
        <f t="shared" si="56"/>
        <v>0</v>
      </c>
      <c r="L295" s="164">
        <f t="shared" si="60"/>
        <v>0</v>
      </c>
      <c r="M295" s="164">
        <f t="shared" si="60"/>
        <v>0</v>
      </c>
      <c r="N295" s="164">
        <f t="shared" si="57"/>
        <v>0</v>
      </c>
      <c r="O295" s="164">
        <f t="shared" si="49"/>
        <v>0</v>
      </c>
      <c r="P295" s="164">
        <f t="shared" si="50"/>
        <v>0</v>
      </c>
      <c r="Q295" s="164">
        <f t="shared" si="51"/>
        <v>0</v>
      </c>
      <c r="R295" s="164">
        <f t="shared" si="59"/>
        <v>0</v>
      </c>
      <c r="S295" s="164">
        <f t="shared" si="52"/>
        <v>0</v>
      </c>
      <c r="T295" s="164">
        <f t="shared" si="53"/>
        <v>0</v>
      </c>
    </row>
    <row r="296" spans="6:20" x14ac:dyDescent="0.2">
      <c r="F296" s="158">
        <v>285</v>
      </c>
      <c r="G296" s="249">
        <f t="shared" si="54"/>
        <v>52321</v>
      </c>
      <c r="H296" s="158">
        <f t="shared" si="58"/>
        <v>31</v>
      </c>
      <c r="I296" s="254">
        <f>VLOOKUP(G296,'Прогноз переменной ставки'!$B$5:$E$304,4,1)</f>
        <v>9.9000000000000005E-2</v>
      </c>
      <c r="J296" s="164">
        <f t="shared" si="55"/>
        <v>0</v>
      </c>
      <c r="K296" s="164">
        <f t="shared" si="56"/>
        <v>0</v>
      </c>
      <c r="L296" s="164">
        <f t="shared" si="60"/>
        <v>0</v>
      </c>
      <c r="M296" s="164">
        <f t="shared" si="60"/>
        <v>0</v>
      </c>
      <c r="N296" s="164">
        <f t="shared" si="57"/>
        <v>0</v>
      </c>
      <c r="O296" s="164">
        <f t="shared" si="49"/>
        <v>0</v>
      </c>
      <c r="P296" s="164">
        <f t="shared" si="50"/>
        <v>0</v>
      </c>
      <c r="Q296" s="164">
        <f t="shared" si="51"/>
        <v>0</v>
      </c>
      <c r="R296" s="164">
        <f t="shared" si="59"/>
        <v>0</v>
      </c>
      <c r="S296" s="164">
        <f t="shared" si="52"/>
        <v>0</v>
      </c>
      <c r="T296" s="164">
        <f t="shared" si="53"/>
        <v>0</v>
      </c>
    </row>
    <row r="297" spans="6:20" x14ac:dyDescent="0.2">
      <c r="F297" s="158">
        <v>286</v>
      </c>
      <c r="G297" s="249">
        <f t="shared" si="54"/>
        <v>52351</v>
      </c>
      <c r="H297" s="158">
        <f t="shared" si="58"/>
        <v>30</v>
      </c>
      <c r="I297" s="254">
        <f>VLOOKUP(G297,'Прогноз переменной ставки'!$B$5:$E$304,4,1)</f>
        <v>9.9000000000000005E-2</v>
      </c>
      <c r="J297" s="164">
        <f t="shared" si="55"/>
        <v>0</v>
      </c>
      <c r="K297" s="164">
        <f t="shared" si="56"/>
        <v>0</v>
      </c>
      <c r="L297" s="164">
        <f t="shared" si="60"/>
        <v>0</v>
      </c>
      <c r="M297" s="164">
        <f t="shared" si="60"/>
        <v>0</v>
      </c>
      <c r="N297" s="164">
        <f t="shared" si="57"/>
        <v>0</v>
      </c>
      <c r="O297" s="164">
        <f t="shared" si="49"/>
        <v>0</v>
      </c>
      <c r="P297" s="164">
        <f t="shared" si="50"/>
        <v>0</v>
      </c>
      <c r="Q297" s="164">
        <f t="shared" si="51"/>
        <v>0</v>
      </c>
      <c r="R297" s="164">
        <f t="shared" si="59"/>
        <v>0</v>
      </c>
      <c r="S297" s="164">
        <f t="shared" si="52"/>
        <v>0</v>
      </c>
      <c r="T297" s="164">
        <f t="shared" si="53"/>
        <v>0</v>
      </c>
    </row>
    <row r="298" spans="6:20" x14ac:dyDescent="0.2">
      <c r="F298" s="158">
        <v>287</v>
      </c>
      <c r="G298" s="249">
        <f t="shared" si="54"/>
        <v>52382</v>
      </c>
      <c r="H298" s="158">
        <f t="shared" si="58"/>
        <v>31</v>
      </c>
      <c r="I298" s="254">
        <f>VLOOKUP(G298,'Прогноз переменной ставки'!$B$5:$E$304,4,1)</f>
        <v>9.9000000000000005E-2</v>
      </c>
      <c r="J298" s="164">
        <f t="shared" si="55"/>
        <v>0</v>
      </c>
      <c r="K298" s="164">
        <f t="shared" si="56"/>
        <v>0</v>
      </c>
      <c r="L298" s="164">
        <f t="shared" si="60"/>
        <v>0</v>
      </c>
      <c r="M298" s="164">
        <f t="shared" si="60"/>
        <v>0</v>
      </c>
      <c r="N298" s="164">
        <f t="shared" si="57"/>
        <v>0</v>
      </c>
      <c r="O298" s="164">
        <f t="shared" si="49"/>
        <v>0</v>
      </c>
      <c r="P298" s="164">
        <f t="shared" si="50"/>
        <v>0</v>
      </c>
      <c r="Q298" s="164">
        <f t="shared" si="51"/>
        <v>0</v>
      </c>
      <c r="R298" s="164">
        <f t="shared" si="59"/>
        <v>0</v>
      </c>
      <c r="S298" s="164">
        <f t="shared" si="52"/>
        <v>0</v>
      </c>
      <c r="T298" s="164">
        <f t="shared" si="53"/>
        <v>0</v>
      </c>
    </row>
    <row r="299" spans="6:20" x14ac:dyDescent="0.2">
      <c r="F299" s="158">
        <v>288</v>
      </c>
      <c r="G299" s="249">
        <f t="shared" si="54"/>
        <v>52412</v>
      </c>
      <c r="H299" s="158">
        <f t="shared" si="58"/>
        <v>30</v>
      </c>
      <c r="I299" s="254">
        <f>VLOOKUP(G299,'Прогноз переменной ставки'!$B$5:$E$304,4,1)</f>
        <v>9.9000000000000005E-2</v>
      </c>
      <c r="J299" s="164">
        <f t="shared" si="55"/>
        <v>0</v>
      </c>
      <c r="K299" s="164">
        <f t="shared" si="56"/>
        <v>0</v>
      </c>
      <c r="L299" s="164">
        <f t="shared" si="60"/>
        <v>0</v>
      </c>
      <c r="M299" s="164">
        <f t="shared" si="60"/>
        <v>0</v>
      </c>
      <c r="N299" s="164">
        <f t="shared" si="57"/>
        <v>0</v>
      </c>
      <c r="O299" s="164">
        <f t="shared" si="49"/>
        <v>0</v>
      </c>
      <c r="P299" s="164">
        <f t="shared" si="50"/>
        <v>0</v>
      </c>
      <c r="Q299" s="164">
        <f t="shared" si="51"/>
        <v>0</v>
      </c>
      <c r="R299" s="164">
        <f t="shared" si="59"/>
        <v>0</v>
      </c>
      <c r="S299" s="164">
        <f t="shared" si="52"/>
        <v>0</v>
      </c>
      <c r="T299" s="164">
        <f t="shared" si="53"/>
        <v>0</v>
      </c>
    </row>
    <row r="300" spans="6:20" x14ac:dyDescent="0.2">
      <c r="F300" s="158">
        <v>289</v>
      </c>
      <c r="G300" s="249">
        <f t="shared" si="54"/>
        <v>52443</v>
      </c>
      <c r="H300" s="158">
        <f t="shared" si="58"/>
        <v>31</v>
      </c>
      <c r="I300" s="254">
        <f>VLOOKUP(G300,'Прогноз переменной ставки'!$B$5:$E$304,4,1)</f>
        <v>9.9000000000000005E-2</v>
      </c>
      <c r="J300" s="164">
        <f t="shared" si="55"/>
        <v>0</v>
      </c>
      <c r="K300" s="164">
        <f t="shared" si="56"/>
        <v>0</v>
      </c>
      <c r="L300" s="164">
        <f t="shared" si="60"/>
        <v>0</v>
      </c>
      <c r="M300" s="164">
        <f t="shared" si="60"/>
        <v>0</v>
      </c>
      <c r="N300" s="164">
        <f t="shared" si="57"/>
        <v>0</v>
      </c>
      <c r="O300" s="164">
        <f t="shared" si="49"/>
        <v>0</v>
      </c>
      <c r="P300" s="164">
        <f t="shared" si="50"/>
        <v>0</v>
      </c>
      <c r="Q300" s="164">
        <f t="shared" si="51"/>
        <v>0</v>
      </c>
      <c r="R300" s="164">
        <f t="shared" si="59"/>
        <v>0</v>
      </c>
      <c r="S300" s="164">
        <f t="shared" si="52"/>
        <v>0</v>
      </c>
      <c r="T300" s="164">
        <f t="shared" si="53"/>
        <v>0</v>
      </c>
    </row>
    <row r="301" spans="6:20" x14ac:dyDescent="0.2">
      <c r="F301" s="158">
        <v>290</v>
      </c>
      <c r="G301" s="249">
        <f t="shared" si="54"/>
        <v>52474</v>
      </c>
      <c r="H301" s="158">
        <f t="shared" si="58"/>
        <v>31</v>
      </c>
      <c r="I301" s="254">
        <f>VLOOKUP(G301,'Прогноз переменной ставки'!$B$5:$E$304,4,1)</f>
        <v>9.9000000000000005E-2</v>
      </c>
      <c r="J301" s="164">
        <f t="shared" si="55"/>
        <v>0</v>
      </c>
      <c r="K301" s="164">
        <f t="shared" si="56"/>
        <v>0</v>
      </c>
      <c r="L301" s="164">
        <f t="shared" si="60"/>
        <v>0</v>
      </c>
      <c r="M301" s="164">
        <f t="shared" si="60"/>
        <v>0</v>
      </c>
      <c r="N301" s="164">
        <f t="shared" si="57"/>
        <v>0</v>
      </c>
      <c r="O301" s="164">
        <f t="shared" si="49"/>
        <v>0</v>
      </c>
      <c r="P301" s="164">
        <f t="shared" si="50"/>
        <v>0</v>
      </c>
      <c r="Q301" s="164">
        <f t="shared" si="51"/>
        <v>0</v>
      </c>
      <c r="R301" s="164">
        <f t="shared" si="59"/>
        <v>0</v>
      </c>
      <c r="S301" s="164">
        <f t="shared" si="52"/>
        <v>0</v>
      </c>
      <c r="T301" s="164">
        <f t="shared" si="53"/>
        <v>0</v>
      </c>
    </row>
    <row r="302" spans="6:20" x14ac:dyDescent="0.2">
      <c r="F302" s="158">
        <v>291</v>
      </c>
      <c r="G302" s="249">
        <f t="shared" si="54"/>
        <v>52504</v>
      </c>
      <c r="H302" s="158">
        <f t="shared" si="58"/>
        <v>30</v>
      </c>
      <c r="I302" s="254">
        <f>VLOOKUP(G302,'Прогноз переменной ставки'!$B$5:$E$304,4,1)</f>
        <v>9.9000000000000005E-2</v>
      </c>
      <c r="J302" s="164">
        <f t="shared" si="55"/>
        <v>0</v>
      </c>
      <c r="K302" s="164">
        <f t="shared" si="56"/>
        <v>0</v>
      </c>
      <c r="L302" s="164">
        <f t="shared" si="60"/>
        <v>0</v>
      </c>
      <c r="M302" s="164">
        <f t="shared" si="60"/>
        <v>0</v>
      </c>
      <c r="N302" s="164">
        <f t="shared" si="57"/>
        <v>0</v>
      </c>
      <c r="O302" s="164">
        <f t="shared" si="49"/>
        <v>0</v>
      </c>
      <c r="P302" s="164">
        <f t="shared" si="50"/>
        <v>0</v>
      </c>
      <c r="Q302" s="164">
        <f t="shared" si="51"/>
        <v>0</v>
      </c>
      <c r="R302" s="164">
        <f t="shared" si="59"/>
        <v>0</v>
      </c>
      <c r="S302" s="164">
        <f t="shared" si="52"/>
        <v>0</v>
      </c>
      <c r="T302" s="164">
        <f t="shared" si="53"/>
        <v>0</v>
      </c>
    </row>
    <row r="303" spans="6:20" x14ac:dyDescent="0.2">
      <c r="F303" s="158">
        <v>292</v>
      </c>
      <c r="G303" s="249">
        <f t="shared" si="54"/>
        <v>52535</v>
      </c>
      <c r="H303" s="158">
        <f t="shared" si="58"/>
        <v>31</v>
      </c>
      <c r="I303" s="254">
        <f>VLOOKUP(G303,'Прогноз переменной ставки'!$B$5:$E$304,4,1)</f>
        <v>9.9000000000000005E-2</v>
      </c>
      <c r="J303" s="164">
        <f t="shared" si="55"/>
        <v>0</v>
      </c>
      <c r="K303" s="164">
        <f t="shared" si="56"/>
        <v>0</v>
      </c>
      <c r="L303" s="164">
        <f t="shared" si="60"/>
        <v>0</v>
      </c>
      <c r="M303" s="164">
        <f t="shared" si="60"/>
        <v>0</v>
      </c>
      <c r="N303" s="164">
        <f t="shared" si="57"/>
        <v>0</v>
      </c>
      <c r="O303" s="164">
        <f t="shared" si="49"/>
        <v>0</v>
      </c>
      <c r="P303" s="164">
        <f t="shared" si="50"/>
        <v>0</v>
      </c>
      <c r="Q303" s="164">
        <f t="shared" si="51"/>
        <v>0</v>
      </c>
      <c r="R303" s="164">
        <f t="shared" si="59"/>
        <v>0</v>
      </c>
      <c r="S303" s="164">
        <f t="shared" si="52"/>
        <v>0</v>
      </c>
      <c r="T303" s="164">
        <f t="shared" si="53"/>
        <v>0</v>
      </c>
    </row>
    <row r="304" spans="6:20" x14ac:dyDescent="0.2">
      <c r="F304" s="158">
        <v>293</v>
      </c>
      <c r="G304" s="249">
        <f t="shared" si="54"/>
        <v>52565</v>
      </c>
      <c r="H304" s="158">
        <f t="shared" si="58"/>
        <v>30</v>
      </c>
      <c r="I304" s="254">
        <f>VLOOKUP(G304,'Прогноз переменной ставки'!$B$5:$E$304,4,1)</f>
        <v>9.9000000000000005E-2</v>
      </c>
      <c r="J304" s="164">
        <f t="shared" si="55"/>
        <v>0</v>
      </c>
      <c r="K304" s="164">
        <f t="shared" si="56"/>
        <v>0</v>
      </c>
      <c r="L304" s="164">
        <f t="shared" si="60"/>
        <v>0</v>
      </c>
      <c r="M304" s="164">
        <f t="shared" si="60"/>
        <v>0</v>
      </c>
      <c r="N304" s="164">
        <f t="shared" si="57"/>
        <v>0</v>
      </c>
      <c r="O304" s="164">
        <f t="shared" si="49"/>
        <v>0</v>
      </c>
      <c r="P304" s="164">
        <f t="shared" si="50"/>
        <v>0</v>
      </c>
      <c r="Q304" s="164">
        <f t="shared" si="51"/>
        <v>0</v>
      </c>
      <c r="R304" s="164">
        <f t="shared" si="59"/>
        <v>0</v>
      </c>
      <c r="S304" s="164">
        <f t="shared" si="52"/>
        <v>0</v>
      </c>
      <c r="T304" s="164">
        <f t="shared" si="53"/>
        <v>0</v>
      </c>
    </row>
    <row r="305" spans="6:20" x14ac:dyDescent="0.2">
      <c r="F305" s="158">
        <v>294</v>
      </c>
      <c r="G305" s="249">
        <f t="shared" si="54"/>
        <v>52596</v>
      </c>
      <c r="H305" s="158">
        <f t="shared" si="58"/>
        <v>31</v>
      </c>
      <c r="I305" s="254">
        <f>VLOOKUP(G305,'Прогноз переменной ставки'!$B$5:$E$304,4,1)</f>
        <v>9.9000000000000005E-2</v>
      </c>
      <c r="J305" s="164">
        <f t="shared" si="55"/>
        <v>0</v>
      </c>
      <c r="K305" s="164">
        <f t="shared" si="56"/>
        <v>0</v>
      </c>
      <c r="L305" s="164">
        <f t="shared" si="60"/>
        <v>0</v>
      </c>
      <c r="M305" s="164">
        <f t="shared" si="60"/>
        <v>0</v>
      </c>
      <c r="N305" s="164">
        <f t="shared" si="57"/>
        <v>0</v>
      </c>
      <c r="O305" s="164">
        <f t="shared" si="49"/>
        <v>0</v>
      </c>
      <c r="P305" s="164">
        <f t="shared" si="50"/>
        <v>0</v>
      </c>
      <c r="Q305" s="164">
        <f t="shared" si="51"/>
        <v>0</v>
      </c>
      <c r="R305" s="164">
        <f t="shared" si="59"/>
        <v>0</v>
      </c>
      <c r="S305" s="164">
        <f t="shared" si="52"/>
        <v>0</v>
      </c>
      <c r="T305" s="164">
        <f t="shared" si="53"/>
        <v>0</v>
      </c>
    </row>
    <row r="306" spans="6:20" x14ac:dyDescent="0.2">
      <c r="F306" s="158">
        <v>295</v>
      </c>
      <c r="G306" s="249">
        <f t="shared" si="54"/>
        <v>52627</v>
      </c>
      <c r="H306" s="158">
        <f t="shared" si="58"/>
        <v>31</v>
      </c>
      <c r="I306" s="254">
        <f>VLOOKUP(G306,'Прогноз переменной ставки'!$B$5:$E$304,4,1)</f>
        <v>9.9000000000000005E-2</v>
      </c>
      <c r="J306" s="164">
        <f t="shared" si="55"/>
        <v>0</v>
      </c>
      <c r="K306" s="164">
        <f t="shared" si="56"/>
        <v>0</v>
      </c>
      <c r="L306" s="164">
        <f t="shared" si="60"/>
        <v>0</v>
      </c>
      <c r="M306" s="164">
        <f t="shared" si="60"/>
        <v>0</v>
      </c>
      <c r="N306" s="164">
        <f t="shared" si="57"/>
        <v>0</v>
      </c>
      <c r="O306" s="164">
        <f t="shared" si="49"/>
        <v>0</v>
      </c>
      <c r="P306" s="164">
        <f t="shared" si="50"/>
        <v>0</v>
      </c>
      <c r="Q306" s="164">
        <f t="shared" si="51"/>
        <v>0</v>
      </c>
      <c r="R306" s="164">
        <f t="shared" si="59"/>
        <v>0</v>
      </c>
      <c r="S306" s="164">
        <f t="shared" si="52"/>
        <v>0</v>
      </c>
      <c r="T306" s="164">
        <f t="shared" si="53"/>
        <v>0</v>
      </c>
    </row>
    <row r="307" spans="6:20" x14ac:dyDescent="0.2">
      <c r="F307" s="158">
        <v>296</v>
      </c>
      <c r="G307" s="249">
        <f t="shared" si="54"/>
        <v>52656</v>
      </c>
      <c r="H307" s="158">
        <f t="shared" si="58"/>
        <v>29</v>
      </c>
      <c r="I307" s="254">
        <f>VLOOKUP(G307,'Прогноз переменной ставки'!$B$5:$E$304,4,1)</f>
        <v>9.9000000000000005E-2</v>
      </c>
      <c r="J307" s="164">
        <f t="shared" si="55"/>
        <v>0</v>
      </c>
      <c r="K307" s="164">
        <f t="shared" si="56"/>
        <v>0</v>
      </c>
      <c r="L307" s="164">
        <f t="shared" si="60"/>
        <v>0</v>
      </c>
      <c r="M307" s="164">
        <f t="shared" si="60"/>
        <v>0</v>
      </c>
      <c r="N307" s="164">
        <f t="shared" si="57"/>
        <v>0</v>
      </c>
      <c r="O307" s="164">
        <f t="shared" si="49"/>
        <v>0</v>
      </c>
      <c r="P307" s="164">
        <f t="shared" si="50"/>
        <v>0</v>
      </c>
      <c r="Q307" s="164">
        <f t="shared" si="51"/>
        <v>0</v>
      </c>
      <c r="R307" s="164">
        <f t="shared" si="59"/>
        <v>0</v>
      </c>
      <c r="S307" s="164">
        <f t="shared" si="52"/>
        <v>0</v>
      </c>
      <c r="T307" s="164">
        <f t="shared" si="53"/>
        <v>0</v>
      </c>
    </row>
    <row r="308" spans="6:20" x14ac:dyDescent="0.2">
      <c r="F308" s="158">
        <v>297</v>
      </c>
      <c r="G308" s="249">
        <f t="shared" si="54"/>
        <v>52687</v>
      </c>
      <c r="H308" s="158">
        <f t="shared" si="58"/>
        <v>31</v>
      </c>
      <c r="I308" s="254">
        <f>VLOOKUP(G308,'Прогноз переменной ставки'!$B$5:$E$304,4,1)</f>
        <v>9.9000000000000005E-2</v>
      </c>
      <c r="J308" s="164">
        <f t="shared" si="55"/>
        <v>0</v>
      </c>
      <c r="K308" s="164">
        <f t="shared" si="56"/>
        <v>0</v>
      </c>
      <c r="L308" s="164">
        <f t="shared" si="60"/>
        <v>0</v>
      </c>
      <c r="M308" s="164">
        <f t="shared" si="60"/>
        <v>0</v>
      </c>
      <c r="N308" s="164">
        <f t="shared" si="57"/>
        <v>0</v>
      </c>
      <c r="O308" s="164">
        <f t="shared" si="49"/>
        <v>0</v>
      </c>
      <c r="P308" s="164">
        <f t="shared" si="50"/>
        <v>0</v>
      </c>
      <c r="Q308" s="164">
        <f t="shared" si="51"/>
        <v>0</v>
      </c>
      <c r="R308" s="164">
        <f t="shared" si="59"/>
        <v>0</v>
      </c>
      <c r="S308" s="164">
        <f t="shared" si="52"/>
        <v>0</v>
      </c>
      <c r="T308" s="164">
        <f t="shared" si="53"/>
        <v>0</v>
      </c>
    </row>
    <row r="309" spans="6:20" x14ac:dyDescent="0.2">
      <c r="F309" s="158">
        <v>298</v>
      </c>
      <c r="G309" s="249">
        <f t="shared" si="54"/>
        <v>52717</v>
      </c>
      <c r="H309" s="158">
        <f t="shared" si="58"/>
        <v>30</v>
      </c>
      <c r="I309" s="254">
        <f>VLOOKUP(G309,'Прогноз переменной ставки'!$B$5:$E$304,4,1)</f>
        <v>9.9000000000000005E-2</v>
      </c>
      <c r="J309" s="164">
        <f t="shared" si="55"/>
        <v>0</v>
      </c>
      <c r="K309" s="164">
        <f t="shared" si="56"/>
        <v>0</v>
      </c>
      <c r="L309" s="164">
        <f t="shared" si="60"/>
        <v>0</v>
      </c>
      <c r="M309" s="164">
        <f t="shared" si="60"/>
        <v>0</v>
      </c>
      <c r="N309" s="164">
        <f t="shared" si="57"/>
        <v>0</v>
      </c>
      <c r="O309" s="164">
        <f t="shared" si="49"/>
        <v>0</v>
      </c>
      <c r="P309" s="164">
        <f t="shared" si="50"/>
        <v>0</v>
      </c>
      <c r="Q309" s="164">
        <f t="shared" si="51"/>
        <v>0</v>
      </c>
      <c r="R309" s="164">
        <f t="shared" si="59"/>
        <v>0</v>
      </c>
      <c r="S309" s="164">
        <f t="shared" si="52"/>
        <v>0</v>
      </c>
      <c r="T309" s="164">
        <f t="shared" si="53"/>
        <v>0</v>
      </c>
    </row>
    <row r="310" spans="6:20" x14ac:dyDescent="0.2">
      <c r="F310" s="158">
        <v>299</v>
      </c>
      <c r="G310" s="249">
        <f t="shared" si="54"/>
        <v>52748</v>
      </c>
      <c r="H310" s="158">
        <f t="shared" si="58"/>
        <v>31</v>
      </c>
      <c r="I310" s="254">
        <f>VLOOKUP(G310,'Прогноз переменной ставки'!$B$5:$E$304,4,1)</f>
        <v>9.9000000000000005E-2</v>
      </c>
      <c r="J310" s="164">
        <f t="shared" si="55"/>
        <v>0</v>
      </c>
      <c r="K310" s="164">
        <f t="shared" si="56"/>
        <v>0</v>
      </c>
      <c r="L310" s="164">
        <f t="shared" si="60"/>
        <v>0</v>
      </c>
      <c r="M310" s="164">
        <f t="shared" si="60"/>
        <v>0</v>
      </c>
      <c r="N310" s="164">
        <f t="shared" si="57"/>
        <v>0</v>
      </c>
      <c r="O310" s="164">
        <f t="shared" si="49"/>
        <v>0</v>
      </c>
      <c r="P310" s="164">
        <f t="shared" si="50"/>
        <v>0</v>
      </c>
      <c r="Q310" s="164">
        <f t="shared" si="51"/>
        <v>0</v>
      </c>
      <c r="R310" s="164">
        <f t="shared" si="59"/>
        <v>0</v>
      </c>
      <c r="S310" s="164">
        <f t="shared" si="52"/>
        <v>0</v>
      </c>
      <c r="T310" s="164">
        <f t="shared" si="53"/>
        <v>0</v>
      </c>
    </row>
    <row r="311" spans="6:20" x14ac:dyDescent="0.2">
      <c r="F311" s="158">
        <v>300</v>
      </c>
      <c r="G311" s="249">
        <f t="shared" si="54"/>
        <v>52778</v>
      </c>
      <c r="H311" s="158">
        <f t="shared" si="58"/>
        <v>30</v>
      </c>
      <c r="I311" s="254">
        <f>VLOOKUP(G311,'Прогноз переменной ставки'!$B$5:$E$304,4,1)</f>
        <v>9.9000000000000005E-2</v>
      </c>
      <c r="J311" s="164">
        <f t="shared" si="55"/>
        <v>0</v>
      </c>
      <c r="K311" s="164">
        <f t="shared" si="56"/>
        <v>0</v>
      </c>
      <c r="L311" s="164">
        <f t="shared" si="60"/>
        <v>0</v>
      </c>
      <c r="M311" s="164">
        <f t="shared" si="60"/>
        <v>0</v>
      </c>
      <c r="N311" s="164">
        <f t="shared" si="57"/>
        <v>0</v>
      </c>
      <c r="O311" s="164">
        <f t="shared" si="49"/>
        <v>0</v>
      </c>
      <c r="P311" s="164">
        <f t="shared" si="50"/>
        <v>0</v>
      </c>
      <c r="Q311" s="164">
        <f t="shared" si="51"/>
        <v>0</v>
      </c>
      <c r="R311" s="164">
        <f t="shared" si="59"/>
        <v>0</v>
      </c>
      <c r="S311" s="164">
        <f t="shared" si="52"/>
        <v>0</v>
      </c>
      <c r="T311" s="164">
        <f t="shared" si="53"/>
        <v>0</v>
      </c>
    </row>
    <row r="312" spans="6:20" x14ac:dyDescent="0.2">
      <c r="F312" s="158">
        <v>301</v>
      </c>
      <c r="G312" s="249">
        <f t="shared" ref="G312" si="61">EOMONTH($D$9,F312-1)</f>
        <v>52809</v>
      </c>
      <c r="H312" s="158">
        <f t="shared" ref="H312" si="62">G312-G311</f>
        <v>31</v>
      </c>
      <c r="I312" s="254">
        <f>VLOOKUP(G312,'Прогноз переменной ставки'!$B$5:$E$304,4,1)</f>
        <v>9.9000000000000005E-2</v>
      </c>
      <c r="J312" s="164">
        <f t="shared" ref="J312" si="63">IF(F312=$D$4,K312+N312,MIN($D$5,K312+N312))</f>
        <v>0</v>
      </c>
      <c r="K312" s="164">
        <f t="shared" ref="K312" si="64">L312+M312</f>
        <v>0</v>
      </c>
      <c r="L312" s="164">
        <f t="shared" ref="L312" si="65">S311</f>
        <v>0</v>
      </c>
      <c r="M312" s="164">
        <f t="shared" ref="M312" si="66">T311</f>
        <v>0</v>
      </c>
      <c r="N312" s="164">
        <f t="shared" ref="N312" si="67">L312*I312/365.25*H312</f>
        <v>0</v>
      </c>
      <c r="O312" s="164">
        <f t="shared" ref="O312" si="68">MIN(J312-Q312-P312,L312)</f>
        <v>0</v>
      </c>
      <c r="P312" s="164">
        <f t="shared" ref="P312" si="69">MIN(J312-Q312,N312)</f>
        <v>0</v>
      </c>
      <c r="Q312" s="164">
        <f t="shared" ref="Q312" si="70">MIN(J312,M312)</f>
        <v>0</v>
      </c>
      <c r="R312" s="164">
        <f t="shared" ref="R312" si="71">MAX(N312-P312,0)</f>
        <v>0</v>
      </c>
      <c r="S312" s="164">
        <f t="shared" ref="S312" si="72">L312-O312</f>
        <v>0</v>
      </c>
      <c r="T312" s="164">
        <f t="shared" ref="T312" si="73">M312+R312-Q312</f>
        <v>0</v>
      </c>
    </row>
  </sheetData>
  <customSheetViews>
    <customSheetView guid="{A6ED9047-BF5F-4715-989F-6B73F8A8D111}" state="hidden">
      <selection activeCell="L51" sqref="L5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B2:U549"/>
  <sheetViews>
    <sheetView workbookViewId="0">
      <selection activeCell="D7" sqref="D7"/>
    </sheetView>
  </sheetViews>
  <sheetFormatPr defaultColWidth="9.140625" defaultRowHeight="12.75" x14ac:dyDescent="0.2"/>
  <cols>
    <col min="1" max="1" width="2" style="144" customWidth="1"/>
    <col min="2" max="2" width="36.42578125" style="144" customWidth="1"/>
    <col min="3" max="3" width="1.42578125" style="144" customWidth="1"/>
    <col min="4" max="4" width="15" style="144" customWidth="1"/>
    <col min="5" max="5" width="2.42578125" style="144" customWidth="1"/>
    <col min="6" max="6" width="4" style="144" customWidth="1"/>
    <col min="7" max="7" width="15.5703125" style="144" customWidth="1"/>
    <col min="8" max="8" width="12.85546875" style="144" customWidth="1"/>
    <col min="9" max="9" width="11.85546875" style="144" customWidth="1"/>
    <col min="10" max="10" width="13.5703125" style="255" customWidth="1"/>
    <col min="11" max="11" width="14.42578125" style="145" customWidth="1"/>
    <col min="12" max="12" width="11.85546875" style="145" customWidth="1"/>
    <col min="13" max="13" width="13.5703125" style="145" customWidth="1"/>
    <col min="14" max="14" width="11.42578125" style="145" customWidth="1"/>
    <col min="15" max="15" width="11.5703125" style="145" customWidth="1"/>
    <col min="16" max="16" width="11.42578125" style="145" bestFit="1" customWidth="1"/>
    <col min="17" max="17" width="14" style="145" customWidth="1"/>
    <col min="18" max="18" width="15" style="145" customWidth="1"/>
    <col min="19" max="19" width="11.85546875" style="145" customWidth="1"/>
    <col min="20" max="20" width="15.42578125" style="145" customWidth="1"/>
    <col min="21" max="16384" width="9.140625" style="144"/>
  </cols>
  <sheetData>
    <row r="2" spans="2:21" ht="15" x14ac:dyDescent="0.25">
      <c r="B2" s="242" t="s">
        <v>301</v>
      </c>
      <c r="D2" s="242" t="s">
        <v>302</v>
      </c>
      <c r="J2" s="144"/>
      <c r="K2" s="243"/>
      <c r="L2" s="144"/>
      <c r="M2" s="144"/>
      <c r="N2" s="144"/>
      <c r="O2" s="144"/>
      <c r="P2" s="144"/>
      <c r="Q2" s="144"/>
      <c r="R2" s="144"/>
      <c r="S2" s="144"/>
      <c r="T2" s="144"/>
    </row>
    <row r="3" spans="2:21" x14ac:dyDescent="0.2">
      <c r="B3" s="158" t="s">
        <v>303</v>
      </c>
      <c r="D3" s="221">
        <f>'Калькулятор_от дохода'!V123</f>
        <v>4306499.0103433207</v>
      </c>
      <c r="E3" s="17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1" x14ac:dyDescent="0.2">
      <c r="B4" s="158" t="s">
        <v>304</v>
      </c>
      <c r="D4" s="221">
        <f>'Расчет по доходу заемщика'!$I$41</f>
        <v>360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1" x14ac:dyDescent="0.2">
      <c r="B5" s="158" t="s">
        <v>42</v>
      </c>
      <c r="D5" s="244">
        <f>'Калькулятор_от дохода'!$V$129</f>
        <v>59999.999999999993</v>
      </c>
      <c r="J5" s="144"/>
      <c r="K5" s="144"/>
      <c r="L5" s="144"/>
      <c r="M5" s="144"/>
      <c r="N5" s="144"/>
      <c r="O5" s="144"/>
      <c r="P5" s="144"/>
      <c r="Q5" s="144"/>
      <c r="R5" s="144"/>
      <c r="S5" s="245"/>
      <c r="T5" s="245"/>
      <c r="U5" s="245"/>
    </row>
    <row r="6" spans="2:21" x14ac:dyDescent="0.2">
      <c r="B6" s="158" t="s">
        <v>305</v>
      </c>
      <c r="D6" s="221">
        <f>MATCH(0,K12:K372,0)-1</f>
        <v>110</v>
      </c>
      <c r="F6" s="246"/>
      <c r="G6" s="246"/>
      <c r="H6" s="246"/>
      <c r="I6" s="246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2:21" x14ac:dyDescent="0.2">
      <c r="B7" s="158" t="s">
        <v>306</v>
      </c>
      <c r="D7" s="247">
        <f>VLOOKUP(D4+1,$F$12:$L$371,4)</f>
        <v>9.9000000000000005E-2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2:21" ht="15" x14ac:dyDescent="0.25">
      <c r="B8" s="224" t="s">
        <v>224</v>
      </c>
      <c r="D8" s="221">
        <f>SUM($J$12:$J$371)-D3</f>
        <v>2247644.4819257967</v>
      </c>
      <c r="J8" s="144"/>
      <c r="K8" s="144"/>
      <c r="L8" s="144"/>
      <c r="M8" s="248" t="s">
        <v>307</v>
      </c>
      <c r="N8" s="144"/>
      <c r="O8" s="144"/>
      <c r="P8" s="144"/>
      <c r="Q8" s="144"/>
      <c r="R8" s="144"/>
      <c r="S8" s="144"/>
      <c r="T8" s="144"/>
    </row>
    <row r="9" spans="2:21" ht="15" x14ac:dyDescent="0.25">
      <c r="B9" s="224" t="s">
        <v>308</v>
      </c>
      <c r="D9" s="249">
        <f>'Калькулятор_от дохода'!$V$114</f>
        <v>43647</v>
      </c>
      <c r="J9" s="144"/>
      <c r="K9" s="144"/>
      <c r="L9" s="144"/>
      <c r="M9" s="248"/>
      <c r="N9" s="144"/>
      <c r="O9" s="144"/>
      <c r="P9" s="144"/>
      <c r="Q9" s="144"/>
      <c r="R9" s="144"/>
      <c r="S9" s="144"/>
      <c r="T9" s="144"/>
    </row>
    <row r="10" spans="2:21" s="250" customFormat="1" ht="51" x14ac:dyDescent="0.2">
      <c r="B10" s="171"/>
      <c r="C10" s="171"/>
      <c r="D10" s="171"/>
      <c r="F10" s="251"/>
      <c r="G10" s="252" t="s">
        <v>0</v>
      </c>
      <c r="H10" s="252" t="s">
        <v>3</v>
      </c>
      <c r="I10" s="252" t="s">
        <v>309</v>
      </c>
      <c r="J10" s="252" t="s">
        <v>42</v>
      </c>
      <c r="K10" s="252" t="s">
        <v>310</v>
      </c>
      <c r="L10" s="252" t="s">
        <v>311</v>
      </c>
      <c r="M10" s="252" t="s">
        <v>312</v>
      </c>
      <c r="N10" s="252" t="s">
        <v>313</v>
      </c>
      <c r="O10" s="252" t="s">
        <v>314</v>
      </c>
      <c r="P10" s="252" t="s">
        <v>315</v>
      </c>
      <c r="Q10" s="252" t="s">
        <v>316</v>
      </c>
      <c r="R10" s="252" t="s">
        <v>317</v>
      </c>
      <c r="S10" s="252" t="s">
        <v>318</v>
      </c>
      <c r="T10" s="252" t="s">
        <v>319</v>
      </c>
    </row>
    <row r="11" spans="2:21" s="250" customFormat="1" x14ac:dyDescent="0.25">
      <c r="B11" s="253"/>
      <c r="D11" s="253"/>
      <c r="F11" s="251">
        <v>1</v>
      </c>
      <c r="G11" s="251">
        <v>2</v>
      </c>
      <c r="H11" s="251">
        <v>3</v>
      </c>
      <c r="I11" s="251">
        <v>4</v>
      </c>
      <c r="J11" s="251">
        <v>5</v>
      </c>
      <c r="K11" s="251">
        <v>6</v>
      </c>
      <c r="L11" s="251">
        <v>7</v>
      </c>
      <c r="M11" s="251">
        <v>8</v>
      </c>
      <c r="N11" s="251">
        <v>9</v>
      </c>
      <c r="O11" s="251">
        <v>10</v>
      </c>
      <c r="P11" s="251">
        <v>11</v>
      </c>
      <c r="Q11" s="251">
        <v>12</v>
      </c>
      <c r="R11" s="251">
        <v>13</v>
      </c>
      <c r="S11" s="251">
        <v>14</v>
      </c>
      <c r="T11" s="251">
        <v>15</v>
      </c>
    </row>
    <row r="12" spans="2:21" x14ac:dyDescent="0.2">
      <c r="B12" s="171"/>
      <c r="D12" s="171"/>
      <c r="F12" s="158">
        <v>1</v>
      </c>
      <c r="G12" s="249">
        <f>EOMONTH($D$9,F12-1)</f>
        <v>43677</v>
      </c>
      <c r="H12" s="158">
        <f>G12-D9</f>
        <v>30</v>
      </c>
      <c r="I12" s="254">
        <f>VLOOKUP(G12,'Прогноз переменной ставки'!$B$5:$E$364,4,1)</f>
        <v>9.9900000000000003E-2</v>
      </c>
      <c r="J12" s="164">
        <f>IF(F12=$D$4,K12+N12,MIN($D$5,K12+N12))</f>
        <v>59999.999999999993</v>
      </c>
      <c r="K12" s="164">
        <f>L12+M12</f>
        <v>4306499.0103433207</v>
      </c>
      <c r="L12" s="164">
        <f>D3</f>
        <v>4306499.0103433207</v>
      </c>
      <c r="M12" s="164">
        <v>0</v>
      </c>
      <c r="N12" s="164">
        <f>L12*I12/365.25*H12</f>
        <v>35336.283460640472</v>
      </c>
      <c r="O12" s="164">
        <f t="shared" ref="O12:O75" si="0">MIN(J12-Q12-P12,L12)</f>
        <v>24663.716539359521</v>
      </c>
      <c r="P12" s="164">
        <f t="shared" ref="P12:P75" si="1">MIN(J12-Q12,N12)</f>
        <v>35336.283460640472</v>
      </c>
      <c r="Q12" s="164">
        <f t="shared" ref="Q12:Q75" si="2">MIN(J12,M12)</f>
        <v>0</v>
      </c>
      <c r="R12" s="164">
        <f>MAX(N12-P12,0)</f>
        <v>0</v>
      </c>
      <c r="S12" s="164">
        <f t="shared" ref="S12:S75" si="3">L12-O12</f>
        <v>4281835.293803961</v>
      </c>
      <c r="T12" s="164">
        <f t="shared" ref="T12:T75" si="4">M12+R12-Q12</f>
        <v>0</v>
      </c>
    </row>
    <row r="13" spans="2:21" x14ac:dyDescent="0.2">
      <c r="B13" s="171"/>
      <c r="D13" s="171"/>
      <c r="F13" s="158">
        <v>2</v>
      </c>
      <c r="G13" s="249">
        <f t="shared" ref="G13:G76" si="5">EOMONTH($D$9,F13-1)</f>
        <v>43708</v>
      </c>
      <c r="H13" s="158">
        <f>G13-G12</f>
        <v>31</v>
      </c>
      <c r="I13" s="254">
        <f>VLOOKUP(G13,'Прогноз переменной ставки'!$B$5:$E$304,4,1)</f>
        <v>9.9900000000000003E-2</v>
      </c>
      <c r="J13" s="164">
        <f t="shared" ref="J13:J76" si="6">IF(F13=$D$4,K13+N13,MIN($D$5,K13+N13))</f>
        <v>59999.999999999993</v>
      </c>
      <c r="K13" s="164">
        <f t="shared" ref="K13:K76" si="7">L13+M13</f>
        <v>4281835.293803961</v>
      </c>
      <c r="L13" s="164">
        <f>S12</f>
        <v>4281835.293803961</v>
      </c>
      <c r="M13" s="164">
        <f>T12</f>
        <v>0</v>
      </c>
      <c r="N13" s="164">
        <f t="shared" ref="N13:N76" si="8">L13*I13/365.25*H13</f>
        <v>36305.0396204832</v>
      </c>
      <c r="O13" s="164">
        <f t="shared" si="0"/>
        <v>23694.960379516793</v>
      </c>
      <c r="P13" s="164">
        <f t="shared" si="1"/>
        <v>36305.0396204832</v>
      </c>
      <c r="Q13" s="164">
        <f t="shared" si="2"/>
        <v>0</v>
      </c>
      <c r="R13" s="164">
        <f>MAX(N13-P13,0)</f>
        <v>0</v>
      </c>
      <c r="S13" s="164">
        <f t="shared" si="3"/>
        <v>4258140.3334244443</v>
      </c>
      <c r="T13" s="164">
        <f t="shared" si="4"/>
        <v>0</v>
      </c>
    </row>
    <row r="14" spans="2:21" x14ac:dyDescent="0.2">
      <c r="B14" s="171"/>
      <c r="D14" s="171"/>
      <c r="F14" s="158">
        <v>3</v>
      </c>
      <c r="G14" s="249">
        <f t="shared" si="5"/>
        <v>43738</v>
      </c>
      <c r="H14" s="158">
        <f t="shared" ref="H14:H77" si="9">G14-G13</f>
        <v>30</v>
      </c>
      <c r="I14" s="254">
        <f>VLOOKUP(G14,'Прогноз переменной ставки'!$B$5:$E$304,4,1)</f>
        <v>9.9900000000000003E-2</v>
      </c>
      <c r="J14" s="164">
        <f t="shared" si="6"/>
        <v>59999.999999999993</v>
      </c>
      <c r="K14" s="164">
        <f t="shared" si="7"/>
        <v>4258140.3334244443</v>
      </c>
      <c r="L14" s="164">
        <f t="shared" ref="L14:M77" si="10">S13</f>
        <v>4258140.3334244443</v>
      </c>
      <c r="M14" s="164">
        <f t="shared" si="10"/>
        <v>0</v>
      </c>
      <c r="N14" s="164">
        <f t="shared" si="8"/>
        <v>34939.484132164434</v>
      </c>
      <c r="O14" s="164">
        <f t="shared" si="0"/>
        <v>25060.515867835558</v>
      </c>
      <c r="P14" s="164">
        <f t="shared" si="1"/>
        <v>34939.484132164434</v>
      </c>
      <c r="Q14" s="164">
        <f t="shared" si="2"/>
        <v>0</v>
      </c>
      <c r="R14" s="164">
        <f t="shared" ref="R14:R77" si="11">MAX(N14-P14,0)</f>
        <v>0</v>
      </c>
      <c r="S14" s="164">
        <f t="shared" si="3"/>
        <v>4233079.8175566085</v>
      </c>
      <c r="T14" s="164">
        <f t="shared" si="4"/>
        <v>0</v>
      </c>
    </row>
    <row r="15" spans="2:21" x14ac:dyDescent="0.2">
      <c r="B15" s="171"/>
      <c r="D15" s="171"/>
      <c r="F15" s="158">
        <v>4</v>
      </c>
      <c r="G15" s="249">
        <f t="shared" si="5"/>
        <v>43769</v>
      </c>
      <c r="H15" s="158">
        <f t="shared" si="9"/>
        <v>31</v>
      </c>
      <c r="I15" s="254">
        <f>VLOOKUP(G15,'Прогноз переменной ставки'!$B$5:$E$304,4,1)</f>
        <v>9.9900000000000003E-2</v>
      </c>
      <c r="J15" s="164">
        <f t="shared" si="6"/>
        <v>59999.999999999993</v>
      </c>
      <c r="K15" s="164">
        <f t="shared" si="7"/>
        <v>4233079.8175566085</v>
      </c>
      <c r="L15" s="164">
        <f t="shared" si="10"/>
        <v>4233079.8175566085</v>
      </c>
      <c r="M15" s="164">
        <f t="shared" si="10"/>
        <v>0</v>
      </c>
      <c r="N15" s="164">
        <f t="shared" si="8"/>
        <v>35891.649245697634</v>
      </c>
      <c r="O15" s="164">
        <f t="shared" si="0"/>
        <v>24108.350754302359</v>
      </c>
      <c r="P15" s="164">
        <f t="shared" si="1"/>
        <v>35891.649245697634</v>
      </c>
      <c r="Q15" s="164">
        <f t="shared" si="2"/>
        <v>0</v>
      </c>
      <c r="R15" s="164">
        <f t="shared" si="11"/>
        <v>0</v>
      </c>
      <c r="S15" s="164">
        <f t="shared" si="3"/>
        <v>4208971.4668023065</v>
      </c>
      <c r="T15" s="164">
        <f t="shared" si="4"/>
        <v>0</v>
      </c>
    </row>
    <row r="16" spans="2:21" x14ac:dyDescent="0.2">
      <c r="B16" s="171"/>
      <c r="D16" s="171"/>
      <c r="F16" s="158">
        <v>5</v>
      </c>
      <c r="G16" s="249">
        <f t="shared" si="5"/>
        <v>43799</v>
      </c>
      <c r="H16" s="158">
        <f t="shared" si="9"/>
        <v>30</v>
      </c>
      <c r="I16" s="254">
        <f>VLOOKUP(G16,'Прогноз переменной ставки'!$B$5:$E$304,4,1)</f>
        <v>9.9900000000000003E-2</v>
      </c>
      <c r="J16" s="164">
        <f t="shared" si="6"/>
        <v>59999.999999999993</v>
      </c>
      <c r="K16" s="164">
        <f t="shared" si="7"/>
        <v>4208971.4668023065</v>
      </c>
      <c r="L16" s="164">
        <f t="shared" si="10"/>
        <v>4208971.4668023065</v>
      </c>
      <c r="M16" s="164">
        <f t="shared" si="10"/>
        <v>0</v>
      </c>
      <c r="N16" s="164">
        <f t="shared" si="8"/>
        <v>34536.036922673542</v>
      </c>
      <c r="O16" s="164">
        <f t="shared" si="0"/>
        <v>25463.963077326451</v>
      </c>
      <c r="P16" s="164">
        <f t="shared" si="1"/>
        <v>34536.036922673542</v>
      </c>
      <c r="Q16" s="164">
        <f t="shared" si="2"/>
        <v>0</v>
      </c>
      <c r="R16" s="164">
        <f t="shared" si="11"/>
        <v>0</v>
      </c>
      <c r="S16" s="164">
        <f t="shared" si="3"/>
        <v>4183507.5037249802</v>
      </c>
      <c r="T16" s="164">
        <f t="shared" si="4"/>
        <v>0</v>
      </c>
    </row>
    <row r="17" spans="2:20" x14ac:dyDescent="0.2">
      <c r="B17" s="171"/>
      <c r="D17" s="171"/>
      <c r="F17" s="158">
        <v>6</v>
      </c>
      <c r="G17" s="249">
        <f t="shared" si="5"/>
        <v>43830</v>
      </c>
      <c r="H17" s="158">
        <f t="shared" si="9"/>
        <v>31</v>
      </c>
      <c r="I17" s="254">
        <f>VLOOKUP(G17,'Прогноз переменной ставки'!$B$5:$E$304,4,1)</f>
        <v>9.9900000000000003E-2</v>
      </c>
      <c r="J17" s="164">
        <f t="shared" si="6"/>
        <v>59999.999999999993</v>
      </c>
      <c r="K17" s="164">
        <f t="shared" si="7"/>
        <v>4183507.5037249802</v>
      </c>
      <c r="L17" s="164">
        <f t="shared" si="10"/>
        <v>4183507.5037249802</v>
      </c>
      <c r="M17" s="164">
        <f t="shared" si="10"/>
        <v>0</v>
      </c>
      <c r="N17" s="164">
        <f t="shared" si="8"/>
        <v>35471.333027476772</v>
      </c>
      <c r="O17" s="164">
        <f t="shared" si="0"/>
        <v>24528.66697252322</v>
      </c>
      <c r="P17" s="164">
        <f t="shared" si="1"/>
        <v>35471.333027476772</v>
      </c>
      <c r="Q17" s="164">
        <f t="shared" si="2"/>
        <v>0</v>
      </c>
      <c r="R17" s="164">
        <f t="shared" si="11"/>
        <v>0</v>
      </c>
      <c r="S17" s="164">
        <f t="shared" si="3"/>
        <v>4158978.8367524571</v>
      </c>
      <c r="T17" s="164">
        <f t="shared" si="4"/>
        <v>0</v>
      </c>
    </row>
    <row r="18" spans="2:20" x14ac:dyDescent="0.2">
      <c r="B18" s="171"/>
      <c r="D18" s="171"/>
      <c r="F18" s="158">
        <v>7</v>
      </c>
      <c r="G18" s="249">
        <f t="shared" si="5"/>
        <v>43861</v>
      </c>
      <c r="H18" s="158">
        <f t="shared" si="9"/>
        <v>31</v>
      </c>
      <c r="I18" s="254">
        <f>VLOOKUP(G18,'Прогноз переменной ставки'!$B$5:$E$304,4,1)</f>
        <v>9.9000000000000005E-2</v>
      </c>
      <c r="J18" s="164">
        <f t="shared" si="6"/>
        <v>59999.999999999993</v>
      </c>
      <c r="K18" s="164">
        <f t="shared" si="7"/>
        <v>4158978.8367524571</v>
      </c>
      <c r="L18" s="164">
        <f>S17</f>
        <v>4158978.8367524571</v>
      </c>
      <c r="M18" s="164">
        <f>T17</f>
        <v>0</v>
      </c>
      <c r="N18" s="164">
        <f t="shared" si="8"/>
        <v>34945.670225854323</v>
      </c>
      <c r="O18" s="164">
        <f t="shared" si="0"/>
        <v>25054.32977414567</v>
      </c>
      <c r="P18" s="164">
        <f t="shared" si="1"/>
        <v>34945.670225854323</v>
      </c>
      <c r="Q18" s="164">
        <f t="shared" si="2"/>
        <v>0</v>
      </c>
      <c r="R18" s="164">
        <f>MAX(N18-P18,0)</f>
        <v>0</v>
      </c>
      <c r="S18" s="164">
        <f t="shared" si="3"/>
        <v>4133924.5069783116</v>
      </c>
      <c r="T18" s="164">
        <f t="shared" si="4"/>
        <v>0</v>
      </c>
    </row>
    <row r="19" spans="2:20" x14ac:dyDescent="0.2">
      <c r="B19" s="171"/>
      <c r="D19" s="171"/>
      <c r="F19" s="158">
        <v>8</v>
      </c>
      <c r="G19" s="249">
        <f t="shared" si="5"/>
        <v>43890</v>
      </c>
      <c r="H19" s="158">
        <f t="shared" si="9"/>
        <v>29</v>
      </c>
      <c r="I19" s="254">
        <f>VLOOKUP(G19,'Прогноз переменной ставки'!$B$5:$E$304,4,1)</f>
        <v>9.9000000000000005E-2</v>
      </c>
      <c r="J19" s="164">
        <f t="shared" si="6"/>
        <v>59999.999999999993</v>
      </c>
      <c r="K19" s="164">
        <f t="shared" si="7"/>
        <v>4133924.5069783116</v>
      </c>
      <c r="L19" s="164">
        <f>S18</f>
        <v>4133924.5069783116</v>
      </c>
      <c r="M19" s="164">
        <f>T18</f>
        <v>0</v>
      </c>
      <c r="N19" s="164">
        <f t="shared" si="8"/>
        <v>32494.174564092355</v>
      </c>
      <c r="O19" s="164">
        <f t="shared" si="0"/>
        <v>27505.825435907638</v>
      </c>
      <c r="P19" s="164">
        <f t="shared" si="1"/>
        <v>32494.174564092355</v>
      </c>
      <c r="Q19" s="164">
        <f t="shared" si="2"/>
        <v>0</v>
      </c>
      <c r="R19" s="164">
        <f t="shared" si="11"/>
        <v>0</v>
      </c>
      <c r="S19" s="164">
        <f t="shared" si="3"/>
        <v>4106418.681542404</v>
      </c>
      <c r="T19" s="164">
        <f t="shared" si="4"/>
        <v>0</v>
      </c>
    </row>
    <row r="20" spans="2:20" x14ac:dyDescent="0.2">
      <c r="B20" s="171"/>
      <c r="D20" s="171"/>
      <c r="F20" s="158">
        <v>9</v>
      </c>
      <c r="G20" s="249">
        <f t="shared" si="5"/>
        <v>43921</v>
      </c>
      <c r="H20" s="158">
        <f t="shared" si="9"/>
        <v>31</v>
      </c>
      <c r="I20" s="254">
        <f>VLOOKUP(G20,'Прогноз переменной ставки'!$B$5:$E$304,4,1)</f>
        <v>9.9000000000000005E-2</v>
      </c>
      <c r="J20" s="164">
        <f t="shared" si="6"/>
        <v>59999.999999999993</v>
      </c>
      <c r="K20" s="164">
        <f t="shared" si="7"/>
        <v>4106418.681542404</v>
      </c>
      <c r="L20" s="164">
        <f t="shared" si="10"/>
        <v>4106418.681542404</v>
      </c>
      <c r="M20" s="164">
        <f t="shared" si="10"/>
        <v>0</v>
      </c>
      <c r="N20" s="164">
        <f t="shared" si="8"/>
        <v>34504.035410413795</v>
      </c>
      <c r="O20" s="164">
        <f t="shared" si="0"/>
        <v>25495.964589586198</v>
      </c>
      <c r="P20" s="164">
        <f t="shared" si="1"/>
        <v>34504.035410413795</v>
      </c>
      <c r="Q20" s="164">
        <f t="shared" si="2"/>
        <v>0</v>
      </c>
      <c r="R20" s="164">
        <f t="shared" si="11"/>
        <v>0</v>
      </c>
      <c r="S20" s="164">
        <f t="shared" si="3"/>
        <v>4080922.716952818</v>
      </c>
      <c r="T20" s="164">
        <f t="shared" si="4"/>
        <v>0</v>
      </c>
    </row>
    <row r="21" spans="2:20" x14ac:dyDescent="0.2">
      <c r="B21" s="171"/>
      <c r="D21" s="171"/>
      <c r="F21" s="158">
        <v>10</v>
      </c>
      <c r="G21" s="249">
        <f t="shared" si="5"/>
        <v>43951</v>
      </c>
      <c r="H21" s="158">
        <f t="shared" si="9"/>
        <v>30</v>
      </c>
      <c r="I21" s="254">
        <f>VLOOKUP(G21,'Прогноз переменной ставки'!$B$5:$E$304,4,1)</f>
        <v>9.9000000000000005E-2</v>
      </c>
      <c r="J21" s="164">
        <f t="shared" si="6"/>
        <v>59999.999999999993</v>
      </c>
      <c r="K21" s="164">
        <f t="shared" si="7"/>
        <v>4080922.716952818</v>
      </c>
      <c r="L21" s="164">
        <f t="shared" si="10"/>
        <v>4080922.716952818</v>
      </c>
      <c r="M21" s="164">
        <f t="shared" si="10"/>
        <v>0</v>
      </c>
      <c r="N21" s="164">
        <f t="shared" si="8"/>
        <v>33183.683694318606</v>
      </c>
      <c r="O21" s="164">
        <f t="shared" si="0"/>
        <v>26816.316305681386</v>
      </c>
      <c r="P21" s="164">
        <f t="shared" si="1"/>
        <v>33183.683694318606</v>
      </c>
      <c r="Q21" s="164">
        <f t="shared" si="2"/>
        <v>0</v>
      </c>
      <c r="R21" s="164">
        <f t="shared" si="11"/>
        <v>0</v>
      </c>
      <c r="S21" s="164">
        <f t="shared" si="3"/>
        <v>4054106.4006471364</v>
      </c>
      <c r="T21" s="164">
        <f t="shared" si="4"/>
        <v>0</v>
      </c>
    </row>
    <row r="22" spans="2:20" x14ac:dyDescent="0.2">
      <c r="B22" s="171"/>
      <c r="D22" s="171"/>
      <c r="F22" s="158">
        <v>11</v>
      </c>
      <c r="G22" s="249">
        <f t="shared" si="5"/>
        <v>43982</v>
      </c>
      <c r="H22" s="158">
        <f t="shared" si="9"/>
        <v>31</v>
      </c>
      <c r="I22" s="254">
        <f>VLOOKUP(G22,'Прогноз переменной ставки'!$B$5:$E$304,4,1)</f>
        <v>9.9000000000000005E-2</v>
      </c>
      <c r="J22" s="164">
        <f t="shared" si="6"/>
        <v>59999.999999999993</v>
      </c>
      <c r="K22" s="164">
        <f t="shared" si="7"/>
        <v>4054106.4006471364</v>
      </c>
      <c r="L22" s="164">
        <f t="shared" si="10"/>
        <v>4054106.4006471364</v>
      </c>
      <c r="M22" s="164">
        <f t="shared" si="10"/>
        <v>0</v>
      </c>
      <c r="N22" s="164">
        <f t="shared" si="8"/>
        <v>34064.483349996066</v>
      </c>
      <c r="O22" s="164">
        <f t="shared" si="0"/>
        <v>25935.516650003927</v>
      </c>
      <c r="P22" s="164">
        <f t="shared" si="1"/>
        <v>34064.483349996066</v>
      </c>
      <c r="Q22" s="164">
        <f t="shared" si="2"/>
        <v>0</v>
      </c>
      <c r="R22" s="164">
        <f t="shared" si="11"/>
        <v>0</v>
      </c>
      <c r="S22" s="164">
        <f t="shared" si="3"/>
        <v>4028170.8839971325</v>
      </c>
      <c r="T22" s="164">
        <f t="shared" si="4"/>
        <v>0</v>
      </c>
    </row>
    <row r="23" spans="2:20" x14ac:dyDescent="0.2">
      <c r="B23" s="171"/>
      <c r="D23" s="171"/>
      <c r="F23" s="158">
        <v>12</v>
      </c>
      <c r="G23" s="249">
        <f t="shared" si="5"/>
        <v>44012</v>
      </c>
      <c r="H23" s="158">
        <f t="shared" si="9"/>
        <v>30</v>
      </c>
      <c r="I23" s="254">
        <f>VLOOKUP(G23,'Прогноз переменной ставки'!$B$5:$E$304,4,1)</f>
        <v>9.9000000000000005E-2</v>
      </c>
      <c r="J23" s="164">
        <f t="shared" si="6"/>
        <v>59999.999999999993</v>
      </c>
      <c r="K23" s="164">
        <f t="shared" si="7"/>
        <v>4028170.8839971325</v>
      </c>
      <c r="L23" s="164">
        <f t="shared" si="10"/>
        <v>4028170.8839971325</v>
      </c>
      <c r="M23" s="164">
        <f t="shared" si="10"/>
        <v>0</v>
      </c>
      <c r="N23" s="164">
        <f t="shared" si="8"/>
        <v>32754.736551598864</v>
      </c>
      <c r="O23" s="164">
        <f t="shared" si="0"/>
        <v>27245.263448401129</v>
      </c>
      <c r="P23" s="164">
        <f t="shared" si="1"/>
        <v>32754.736551598864</v>
      </c>
      <c r="Q23" s="164">
        <f t="shared" si="2"/>
        <v>0</v>
      </c>
      <c r="R23" s="164">
        <f t="shared" si="11"/>
        <v>0</v>
      </c>
      <c r="S23" s="164">
        <f t="shared" si="3"/>
        <v>4000925.6205487312</v>
      </c>
      <c r="T23" s="164">
        <f t="shared" si="4"/>
        <v>0</v>
      </c>
    </row>
    <row r="24" spans="2:20" x14ac:dyDescent="0.2">
      <c r="B24" s="171"/>
      <c r="D24" s="171"/>
      <c r="F24" s="158">
        <v>13</v>
      </c>
      <c r="G24" s="249">
        <f t="shared" si="5"/>
        <v>44043</v>
      </c>
      <c r="H24" s="158">
        <f t="shared" si="9"/>
        <v>31</v>
      </c>
      <c r="I24" s="254">
        <f>VLOOKUP(G24,'Прогноз переменной ставки'!$B$5:$E$304,4,1)</f>
        <v>9.9000000000000005E-2</v>
      </c>
      <c r="J24" s="164">
        <f t="shared" si="6"/>
        <v>59999.999999999993</v>
      </c>
      <c r="K24" s="164">
        <f t="shared" si="7"/>
        <v>4000925.6205487312</v>
      </c>
      <c r="L24" s="164">
        <f>S23</f>
        <v>4000925.6205487312</v>
      </c>
      <c r="M24" s="164">
        <f>T23</f>
        <v>0</v>
      </c>
      <c r="N24" s="164">
        <f t="shared" si="8"/>
        <v>33617.63375623287</v>
      </c>
      <c r="O24" s="164">
        <f t="shared" si="0"/>
        <v>26382.366243767123</v>
      </c>
      <c r="P24" s="164">
        <f t="shared" si="1"/>
        <v>33617.63375623287</v>
      </c>
      <c r="Q24" s="164">
        <f t="shared" si="2"/>
        <v>0</v>
      </c>
      <c r="R24" s="164">
        <f t="shared" si="11"/>
        <v>0</v>
      </c>
      <c r="S24" s="164">
        <f t="shared" si="3"/>
        <v>3974543.2543049641</v>
      </c>
      <c r="T24" s="164">
        <f t="shared" si="4"/>
        <v>0</v>
      </c>
    </row>
    <row r="25" spans="2:20" x14ac:dyDescent="0.2">
      <c r="B25" s="171"/>
      <c r="D25" s="171"/>
      <c r="F25" s="158">
        <v>14</v>
      </c>
      <c r="G25" s="249">
        <f t="shared" si="5"/>
        <v>44074</v>
      </c>
      <c r="H25" s="158">
        <f t="shared" si="9"/>
        <v>31</v>
      </c>
      <c r="I25" s="254">
        <f>VLOOKUP(G25,'Прогноз переменной ставки'!$B$5:$E$304,4,1)</f>
        <v>9.9000000000000005E-2</v>
      </c>
      <c r="J25" s="164">
        <f t="shared" si="6"/>
        <v>59999.999999999993</v>
      </c>
      <c r="K25" s="164">
        <f t="shared" si="7"/>
        <v>3974543.2543049641</v>
      </c>
      <c r="L25" s="164">
        <f t="shared" si="10"/>
        <v>3974543.2543049641</v>
      </c>
      <c r="M25" s="164">
        <f t="shared" si="10"/>
        <v>0</v>
      </c>
      <c r="N25" s="164">
        <f t="shared" si="8"/>
        <v>33395.95687190126</v>
      </c>
      <c r="O25" s="164">
        <f t="shared" si="0"/>
        <v>26604.043128098732</v>
      </c>
      <c r="P25" s="164">
        <f t="shared" si="1"/>
        <v>33395.95687190126</v>
      </c>
      <c r="Q25" s="164">
        <f t="shared" si="2"/>
        <v>0</v>
      </c>
      <c r="R25" s="164">
        <f t="shared" si="11"/>
        <v>0</v>
      </c>
      <c r="S25" s="164">
        <f t="shared" si="3"/>
        <v>3947939.2111768653</v>
      </c>
      <c r="T25" s="164">
        <f t="shared" si="4"/>
        <v>0</v>
      </c>
    </row>
    <row r="26" spans="2:20" x14ac:dyDescent="0.2">
      <c r="B26" s="171"/>
      <c r="D26" s="171"/>
      <c r="F26" s="158">
        <v>15</v>
      </c>
      <c r="G26" s="249">
        <f t="shared" si="5"/>
        <v>44104</v>
      </c>
      <c r="H26" s="158">
        <f t="shared" si="9"/>
        <v>30</v>
      </c>
      <c r="I26" s="254">
        <f>VLOOKUP(G26,'Прогноз переменной ставки'!$B$5:$E$304,4,1)</f>
        <v>9.9000000000000005E-2</v>
      </c>
      <c r="J26" s="164">
        <f t="shared" si="6"/>
        <v>59999.999999999993</v>
      </c>
      <c r="K26" s="164">
        <f t="shared" si="7"/>
        <v>3947939.2111768653</v>
      </c>
      <c r="L26" s="164">
        <f t="shared" si="10"/>
        <v>3947939.2111768653</v>
      </c>
      <c r="M26" s="164">
        <f t="shared" si="10"/>
        <v>0</v>
      </c>
      <c r="N26" s="164">
        <f>L26*I26/365.25*H26</f>
        <v>32102.339376304699</v>
      </c>
      <c r="O26" s="164">
        <f t="shared" si="0"/>
        <v>27897.660623695294</v>
      </c>
      <c r="P26" s="164">
        <f t="shared" si="1"/>
        <v>32102.339376304699</v>
      </c>
      <c r="Q26" s="164">
        <f t="shared" si="2"/>
        <v>0</v>
      </c>
      <c r="R26" s="164">
        <f t="shared" si="11"/>
        <v>0</v>
      </c>
      <c r="S26" s="164">
        <f t="shared" si="3"/>
        <v>3920041.55055317</v>
      </c>
      <c r="T26" s="164">
        <f t="shared" si="4"/>
        <v>0</v>
      </c>
    </row>
    <row r="27" spans="2:20" x14ac:dyDescent="0.2">
      <c r="B27" s="171"/>
      <c r="D27" s="171"/>
      <c r="F27" s="158">
        <v>16</v>
      </c>
      <c r="G27" s="249">
        <f t="shared" si="5"/>
        <v>44135</v>
      </c>
      <c r="H27" s="158">
        <f t="shared" si="9"/>
        <v>31</v>
      </c>
      <c r="I27" s="254">
        <f>VLOOKUP(G27,'Прогноз переменной ставки'!$B$5:$E$304,4,1)</f>
        <v>9.9000000000000005E-2</v>
      </c>
      <c r="J27" s="164">
        <f t="shared" si="6"/>
        <v>59999.999999999993</v>
      </c>
      <c r="K27" s="164">
        <f t="shared" si="7"/>
        <v>3920041.55055317</v>
      </c>
      <c r="L27" s="164">
        <f t="shared" si="10"/>
        <v>3920041.55055317</v>
      </c>
      <c r="M27" s="164">
        <f t="shared" si="10"/>
        <v>0</v>
      </c>
      <c r="N27" s="164">
        <f t="shared" si="8"/>
        <v>32938.008264606928</v>
      </c>
      <c r="O27" s="164">
        <f t="shared" si="0"/>
        <v>27061.991735393065</v>
      </c>
      <c r="P27" s="164">
        <f t="shared" si="1"/>
        <v>32938.008264606928</v>
      </c>
      <c r="Q27" s="164">
        <f t="shared" si="2"/>
        <v>0</v>
      </c>
      <c r="R27" s="164">
        <f t="shared" si="11"/>
        <v>0</v>
      </c>
      <c r="S27" s="164">
        <f t="shared" si="3"/>
        <v>3892979.5588177769</v>
      </c>
      <c r="T27" s="164">
        <f t="shared" si="4"/>
        <v>0</v>
      </c>
    </row>
    <row r="28" spans="2:20" x14ac:dyDescent="0.2">
      <c r="B28" s="171"/>
      <c r="D28" s="171"/>
      <c r="F28" s="158">
        <v>17</v>
      </c>
      <c r="G28" s="249">
        <f t="shared" si="5"/>
        <v>44165</v>
      </c>
      <c r="H28" s="158">
        <f t="shared" si="9"/>
        <v>30</v>
      </c>
      <c r="I28" s="254">
        <f>VLOOKUP(G28,'Прогноз переменной ставки'!$B$5:$E$304,4,1)</f>
        <v>9.9000000000000005E-2</v>
      </c>
      <c r="J28" s="164">
        <f t="shared" si="6"/>
        <v>59999.999999999993</v>
      </c>
      <c r="K28" s="164">
        <f t="shared" si="7"/>
        <v>3892979.5588177769</v>
      </c>
      <c r="L28" s="164">
        <f t="shared" si="10"/>
        <v>3892979.5588177769</v>
      </c>
      <c r="M28" s="164">
        <f t="shared" si="10"/>
        <v>0</v>
      </c>
      <c r="N28" s="164">
        <f t="shared" si="8"/>
        <v>31655.439533713339</v>
      </c>
      <c r="O28" s="164">
        <f t="shared" si="0"/>
        <v>28344.560466286654</v>
      </c>
      <c r="P28" s="164">
        <f t="shared" si="1"/>
        <v>31655.439533713339</v>
      </c>
      <c r="Q28" s="164">
        <f t="shared" si="2"/>
        <v>0</v>
      </c>
      <c r="R28" s="164">
        <f t="shared" si="11"/>
        <v>0</v>
      </c>
      <c r="S28" s="164">
        <f t="shared" si="3"/>
        <v>3864634.9983514901</v>
      </c>
      <c r="T28" s="164">
        <f t="shared" si="4"/>
        <v>0</v>
      </c>
    </row>
    <row r="29" spans="2:20" x14ac:dyDescent="0.2">
      <c r="B29" s="171"/>
      <c r="D29" s="171"/>
      <c r="F29" s="158">
        <v>18</v>
      </c>
      <c r="G29" s="249">
        <f t="shared" si="5"/>
        <v>44196</v>
      </c>
      <c r="H29" s="158">
        <f t="shared" si="9"/>
        <v>31</v>
      </c>
      <c r="I29" s="254">
        <f>VLOOKUP(G29,'Прогноз переменной ставки'!$B$5:$E$304,4,1)</f>
        <v>9.9000000000000005E-2</v>
      </c>
      <c r="J29" s="164">
        <f t="shared" si="6"/>
        <v>59999.999999999993</v>
      </c>
      <c r="K29" s="164">
        <f t="shared" si="7"/>
        <v>3864634.9983514901</v>
      </c>
      <c r="L29" s="164">
        <f t="shared" si="10"/>
        <v>3864634.9983514901</v>
      </c>
      <c r="M29" s="164">
        <f t="shared" si="10"/>
        <v>0</v>
      </c>
      <c r="N29" s="164">
        <f t="shared" si="8"/>
        <v>32472.456700727511</v>
      </c>
      <c r="O29" s="164">
        <f t="shared" si="0"/>
        <v>27527.543299272482</v>
      </c>
      <c r="P29" s="164">
        <f t="shared" si="1"/>
        <v>32472.456700727511</v>
      </c>
      <c r="Q29" s="164">
        <f t="shared" si="2"/>
        <v>0</v>
      </c>
      <c r="R29" s="164">
        <f t="shared" si="11"/>
        <v>0</v>
      </c>
      <c r="S29" s="164">
        <f t="shared" si="3"/>
        <v>3837107.4550522175</v>
      </c>
      <c r="T29" s="164">
        <f t="shared" si="4"/>
        <v>0</v>
      </c>
    </row>
    <row r="30" spans="2:20" x14ac:dyDescent="0.2">
      <c r="B30" s="171"/>
      <c r="D30" s="171"/>
      <c r="F30" s="158">
        <v>19</v>
      </c>
      <c r="G30" s="249">
        <f t="shared" si="5"/>
        <v>44227</v>
      </c>
      <c r="H30" s="158">
        <f t="shared" si="9"/>
        <v>31</v>
      </c>
      <c r="I30" s="254">
        <f>VLOOKUP(G30,'Прогноз переменной ставки'!$B$5:$E$304,4,1)</f>
        <v>9.9000000000000005E-2</v>
      </c>
      <c r="J30" s="164">
        <f t="shared" si="6"/>
        <v>59999.999999999993</v>
      </c>
      <c r="K30" s="164">
        <f t="shared" si="7"/>
        <v>3837107.4550522175</v>
      </c>
      <c r="L30" s="164">
        <f t="shared" si="10"/>
        <v>3837107.4550522175</v>
      </c>
      <c r="M30" s="164">
        <f t="shared" si="10"/>
        <v>0</v>
      </c>
      <c r="N30" s="164">
        <f t="shared" si="8"/>
        <v>32241.157507338139</v>
      </c>
      <c r="O30" s="164">
        <f t="shared" si="0"/>
        <v>27758.842492661854</v>
      </c>
      <c r="P30" s="164">
        <f t="shared" si="1"/>
        <v>32241.157507338139</v>
      </c>
      <c r="Q30" s="164">
        <f t="shared" si="2"/>
        <v>0</v>
      </c>
      <c r="R30" s="164">
        <f t="shared" si="11"/>
        <v>0</v>
      </c>
      <c r="S30" s="164">
        <f t="shared" si="3"/>
        <v>3809348.6125595556</v>
      </c>
      <c r="T30" s="164">
        <f t="shared" si="4"/>
        <v>0</v>
      </c>
    </row>
    <row r="31" spans="2:20" x14ac:dyDescent="0.2">
      <c r="B31" s="171"/>
      <c r="D31" s="171"/>
      <c r="F31" s="158">
        <v>20</v>
      </c>
      <c r="G31" s="249">
        <f t="shared" si="5"/>
        <v>44255</v>
      </c>
      <c r="H31" s="158">
        <f t="shared" si="9"/>
        <v>28</v>
      </c>
      <c r="I31" s="254">
        <f>VLOOKUP(G31,'Прогноз переменной ставки'!$B$5:$E$304,4,1)</f>
        <v>9.9000000000000005E-2</v>
      </c>
      <c r="J31" s="164">
        <f t="shared" si="6"/>
        <v>59999.999999999993</v>
      </c>
      <c r="K31" s="164">
        <f t="shared" si="7"/>
        <v>3809348.6125595556</v>
      </c>
      <c r="L31" s="164">
        <f t="shared" si="10"/>
        <v>3809348.6125595556</v>
      </c>
      <c r="M31" s="164">
        <f t="shared" si="10"/>
        <v>0</v>
      </c>
      <c r="N31" s="164">
        <f t="shared" si="8"/>
        <v>28910.374685872936</v>
      </c>
      <c r="O31" s="164">
        <f t="shared" si="0"/>
        <v>31089.625314127057</v>
      </c>
      <c r="P31" s="164">
        <f t="shared" si="1"/>
        <v>28910.374685872936</v>
      </c>
      <c r="Q31" s="164">
        <f t="shared" si="2"/>
        <v>0</v>
      </c>
      <c r="R31" s="164">
        <f t="shared" si="11"/>
        <v>0</v>
      </c>
      <c r="S31" s="164">
        <f t="shared" si="3"/>
        <v>3778258.9872454284</v>
      </c>
      <c r="T31" s="164">
        <f t="shared" si="4"/>
        <v>0</v>
      </c>
    </row>
    <row r="32" spans="2:20" x14ac:dyDescent="0.2">
      <c r="B32" s="171"/>
      <c r="D32" s="171"/>
      <c r="F32" s="158">
        <v>21</v>
      </c>
      <c r="G32" s="249">
        <f t="shared" si="5"/>
        <v>44286</v>
      </c>
      <c r="H32" s="158">
        <f t="shared" si="9"/>
        <v>31</v>
      </c>
      <c r="I32" s="254">
        <f>VLOOKUP(G32,'Прогноз переменной ставки'!$B$5:$E$304,4,1)</f>
        <v>9.9000000000000005E-2</v>
      </c>
      <c r="J32" s="164">
        <f t="shared" si="6"/>
        <v>59999.999999999993</v>
      </c>
      <c r="K32" s="164">
        <f t="shared" si="7"/>
        <v>3778258.9872454284</v>
      </c>
      <c r="L32" s="164">
        <f t="shared" si="10"/>
        <v>3778258.9872454284</v>
      </c>
      <c r="M32" s="164">
        <f t="shared" si="10"/>
        <v>0</v>
      </c>
      <c r="N32" s="164">
        <f t="shared" si="8"/>
        <v>31746.685371269599</v>
      </c>
      <c r="O32" s="164">
        <f t="shared" si="0"/>
        <v>28253.314628730393</v>
      </c>
      <c r="P32" s="164">
        <f t="shared" si="1"/>
        <v>31746.685371269599</v>
      </c>
      <c r="Q32" s="164">
        <f t="shared" si="2"/>
        <v>0</v>
      </c>
      <c r="R32" s="164">
        <f t="shared" si="11"/>
        <v>0</v>
      </c>
      <c r="S32" s="164">
        <f t="shared" si="3"/>
        <v>3750005.6726166978</v>
      </c>
      <c r="T32" s="164">
        <f t="shared" si="4"/>
        <v>0</v>
      </c>
    </row>
    <row r="33" spans="2:20" x14ac:dyDescent="0.2">
      <c r="B33" s="171"/>
      <c r="D33" s="171"/>
      <c r="F33" s="158">
        <v>22</v>
      </c>
      <c r="G33" s="249">
        <f t="shared" si="5"/>
        <v>44316</v>
      </c>
      <c r="H33" s="158">
        <f t="shared" si="9"/>
        <v>30</v>
      </c>
      <c r="I33" s="254">
        <f>VLOOKUP(G33,'Прогноз переменной ставки'!$B$5:$E$304,4,1)</f>
        <v>9.9000000000000005E-2</v>
      </c>
      <c r="J33" s="164">
        <f t="shared" si="6"/>
        <v>59999.999999999993</v>
      </c>
      <c r="K33" s="164">
        <f t="shared" si="7"/>
        <v>3750005.6726166978</v>
      </c>
      <c r="L33" s="164">
        <f t="shared" si="10"/>
        <v>3750005.6726166978</v>
      </c>
      <c r="M33" s="164">
        <f t="shared" si="10"/>
        <v>0</v>
      </c>
      <c r="N33" s="164">
        <f t="shared" si="8"/>
        <v>30492.859268094711</v>
      </c>
      <c r="O33" s="164">
        <f t="shared" si="0"/>
        <v>29507.140731905281</v>
      </c>
      <c r="P33" s="164">
        <f t="shared" si="1"/>
        <v>30492.859268094711</v>
      </c>
      <c r="Q33" s="164">
        <f t="shared" si="2"/>
        <v>0</v>
      </c>
      <c r="R33" s="164">
        <f t="shared" si="11"/>
        <v>0</v>
      </c>
      <c r="S33" s="164">
        <f t="shared" si="3"/>
        <v>3720498.5318847927</v>
      </c>
      <c r="T33" s="164">
        <f t="shared" si="4"/>
        <v>0</v>
      </c>
    </row>
    <row r="34" spans="2:20" x14ac:dyDescent="0.2">
      <c r="B34" s="171"/>
      <c r="D34" s="171"/>
      <c r="F34" s="158">
        <v>23</v>
      </c>
      <c r="G34" s="249">
        <f t="shared" si="5"/>
        <v>44347</v>
      </c>
      <c r="H34" s="158">
        <f t="shared" si="9"/>
        <v>31</v>
      </c>
      <c r="I34" s="254">
        <f>VLOOKUP(G34,'Прогноз переменной ставки'!$B$5:$E$304,4,1)</f>
        <v>9.9000000000000005E-2</v>
      </c>
      <c r="J34" s="164">
        <f t="shared" si="6"/>
        <v>59999.999999999993</v>
      </c>
      <c r="K34" s="164">
        <f t="shared" si="7"/>
        <v>3720498.5318847927</v>
      </c>
      <c r="L34" s="164">
        <f t="shared" si="10"/>
        <v>3720498.5318847927</v>
      </c>
      <c r="M34" s="164">
        <f t="shared" si="10"/>
        <v>0</v>
      </c>
      <c r="N34" s="164">
        <f t="shared" si="8"/>
        <v>31261.355220682901</v>
      </c>
      <c r="O34" s="164">
        <f t="shared" si="0"/>
        <v>28738.644779317092</v>
      </c>
      <c r="P34" s="164">
        <f t="shared" si="1"/>
        <v>31261.355220682901</v>
      </c>
      <c r="Q34" s="164">
        <f t="shared" si="2"/>
        <v>0</v>
      </c>
      <c r="R34" s="164">
        <f t="shared" si="11"/>
        <v>0</v>
      </c>
      <c r="S34" s="164">
        <f t="shared" si="3"/>
        <v>3691759.8871054756</v>
      </c>
      <c r="T34" s="164">
        <f t="shared" si="4"/>
        <v>0</v>
      </c>
    </row>
    <row r="35" spans="2:20" x14ac:dyDescent="0.2">
      <c r="B35" s="171"/>
      <c r="D35" s="171"/>
      <c r="F35" s="158">
        <v>24</v>
      </c>
      <c r="G35" s="249">
        <f t="shared" si="5"/>
        <v>44377</v>
      </c>
      <c r="H35" s="158">
        <f t="shared" si="9"/>
        <v>30</v>
      </c>
      <c r="I35" s="254">
        <f>VLOOKUP(G35,'Прогноз переменной ставки'!$B$5:$E$304,4,1)</f>
        <v>9.9000000000000005E-2</v>
      </c>
      <c r="J35" s="164">
        <f t="shared" si="6"/>
        <v>59999.999999999993</v>
      </c>
      <c r="K35" s="164">
        <f t="shared" si="7"/>
        <v>3691759.8871054756</v>
      </c>
      <c r="L35" s="164">
        <f t="shared" si="10"/>
        <v>3691759.8871054756</v>
      </c>
      <c r="M35" s="164">
        <f t="shared" si="10"/>
        <v>0</v>
      </c>
      <c r="N35" s="164">
        <f t="shared" si="8"/>
        <v>30019.238507058901</v>
      </c>
      <c r="O35" s="164">
        <f t="shared" si="0"/>
        <v>29980.761492941092</v>
      </c>
      <c r="P35" s="164">
        <f t="shared" si="1"/>
        <v>30019.238507058901</v>
      </c>
      <c r="Q35" s="164">
        <f t="shared" si="2"/>
        <v>0</v>
      </c>
      <c r="R35" s="164">
        <f t="shared" si="11"/>
        <v>0</v>
      </c>
      <c r="S35" s="164">
        <f t="shared" si="3"/>
        <v>3661779.1256125346</v>
      </c>
      <c r="T35" s="164">
        <f t="shared" si="4"/>
        <v>0</v>
      </c>
    </row>
    <row r="36" spans="2:20" x14ac:dyDescent="0.2">
      <c r="B36" s="171"/>
      <c r="D36" s="171"/>
      <c r="F36" s="158">
        <v>25</v>
      </c>
      <c r="G36" s="249">
        <f t="shared" si="5"/>
        <v>44408</v>
      </c>
      <c r="H36" s="158">
        <f t="shared" si="9"/>
        <v>31</v>
      </c>
      <c r="I36" s="254">
        <f>VLOOKUP(G36,'Прогноз переменной ставки'!$B$5:$E$304,4,1)</f>
        <v>9.9000000000000005E-2</v>
      </c>
      <c r="J36" s="164">
        <f t="shared" si="6"/>
        <v>59999.999999999993</v>
      </c>
      <c r="K36" s="164">
        <f t="shared" si="7"/>
        <v>3661779.1256125346</v>
      </c>
      <c r="L36" s="164">
        <f t="shared" si="10"/>
        <v>3661779.1256125346</v>
      </c>
      <c r="M36" s="164">
        <f t="shared" si="10"/>
        <v>0</v>
      </c>
      <c r="N36" s="164">
        <f t="shared" si="8"/>
        <v>30767.96751952052</v>
      </c>
      <c r="O36" s="164">
        <f t="shared" si="0"/>
        <v>29232.032480479473</v>
      </c>
      <c r="P36" s="164">
        <f t="shared" si="1"/>
        <v>30767.96751952052</v>
      </c>
      <c r="Q36" s="164">
        <f t="shared" si="2"/>
        <v>0</v>
      </c>
      <c r="R36" s="164">
        <f t="shared" si="11"/>
        <v>0</v>
      </c>
      <c r="S36" s="164">
        <f t="shared" si="3"/>
        <v>3632547.0931320549</v>
      </c>
      <c r="T36" s="164">
        <f t="shared" si="4"/>
        <v>0</v>
      </c>
    </row>
    <row r="37" spans="2:20" x14ac:dyDescent="0.2">
      <c r="B37" s="171"/>
      <c r="D37" s="171"/>
      <c r="F37" s="158">
        <v>26</v>
      </c>
      <c r="G37" s="249">
        <f t="shared" si="5"/>
        <v>44439</v>
      </c>
      <c r="H37" s="158">
        <f t="shared" si="9"/>
        <v>31</v>
      </c>
      <c r="I37" s="254">
        <f>VLOOKUP(G37,'Прогноз переменной ставки'!$B$5:$E$304,4,1)</f>
        <v>9.9000000000000005E-2</v>
      </c>
      <c r="J37" s="164">
        <f t="shared" si="6"/>
        <v>59999.999999999993</v>
      </c>
      <c r="K37" s="164">
        <f t="shared" si="7"/>
        <v>3632547.0931320549</v>
      </c>
      <c r="L37" s="164">
        <f t="shared" si="10"/>
        <v>3632547.0931320549</v>
      </c>
      <c r="M37" s="164">
        <f t="shared" si="10"/>
        <v>0</v>
      </c>
      <c r="N37" s="164">
        <f t="shared" si="8"/>
        <v>30522.346417035664</v>
      </c>
      <c r="O37" s="164">
        <f t="shared" si="0"/>
        <v>29477.653582964329</v>
      </c>
      <c r="P37" s="164">
        <f t="shared" si="1"/>
        <v>30522.346417035664</v>
      </c>
      <c r="Q37" s="164">
        <f t="shared" si="2"/>
        <v>0</v>
      </c>
      <c r="R37" s="164">
        <f t="shared" si="11"/>
        <v>0</v>
      </c>
      <c r="S37" s="164">
        <f t="shared" si="3"/>
        <v>3603069.4395490903</v>
      </c>
      <c r="T37" s="164">
        <f t="shared" si="4"/>
        <v>0</v>
      </c>
    </row>
    <row r="38" spans="2:20" x14ac:dyDescent="0.2">
      <c r="B38" s="171"/>
      <c r="D38" s="171"/>
      <c r="F38" s="158">
        <v>27</v>
      </c>
      <c r="G38" s="249">
        <f t="shared" si="5"/>
        <v>44469</v>
      </c>
      <c r="H38" s="158">
        <f t="shared" si="9"/>
        <v>30</v>
      </c>
      <c r="I38" s="254">
        <f>VLOOKUP(G38,'Прогноз переменной ставки'!$B$5:$E$304,4,1)</f>
        <v>9.9000000000000005E-2</v>
      </c>
      <c r="J38" s="164">
        <f t="shared" si="6"/>
        <v>59999.999999999993</v>
      </c>
      <c r="K38" s="164">
        <f t="shared" si="7"/>
        <v>3603069.4395490903</v>
      </c>
      <c r="L38" s="164">
        <f t="shared" si="10"/>
        <v>3603069.4395490903</v>
      </c>
      <c r="M38" s="164">
        <f t="shared" si="10"/>
        <v>0</v>
      </c>
      <c r="N38" s="164">
        <f t="shared" si="8"/>
        <v>29298.059508448459</v>
      </c>
      <c r="O38" s="164">
        <f t="shared" si="0"/>
        <v>30701.940491551533</v>
      </c>
      <c r="P38" s="164">
        <f t="shared" si="1"/>
        <v>29298.059508448459</v>
      </c>
      <c r="Q38" s="164">
        <f t="shared" si="2"/>
        <v>0</v>
      </c>
      <c r="R38" s="164">
        <f t="shared" si="11"/>
        <v>0</v>
      </c>
      <c r="S38" s="164">
        <f t="shared" si="3"/>
        <v>3572367.4990575388</v>
      </c>
      <c r="T38" s="164">
        <f t="shared" si="4"/>
        <v>0</v>
      </c>
    </row>
    <row r="39" spans="2:20" x14ac:dyDescent="0.2">
      <c r="B39" s="171"/>
      <c r="D39" s="171"/>
      <c r="F39" s="158">
        <v>28</v>
      </c>
      <c r="G39" s="249">
        <f t="shared" si="5"/>
        <v>44500</v>
      </c>
      <c r="H39" s="158">
        <f t="shared" si="9"/>
        <v>31</v>
      </c>
      <c r="I39" s="254">
        <f>VLOOKUP(G39,'Прогноз переменной ставки'!$B$5:$E$304,4,1)</f>
        <v>9.9000000000000005E-2</v>
      </c>
      <c r="J39" s="164">
        <f t="shared" si="6"/>
        <v>59999.999999999993</v>
      </c>
      <c r="K39" s="164">
        <f t="shared" si="7"/>
        <v>3572367.4990575388</v>
      </c>
      <c r="L39" s="164">
        <f t="shared" si="10"/>
        <v>3572367.4990575388</v>
      </c>
      <c r="M39" s="164">
        <f t="shared" si="10"/>
        <v>0</v>
      </c>
      <c r="N39" s="164">
        <f t="shared" si="8"/>
        <v>30016.689540335628</v>
      </c>
      <c r="O39" s="164">
        <f t="shared" si="0"/>
        <v>29983.310459664364</v>
      </c>
      <c r="P39" s="164">
        <f t="shared" si="1"/>
        <v>30016.689540335628</v>
      </c>
      <c r="Q39" s="164">
        <f t="shared" si="2"/>
        <v>0</v>
      </c>
      <c r="R39" s="164">
        <f t="shared" si="11"/>
        <v>0</v>
      </c>
      <c r="S39" s="164">
        <f t="shared" si="3"/>
        <v>3542384.1885978743</v>
      </c>
      <c r="T39" s="164">
        <f t="shared" si="4"/>
        <v>0</v>
      </c>
    </row>
    <row r="40" spans="2:20" x14ac:dyDescent="0.2">
      <c r="B40" s="171"/>
      <c r="D40" s="171"/>
      <c r="F40" s="158">
        <v>29</v>
      </c>
      <c r="G40" s="249">
        <f t="shared" si="5"/>
        <v>44530</v>
      </c>
      <c r="H40" s="158">
        <f t="shared" si="9"/>
        <v>30</v>
      </c>
      <c r="I40" s="254">
        <f>VLOOKUP(G40,'Прогноз переменной ставки'!$B$5:$E$304,4,1)</f>
        <v>9.9000000000000005E-2</v>
      </c>
      <c r="J40" s="164">
        <f t="shared" si="6"/>
        <v>59999.999999999993</v>
      </c>
      <c r="K40" s="164">
        <f t="shared" si="7"/>
        <v>3542384.1885978743</v>
      </c>
      <c r="L40" s="164">
        <f t="shared" si="10"/>
        <v>3542384.1885978743</v>
      </c>
      <c r="M40" s="164">
        <f t="shared" si="10"/>
        <v>0</v>
      </c>
      <c r="N40" s="164">
        <f t="shared" si="8"/>
        <v>28804.602437058689</v>
      </c>
      <c r="O40" s="164">
        <f t="shared" si="0"/>
        <v>31195.397562941303</v>
      </c>
      <c r="P40" s="164">
        <f t="shared" si="1"/>
        <v>28804.602437058689</v>
      </c>
      <c r="Q40" s="164">
        <f t="shared" si="2"/>
        <v>0</v>
      </c>
      <c r="R40" s="164">
        <f t="shared" si="11"/>
        <v>0</v>
      </c>
      <c r="S40" s="164">
        <f t="shared" si="3"/>
        <v>3511188.7910349332</v>
      </c>
      <c r="T40" s="164">
        <f t="shared" si="4"/>
        <v>0</v>
      </c>
    </row>
    <row r="41" spans="2:20" x14ac:dyDescent="0.2">
      <c r="B41" s="171"/>
      <c r="D41" s="171"/>
      <c r="F41" s="158">
        <v>30</v>
      </c>
      <c r="G41" s="249">
        <f t="shared" si="5"/>
        <v>44561</v>
      </c>
      <c r="H41" s="158">
        <f t="shared" si="9"/>
        <v>31</v>
      </c>
      <c r="I41" s="254">
        <f>VLOOKUP(G41,'Прогноз переменной ставки'!$B$5:$E$304,4,1)</f>
        <v>9.9000000000000005E-2</v>
      </c>
      <c r="J41" s="164">
        <f t="shared" si="6"/>
        <v>59999.999999999993</v>
      </c>
      <c r="K41" s="164">
        <f t="shared" si="7"/>
        <v>3511188.7910349332</v>
      </c>
      <c r="L41" s="164">
        <f t="shared" si="10"/>
        <v>3511188.7910349332</v>
      </c>
      <c r="M41" s="164">
        <f t="shared" si="10"/>
        <v>0</v>
      </c>
      <c r="N41" s="164">
        <f t="shared" si="8"/>
        <v>29502.637644589213</v>
      </c>
      <c r="O41" s="164">
        <f t="shared" si="0"/>
        <v>30497.36235541078</v>
      </c>
      <c r="P41" s="164">
        <f t="shared" si="1"/>
        <v>29502.637644589213</v>
      </c>
      <c r="Q41" s="164">
        <f t="shared" si="2"/>
        <v>0</v>
      </c>
      <c r="R41" s="164">
        <f t="shared" si="11"/>
        <v>0</v>
      </c>
      <c r="S41" s="164">
        <f t="shared" si="3"/>
        <v>3480691.4286795226</v>
      </c>
      <c r="T41" s="164">
        <f t="shared" si="4"/>
        <v>0</v>
      </c>
    </row>
    <row r="42" spans="2:20" x14ac:dyDescent="0.2">
      <c r="B42" s="171"/>
      <c r="D42" s="171"/>
      <c r="F42" s="158">
        <v>31</v>
      </c>
      <c r="G42" s="249">
        <f t="shared" si="5"/>
        <v>44592</v>
      </c>
      <c r="H42" s="158">
        <f t="shared" si="9"/>
        <v>31</v>
      </c>
      <c r="I42" s="254">
        <f>VLOOKUP(G42,'Прогноз переменной ставки'!$B$5:$E$304,4,1)</f>
        <v>9.9000000000000005E-2</v>
      </c>
      <c r="J42" s="164">
        <f t="shared" si="6"/>
        <v>59999.999999999993</v>
      </c>
      <c r="K42" s="164">
        <f t="shared" si="7"/>
        <v>3480691.4286795226</v>
      </c>
      <c r="L42" s="164">
        <f t="shared" si="10"/>
        <v>3480691.4286795226</v>
      </c>
      <c r="M42" s="164">
        <f t="shared" si="10"/>
        <v>0</v>
      </c>
      <c r="N42" s="164">
        <f t="shared" si="8"/>
        <v>29246.384653298985</v>
      </c>
      <c r="O42" s="164">
        <f t="shared" si="0"/>
        <v>30753.615346701008</v>
      </c>
      <c r="P42" s="164">
        <f t="shared" si="1"/>
        <v>29246.384653298985</v>
      </c>
      <c r="Q42" s="164">
        <f t="shared" si="2"/>
        <v>0</v>
      </c>
      <c r="R42" s="164">
        <f t="shared" si="11"/>
        <v>0</v>
      </c>
      <c r="S42" s="164">
        <f t="shared" si="3"/>
        <v>3449937.8133328217</v>
      </c>
      <c r="T42" s="164">
        <f t="shared" si="4"/>
        <v>0</v>
      </c>
    </row>
    <row r="43" spans="2:20" x14ac:dyDescent="0.2">
      <c r="B43" s="171"/>
      <c r="D43" s="171"/>
      <c r="F43" s="158">
        <v>32</v>
      </c>
      <c r="G43" s="249">
        <f t="shared" si="5"/>
        <v>44620</v>
      </c>
      <c r="H43" s="158">
        <f t="shared" si="9"/>
        <v>28</v>
      </c>
      <c r="I43" s="254">
        <f>VLOOKUP(G43,'Прогноз переменной ставки'!$B$5:$E$304,4,1)</f>
        <v>9.9000000000000005E-2</v>
      </c>
      <c r="J43" s="164">
        <f t="shared" si="6"/>
        <v>59999.999999999993</v>
      </c>
      <c r="K43" s="164">
        <f t="shared" si="7"/>
        <v>3449937.8133328217</v>
      </c>
      <c r="L43" s="164">
        <f t="shared" si="10"/>
        <v>3449937.8133328217</v>
      </c>
      <c r="M43" s="164">
        <f t="shared" si="10"/>
        <v>0</v>
      </c>
      <c r="N43" s="164">
        <f t="shared" si="8"/>
        <v>26182.690262994063</v>
      </c>
      <c r="O43" s="164">
        <f t="shared" si="0"/>
        <v>33817.309737005926</v>
      </c>
      <c r="P43" s="164">
        <f t="shared" si="1"/>
        <v>26182.690262994063</v>
      </c>
      <c r="Q43" s="164">
        <f t="shared" si="2"/>
        <v>0</v>
      </c>
      <c r="R43" s="164">
        <f t="shared" si="11"/>
        <v>0</v>
      </c>
      <c r="S43" s="164">
        <f t="shared" si="3"/>
        <v>3416120.503595816</v>
      </c>
      <c r="T43" s="164">
        <f t="shared" si="4"/>
        <v>0</v>
      </c>
    </row>
    <row r="44" spans="2:20" x14ac:dyDescent="0.2">
      <c r="B44" s="171"/>
      <c r="D44" s="171"/>
      <c r="F44" s="158">
        <v>33</v>
      </c>
      <c r="G44" s="249">
        <f t="shared" si="5"/>
        <v>44651</v>
      </c>
      <c r="H44" s="158">
        <f t="shared" si="9"/>
        <v>31</v>
      </c>
      <c r="I44" s="254">
        <f>VLOOKUP(G44,'Прогноз переменной ставки'!$B$5:$E$304,4,1)</f>
        <v>9.9000000000000005E-2</v>
      </c>
      <c r="J44" s="164">
        <f t="shared" si="6"/>
        <v>59999.999999999993</v>
      </c>
      <c r="K44" s="164">
        <f t="shared" si="7"/>
        <v>3416120.503595816</v>
      </c>
      <c r="L44" s="164">
        <f t="shared" si="10"/>
        <v>3416120.503595816</v>
      </c>
      <c r="M44" s="164">
        <f t="shared" si="10"/>
        <v>0</v>
      </c>
      <c r="N44" s="164">
        <f t="shared" si="8"/>
        <v>28703.829775593593</v>
      </c>
      <c r="O44" s="164">
        <f t="shared" si="0"/>
        <v>31296.1702244064</v>
      </c>
      <c r="P44" s="164">
        <f t="shared" si="1"/>
        <v>28703.829775593593</v>
      </c>
      <c r="Q44" s="164">
        <f t="shared" si="2"/>
        <v>0</v>
      </c>
      <c r="R44" s="164">
        <f t="shared" si="11"/>
        <v>0</v>
      </c>
      <c r="S44" s="164">
        <f t="shared" si="3"/>
        <v>3384824.3333714097</v>
      </c>
      <c r="T44" s="164">
        <f t="shared" si="4"/>
        <v>0</v>
      </c>
    </row>
    <row r="45" spans="2:20" x14ac:dyDescent="0.2">
      <c r="B45" s="171"/>
      <c r="D45" s="171"/>
      <c r="F45" s="158">
        <v>34</v>
      </c>
      <c r="G45" s="249">
        <f t="shared" si="5"/>
        <v>44681</v>
      </c>
      <c r="H45" s="158">
        <f t="shared" si="9"/>
        <v>30</v>
      </c>
      <c r="I45" s="254">
        <f>VLOOKUP(G45,'Прогноз переменной ставки'!$B$5:$E$304,4,1)</f>
        <v>9.9000000000000005E-2</v>
      </c>
      <c r="J45" s="164">
        <f t="shared" si="6"/>
        <v>59999.999999999993</v>
      </c>
      <c r="K45" s="164">
        <f t="shared" si="7"/>
        <v>3384824.3333714097</v>
      </c>
      <c r="L45" s="164">
        <f t="shared" si="10"/>
        <v>3384824.3333714097</v>
      </c>
      <c r="M45" s="164">
        <f t="shared" si="10"/>
        <v>0</v>
      </c>
      <c r="N45" s="164">
        <f t="shared" si="8"/>
        <v>27523.417577311669</v>
      </c>
      <c r="O45" s="164">
        <f t="shared" si="0"/>
        <v>32476.582422688323</v>
      </c>
      <c r="P45" s="164">
        <f t="shared" si="1"/>
        <v>27523.417577311669</v>
      </c>
      <c r="Q45" s="164">
        <f t="shared" si="2"/>
        <v>0</v>
      </c>
      <c r="R45" s="164">
        <f t="shared" si="11"/>
        <v>0</v>
      </c>
      <c r="S45" s="164">
        <f t="shared" si="3"/>
        <v>3352347.7509487215</v>
      </c>
      <c r="T45" s="164">
        <f t="shared" si="4"/>
        <v>0</v>
      </c>
    </row>
    <row r="46" spans="2:20" x14ac:dyDescent="0.2">
      <c r="B46" s="171"/>
      <c r="D46" s="171"/>
      <c r="F46" s="158">
        <v>35</v>
      </c>
      <c r="G46" s="249">
        <f t="shared" si="5"/>
        <v>44712</v>
      </c>
      <c r="H46" s="158">
        <f t="shared" si="9"/>
        <v>31</v>
      </c>
      <c r="I46" s="254">
        <f>VLOOKUP(G46,'Прогноз переменной ставки'!$B$5:$E$304,4,1)</f>
        <v>9.9000000000000005E-2</v>
      </c>
      <c r="J46" s="164">
        <f t="shared" si="6"/>
        <v>59999.999999999993</v>
      </c>
      <c r="K46" s="164">
        <f t="shared" si="7"/>
        <v>3352347.7509487215</v>
      </c>
      <c r="L46" s="164">
        <f t="shared" si="10"/>
        <v>3352347.7509487215</v>
      </c>
      <c r="M46" s="164">
        <f t="shared" si="10"/>
        <v>0</v>
      </c>
      <c r="N46" s="164">
        <f t="shared" si="8"/>
        <v>28167.981513105067</v>
      </c>
      <c r="O46" s="164">
        <f t="shared" si="0"/>
        <v>31832.018486894925</v>
      </c>
      <c r="P46" s="164">
        <f t="shared" si="1"/>
        <v>28167.981513105067</v>
      </c>
      <c r="Q46" s="164">
        <f t="shared" si="2"/>
        <v>0</v>
      </c>
      <c r="R46" s="164">
        <f t="shared" si="11"/>
        <v>0</v>
      </c>
      <c r="S46" s="164">
        <f t="shared" si="3"/>
        <v>3320515.7324618264</v>
      </c>
      <c r="T46" s="164">
        <f t="shared" si="4"/>
        <v>0</v>
      </c>
    </row>
    <row r="47" spans="2:20" x14ac:dyDescent="0.2">
      <c r="B47" s="171"/>
      <c r="D47" s="171"/>
      <c r="F47" s="158">
        <v>36</v>
      </c>
      <c r="G47" s="249">
        <f t="shared" si="5"/>
        <v>44742</v>
      </c>
      <c r="H47" s="158">
        <f t="shared" si="9"/>
        <v>30</v>
      </c>
      <c r="I47" s="254">
        <f>VLOOKUP(G47,'Прогноз переменной ставки'!$B$5:$E$304,4,1)</f>
        <v>9.9000000000000005E-2</v>
      </c>
      <c r="J47" s="164">
        <f t="shared" si="6"/>
        <v>59999.999999999993</v>
      </c>
      <c r="K47" s="164">
        <f t="shared" si="7"/>
        <v>3320515.7324618264</v>
      </c>
      <c r="L47" s="164">
        <f t="shared" si="10"/>
        <v>3320515.7324618264</v>
      </c>
      <c r="M47" s="164">
        <f t="shared" si="10"/>
        <v>0</v>
      </c>
      <c r="N47" s="164">
        <f t="shared" si="8"/>
        <v>27000.497537061259</v>
      </c>
      <c r="O47" s="164">
        <f t="shared" si="0"/>
        <v>32999.502462938734</v>
      </c>
      <c r="P47" s="164">
        <f t="shared" si="1"/>
        <v>27000.497537061259</v>
      </c>
      <c r="Q47" s="164">
        <f t="shared" si="2"/>
        <v>0</v>
      </c>
      <c r="R47" s="164">
        <f t="shared" si="11"/>
        <v>0</v>
      </c>
      <c r="S47" s="164">
        <f t="shared" si="3"/>
        <v>3287516.2299988875</v>
      </c>
      <c r="T47" s="164">
        <f t="shared" si="4"/>
        <v>0</v>
      </c>
    </row>
    <row r="48" spans="2:20" x14ac:dyDescent="0.2">
      <c r="B48" s="171"/>
      <c r="D48" s="171"/>
      <c r="F48" s="158">
        <v>37</v>
      </c>
      <c r="G48" s="249">
        <f t="shared" si="5"/>
        <v>44773</v>
      </c>
      <c r="H48" s="158">
        <f t="shared" si="9"/>
        <v>31</v>
      </c>
      <c r="I48" s="254">
        <f>VLOOKUP(G48,'Прогноз переменной ставки'!$B$5:$E$304,4,1)</f>
        <v>9.9000000000000005E-2</v>
      </c>
      <c r="J48" s="164">
        <f t="shared" si="6"/>
        <v>59999.999999999993</v>
      </c>
      <c r="K48" s="164">
        <f t="shared" si="7"/>
        <v>3287516.2299988875</v>
      </c>
      <c r="L48" s="164">
        <f t="shared" si="10"/>
        <v>3287516.2299988875</v>
      </c>
      <c r="M48" s="164">
        <f t="shared" si="10"/>
        <v>0</v>
      </c>
      <c r="N48" s="164">
        <f t="shared" si="8"/>
        <v>27623.236987998866</v>
      </c>
      <c r="O48" s="164">
        <f t="shared" si="0"/>
        <v>32376.763012001127</v>
      </c>
      <c r="P48" s="164">
        <f t="shared" si="1"/>
        <v>27623.236987998866</v>
      </c>
      <c r="Q48" s="164">
        <f t="shared" si="2"/>
        <v>0</v>
      </c>
      <c r="R48" s="164">
        <f t="shared" si="11"/>
        <v>0</v>
      </c>
      <c r="S48" s="164">
        <f t="shared" si="3"/>
        <v>3255139.4669868862</v>
      </c>
      <c r="T48" s="164">
        <f t="shared" si="4"/>
        <v>0</v>
      </c>
    </row>
    <row r="49" spans="2:20" x14ac:dyDescent="0.2">
      <c r="B49" s="171"/>
      <c r="D49" s="171"/>
      <c r="F49" s="158">
        <v>38</v>
      </c>
      <c r="G49" s="249">
        <f t="shared" si="5"/>
        <v>44804</v>
      </c>
      <c r="H49" s="158">
        <f t="shared" si="9"/>
        <v>31</v>
      </c>
      <c r="I49" s="254">
        <f>VLOOKUP(G49,'Прогноз переменной ставки'!$B$5:$E$304,4,1)</f>
        <v>9.9000000000000005E-2</v>
      </c>
      <c r="J49" s="164">
        <f t="shared" si="6"/>
        <v>59999.999999999993</v>
      </c>
      <c r="K49" s="164">
        <f t="shared" si="7"/>
        <v>3255139.4669868862</v>
      </c>
      <c r="L49" s="164">
        <f t="shared" si="10"/>
        <v>3255139.4669868862</v>
      </c>
      <c r="M49" s="164">
        <f t="shared" si="10"/>
        <v>0</v>
      </c>
      <c r="N49" s="164">
        <f t="shared" si="8"/>
        <v>27351.19240022657</v>
      </c>
      <c r="O49" s="164">
        <f t="shared" si="0"/>
        <v>32648.807599773423</v>
      </c>
      <c r="P49" s="164">
        <f t="shared" si="1"/>
        <v>27351.19240022657</v>
      </c>
      <c r="Q49" s="164">
        <f t="shared" si="2"/>
        <v>0</v>
      </c>
      <c r="R49" s="164">
        <f t="shared" si="11"/>
        <v>0</v>
      </c>
      <c r="S49" s="164">
        <f t="shared" si="3"/>
        <v>3222490.6593871126</v>
      </c>
      <c r="T49" s="164">
        <f t="shared" si="4"/>
        <v>0</v>
      </c>
    </row>
    <row r="50" spans="2:20" x14ac:dyDescent="0.2">
      <c r="B50" s="171"/>
      <c r="D50" s="171"/>
      <c r="F50" s="158">
        <v>39</v>
      </c>
      <c r="G50" s="249">
        <f t="shared" si="5"/>
        <v>44834</v>
      </c>
      <c r="H50" s="158">
        <f t="shared" si="9"/>
        <v>30</v>
      </c>
      <c r="I50" s="254">
        <f>VLOOKUP(G50,'Прогноз переменной ставки'!$B$5:$E$304,4,1)</f>
        <v>9.9000000000000005E-2</v>
      </c>
      <c r="J50" s="164">
        <f t="shared" si="6"/>
        <v>59999.999999999993</v>
      </c>
      <c r="K50" s="164">
        <f t="shared" si="7"/>
        <v>3222490.6593871126</v>
      </c>
      <c r="L50" s="164">
        <f t="shared" si="10"/>
        <v>3222490.6593871126</v>
      </c>
      <c r="M50" s="164">
        <f t="shared" si="10"/>
        <v>0</v>
      </c>
      <c r="N50" s="164">
        <f t="shared" si="8"/>
        <v>26203.414807336685</v>
      </c>
      <c r="O50" s="164">
        <f t="shared" si="0"/>
        <v>33796.585192663304</v>
      </c>
      <c r="P50" s="164">
        <f t="shared" si="1"/>
        <v>26203.414807336685</v>
      </c>
      <c r="Q50" s="164">
        <f t="shared" si="2"/>
        <v>0</v>
      </c>
      <c r="R50" s="164">
        <f t="shared" si="11"/>
        <v>0</v>
      </c>
      <c r="S50" s="164">
        <f t="shared" si="3"/>
        <v>3188694.0741944495</v>
      </c>
      <c r="T50" s="164">
        <f t="shared" si="4"/>
        <v>0</v>
      </c>
    </row>
    <row r="51" spans="2:20" x14ac:dyDescent="0.2">
      <c r="B51" s="171"/>
      <c r="D51" s="171"/>
      <c r="F51" s="158">
        <v>40</v>
      </c>
      <c r="G51" s="249">
        <f t="shared" si="5"/>
        <v>44865</v>
      </c>
      <c r="H51" s="158">
        <f t="shared" si="9"/>
        <v>31</v>
      </c>
      <c r="I51" s="254">
        <f>VLOOKUP(G51,'Прогноз переменной ставки'!$B$5:$E$304,4,1)</f>
        <v>9.9000000000000005E-2</v>
      </c>
      <c r="J51" s="164">
        <f t="shared" si="6"/>
        <v>59999.999999999993</v>
      </c>
      <c r="K51" s="164">
        <f t="shared" si="7"/>
        <v>3188694.0741944495</v>
      </c>
      <c r="L51" s="164">
        <f t="shared" si="10"/>
        <v>3188694.0741944495</v>
      </c>
      <c r="M51" s="164">
        <f t="shared" si="10"/>
        <v>0</v>
      </c>
      <c r="N51" s="164">
        <f t="shared" si="8"/>
        <v>26792.887374956241</v>
      </c>
      <c r="O51" s="164">
        <f t="shared" si="0"/>
        <v>33207.112625043752</v>
      </c>
      <c r="P51" s="164">
        <f t="shared" si="1"/>
        <v>26792.887374956241</v>
      </c>
      <c r="Q51" s="164">
        <f t="shared" si="2"/>
        <v>0</v>
      </c>
      <c r="R51" s="164">
        <f t="shared" si="11"/>
        <v>0</v>
      </c>
      <c r="S51" s="164">
        <f t="shared" si="3"/>
        <v>3155486.9615694056</v>
      </c>
      <c r="T51" s="164">
        <f t="shared" si="4"/>
        <v>0</v>
      </c>
    </row>
    <row r="52" spans="2:20" x14ac:dyDescent="0.2">
      <c r="B52" s="171"/>
      <c r="D52" s="171"/>
      <c r="F52" s="158">
        <v>41</v>
      </c>
      <c r="G52" s="249">
        <f t="shared" si="5"/>
        <v>44895</v>
      </c>
      <c r="H52" s="158">
        <f t="shared" si="9"/>
        <v>30</v>
      </c>
      <c r="I52" s="254">
        <f>VLOOKUP(G52,'Прогноз переменной ставки'!$B$5:$E$304,4,1)</f>
        <v>9.9000000000000005E-2</v>
      </c>
      <c r="J52" s="164">
        <f t="shared" si="6"/>
        <v>59999.999999999993</v>
      </c>
      <c r="K52" s="164">
        <f t="shared" si="7"/>
        <v>3155486.9615694056</v>
      </c>
      <c r="L52" s="164">
        <f t="shared" si="10"/>
        <v>3155486.9615694056</v>
      </c>
      <c r="M52" s="164">
        <f t="shared" si="10"/>
        <v>0</v>
      </c>
      <c r="N52" s="164">
        <f t="shared" si="8"/>
        <v>25658.579810708106</v>
      </c>
      <c r="O52" s="164">
        <f t="shared" si="0"/>
        <v>34341.420189291886</v>
      </c>
      <c r="P52" s="164">
        <f t="shared" si="1"/>
        <v>25658.579810708106</v>
      </c>
      <c r="Q52" s="164">
        <f t="shared" si="2"/>
        <v>0</v>
      </c>
      <c r="R52" s="164">
        <f t="shared" si="11"/>
        <v>0</v>
      </c>
      <c r="S52" s="164">
        <f t="shared" si="3"/>
        <v>3121145.5413801139</v>
      </c>
      <c r="T52" s="164">
        <f t="shared" si="4"/>
        <v>0</v>
      </c>
    </row>
    <row r="53" spans="2:20" x14ac:dyDescent="0.2">
      <c r="B53" s="171"/>
      <c r="D53" s="171"/>
      <c r="F53" s="158">
        <v>42</v>
      </c>
      <c r="G53" s="249">
        <f t="shared" si="5"/>
        <v>44926</v>
      </c>
      <c r="H53" s="158">
        <f t="shared" si="9"/>
        <v>31</v>
      </c>
      <c r="I53" s="254">
        <f>VLOOKUP(G53,'Прогноз переменной ставки'!$B$5:$E$304,4,1)</f>
        <v>9.9000000000000005E-2</v>
      </c>
      <c r="J53" s="164">
        <f t="shared" si="6"/>
        <v>59999.999999999993</v>
      </c>
      <c r="K53" s="164">
        <f t="shared" si="7"/>
        <v>3121145.5413801139</v>
      </c>
      <c r="L53" s="164">
        <f t="shared" si="10"/>
        <v>3121145.5413801139</v>
      </c>
      <c r="M53" s="164">
        <f t="shared" si="10"/>
        <v>0</v>
      </c>
      <c r="N53" s="164">
        <f t="shared" si="8"/>
        <v>26225.313255292458</v>
      </c>
      <c r="O53" s="164">
        <f t="shared" si="0"/>
        <v>33774.686744707535</v>
      </c>
      <c r="P53" s="164">
        <f t="shared" si="1"/>
        <v>26225.313255292458</v>
      </c>
      <c r="Q53" s="164">
        <f t="shared" si="2"/>
        <v>0</v>
      </c>
      <c r="R53" s="164">
        <f t="shared" si="11"/>
        <v>0</v>
      </c>
      <c r="S53" s="164">
        <f t="shared" si="3"/>
        <v>3087370.8546354063</v>
      </c>
      <c r="T53" s="164">
        <f t="shared" si="4"/>
        <v>0</v>
      </c>
    </row>
    <row r="54" spans="2:20" x14ac:dyDescent="0.2">
      <c r="B54" s="171"/>
      <c r="D54" s="171"/>
      <c r="F54" s="158">
        <v>43</v>
      </c>
      <c r="G54" s="249">
        <f t="shared" si="5"/>
        <v>44957</v>
      </c>
      <c r="H54" s="158">
        <f t="shared" si="9"/>
        <v>31</v>
      </c>
      <c r="I54" s="254">
        <f>VLOOKUP(G54,'Прогноз переменной ставки'!$B$5:$E$304,4,1)</f>
        <v>9.9000000000000005E-2</v>
      </c>
      <c r="J54" s="164">
        <f t="shared" si="6"/>
        <v>59999.999999999993</v>
      </c>
      <c r="K54" s="164">
        <f t="shared" si="7"/>
        <v>3087370.8546354063</v>
      </c>
      <c r="L54" s="164">
        <f t="shared" si="10"/>
        <v>3087370.8546354063</v>
      </c>
      <c r="M54" s="164">
        <f t="shared" si="10"/>
        <v>0</v>
      </c>
      <c r="N54" s="164">
        <f t="shared" si="8"/>
        <v>25941.522663589494</v>
      </c>
      <c r="O54" s="164">
        <f t="shared" si="0"/>
        <v>34058.477336410499</v>
      </c>
      <c r="P54" s="164">
        <f t="shared" si="1"/>
        <v>25941.522663589494</v>
      </c>
      <c r="Q54" s="164">
        <f t="shared" si="2"/>
        <v>0</v>
      </c>
      <c r="R54" s="164">
        <f t="shared" si="11"/>
        <v>0</v>
      </c>
      <c r="S54" s="164">
        <f t="shared" si="3"/>
        <v>3053312.3772989959</v>
      </c>
      <c r="T54" s="164">
        <f t="shared" si="4"/>
        <v>0</v>
      </c>
    </row>
    <row r="55" spans="2:20" x14ac:dyDescent="0.2">
      <c r="B55" s="171"/>
      <c r="D55" s="171"/>
      <c r="F55" s="158">
        <v>44</v>
      </c>
      <c r="G55" s="249">
        <f t="shared" si="5"/>
        <v>44985</v>
      </c>
      <c r="H55" s="158">
        <f t="shared" si="9"/>
        <v>28</v>
      </c>
      <c r="I55" s="254">
        <f>VLOOKUP(G55,'Прогноз переменной ставки'!$B$5:$E$304,4,1)</f>
        <v>9.9000000000000005E-2</v>
      </c>
      <c r="J55" s="164">
        <f t="shared" si="6"/>
        <v>59999.999999999993</v>
      </c>
      <c r="K55" s="164">
        <f t="shared" si="7"/>
        <v>3053312.3772989959</v>
      </c>
      <c r="L55" s="164">
        <f t="shared" si="10"/>
        <v>3053312.3772989959</v>
      </c>
      <c r="M55" s="164">
        <f t="shared" si="10"/>
        <v>0</v>
      </c>
      <c r="N55" s="164">
        <f t="shared" si="8"/>
        <v>23172.571964059731</v>
      </c>
      <c r="O55" s="164">
        <f t="shared" si="0"/>
        <v>36827.428035940262</v>
      </c>
      <c r="P55" s="164">
        <f t="shared" si="1"/>
        <v>23172.571964059731</v>
      </c>
      <c r="Q55" s="164">
        <f t="shared" si="2"/>
        <v>0</v>
      </c>
      <c r="R55" s="164">
        <f t="shared" si="11"/>
        <v>0</v>
      </c>
      <c r="S55" s="164">
        <f t="shared" si="3"/>
        <v>3016484.9492630558</v>
      </c>
      <c r="T55" s="164">
        <f t="shared" si="4"/>
        <v>0</v>
      </c>
    </row>
    <row r="56" spans="2:20" x14ac:dyDescent="0.2">
      <c r="B56" s="171"/>
      <c r="D56" s="171"/>
      <c r="F56" s="158">
        <v>45</v>
      </c>
      <c r="G56" s="249">
        <f t="shared" si="5"/>
        <v>45016</v>
      </c>
      <c r="H56" s="158">
        <f t="shared" si="9"/>
        <v>31</v>
      </c>
      <c r="I56" s="254">
        <f>VLOOKUP(G56,'Прогноз переменной ставки'!$B$5:$E$304,4,1)</f>
        <v>9.9000000000000005E-2</v>
      </c>
      <c r="J56" s="164">
        <f t="shared" si="6"/>
        <v>59999.999999999993</v>
      </c>
      <c r="K56" s="164">
        <f t="shared" si="7"/>
        <v>3016484.9492630558</v>
      </c>
      <c r="L56" s="164">
        <f t="shared" si="10"/>
        <v>3016484.9492630558</v>
      </c>
      <c r="M56" s="164">
        <f t="shared" si="10"/>
        <v>0</v>
      </c>
      <c r="N56" s="164">
        <f t="shared" si="8"/>
        <v>25345.906390933113</v>
      </c>
      <c r="O56" s="164">
        <f t="shared" si="0"/>
        <v>34654.093609066884</v>
      </c>
      <c r="P56" s="164">
        <f t="shared" si="1"/>
        <v>25345.906390933113</v>
      </c>
      <c r="Q56" s="164">
        <f t="shared" si="2"/>
        <v>0</v>
      </c>
      <c r="R56" s="164">
        <f t="shared" si="11"/>
        <v>0</v>
      </c>
      <c r="S56" s="164">
        <f t="shared" si="3"/>
        <v>2981830.8556539891</v>
      </c>
      <c r="T56" s="164">
        <f t="shared" si="4"/>
        <v>0</v>
      </c>
    </row>
    <row r="57" spans="2:20" x14ac:dyDescent="0.2">
      <c r="B57" s="171"/>
      <c r="D57" s="171"/>
      <c r="F57" s="158">
        <v>46</v>
      </c>
      <c r="G57" s="249">
        <f t="shared" si="5"/>
        <v>45046</v>
      </c>
      <c r="H57" s="158">
        <f t="shared" si="9"/>
        <v>30</v>
      </c>
      <c r="I57" s="254">
        <f>VLOOKUP(G57,'Прогноз переменной ставки'!$B$5:$E$304,4,1)</f>
        <v>9.9000000000000005E-2</v>
      </c>
      <c r="J57" s="164">
        <f t="shared" si="6"/>
        <v>59999.999999999993</v>
      </c>
      <c r="K57" s="164">
        <f t="shared" si="7"/>
        <v>2981830.8556539891</v>
      </c>
      <c r="L57" s="164">
        <f t="shared" si="10"/>
        <v>2981830.8556539891</v>
      </c>
      <c r="M57" s="164">
        <f t="shared" si="10"/>
        <v>0</v>
      </c>
      <c r="N57" s="164">
        <f t="shared" si="8"/>
        <v>24246.509627083771</v>
      </c>
      <c r="O57" s="164">
        <f t="shared" si="0"/>
        <v>35753.490372916218</v>
      </c>
      <c r="P57" s="164">
        <f t="shared" si="1"/>
        <v>24246.509627083771</v>
      </c>
      <c r="Q57" s="164">
        <f t="shared" si="2"/>
        <v>0</v>
      </c>
      <c r="R57" s="164">
        <f t="shared" si="11"/>
        <v>0</v>
      </c>
      <c r="S57" s="164">
        <f t="shared" si="3"/>
        <v>2946077.3652810729</v>
      </c>
      <c r="T57" s="164">
        <f t="shared" si="4"/>
        <v>0</v>
      </c>
    </row>
    <row r="58" spans="2:20" x14ac:dyDescent="0.2">
      <c r="B58" s="171"/>
      <c r="D58" s="171"/>
      <c r="F58" s="158">
        <v>47</v>
      </c>
      <c r="G58" s="249">
        <f t="shared" si="5"/>
        <v>45077</v>
      </c>
      <c r="H58" s="158">
        <f t="shared" si="9"/>
        <v>31</v>
      </c>
      <c r="I58" s="254">
        <f>VLOOKUP(G58,'Прогноз переменной ставки'!$B$5:$E$304,4,1)</f>
        <v>9.9000000000000005E-2</v>
      </c>
      <c r="J58" s="164">
        <f t="shared" si="6"/>
        <v>59999.999999999993</v>
      </c>
      <c r="K58" s="164">
        <f t="shared" si="7"/>
        <v>2946077.3652810729</v>
      </c>
      <c r="L58" s="164">
        <f t="shared" si="10"/>
        <v>2946077.3652810729</v>
      </c>
      <c r="M58" s="164">
        <f t="shared" si="10"/>
        <v>0</v>
      </c>
      <c r="N58" s="164">
        <f t="shared" si="8"/>
        <v>24754.309196571154</v>
      </c>
      <c r="O58" s="164">
        <f t="shared" si="0"/>
        <v>35245.690803428835</v>
      </c>
      <c r="P58" s="164">
        <f t="shared" si="1"/>
        <v>24754.309196571154</v>
      </c>
      <c r="Q58" s="164">
        <f t="shared" si="2"/>
        <v>0</v>
      </c>
      <c r="R58" s="164">
        <f t="shared" si="11"/>
        <v>0</v>
      </c>
      <c r="S58" s="164">
        <f t="shared" si="3"/>
        <v>2910831.6744776443</v>
      </c>
      <c r="T58" s="164">
        <f t="shared" si="4"/>
        <v>0</v>
      </c>
    </row>
    <row r="59" spans="2:20" x14ac:dyDescent="0.2">
      <c r="B59" s="171"/>
      <c r="D59" s="171"/>
      <c r="F59" s="158">
        <v>48</v>
      </c>
      <c r="G59" s="249">
        <f t="shared" si="5"/>
        <v>45107</v>
      </c>
      <c r="H59" s="158">
        <f t="shared" si="9"/>
        <v>30</v>
      </c>
      <c r="I59" s="254">
        <f>VLOOKUP(G59,'Прогноз переменной ставки'!$B$5:$E$304,4,1)</f>
        <v>9.9000000000000005E-2</v>
      </c>
      <c r="J59" s="164">
        <f t="shared" si="6"/>
        <v>59999.999999999993</v>
      </c>
      <c r="K59" s="164">
        <f t="shared" si="7"/>
        <v>2910831.6744776443</v>
      </c>
      <c r="L59" s="164">
        <f t="shared" si="10"/>
        <v>2910831.6744776443</v>
      </c>
      <c r="M59" s="164">
        <f t="shared" si="10"/>
        <v>0</v>
      </c>
      <c r="N59" s="164">
        <f t="shared" si="8"/>
        <v>23669.185689797687</v>
      </c>
      <c r="O59" s="164">
        <f t="shared" si="0"/>
        <v>36330.814310202302</v>
      </c>
      <c r="P59" s="164">
        <f t="shared" si="1"/>
        <v>23669.185689797687</v>
      </c>
      <c r="Q59" s="164">
        <f t="shared" si="2"/>
        <v>0</v>
      </c>
      <c r="R59" s="164">
        <f t="shared" si="11"/>
        <v>0</v>
      </c>
      <c r="S59" s="164">
        <f t="shared" si="3"/>
        <v>2874500.8601674419</v>
      </c>
      <c r="T59" s="164">
        <f t="shared" si="4"/>
        <v>0</v>
      </c>
    </row>
    <row r="60" spans="2:20" x14ac:dyDescent="0.2">
      <c r="B60" s="171"/>
      <c r="D60" s="171"/>
      <c r="F60" s="158">
        <v>49</v>
      </c>
      <c r="G60" s="249">
        <f t="shared" si="5"/>
        <v>45138</v>
      </c>
      <c r="H60" s="158">
        <f t="shared" si="9"/>
        <v>31</v>
      </c>
      <c r="I60" s="254">
        <f>VLOOKUP(G60,'Прогноз переменной ставки'!$B$5:$E$304,4,1)</f>
        <v>9.9000000000000005E-2</v>
      </c>
      <c r="J60" s="164">
        <f t="shared" si="6"/>
        <v>59999.999999999993</v>
      </c>
      <c r="K60" s="164">
        <f t="shared" si="7"/>
        <v>2874500.8601674419</v>
      </c>
      <c r="L60" s="164">
        <f t="shared" si="10"/>
        <v>2874500.8601674419</v>
      </c>
      <c r="M60" s="164">
        <f t="shared" si="10"/>
        <v>0</v>
      </c>
      <c r="N60" s="164">
        <f t="shared" si="8"/>
        <v>24152.890184404874</v>
      </c>
      <c r="O60" s="164">
        <f t="shared" si="0"/>
        <v>35847.109815595119</v>
      </c>
      <c r="P60" s="164">
        <f t="shared" si="1"/>
        <v>24152.890184404874</v>
      </c>
      <c r="Q60" s="164">
        <f t="shared" si="2"/>
        <v>0</v>
      </c>
      <c r="R60" s="164">
        <f t="shared" si="11"/>
        <v>0</v>
      </c>
      <c r="S60" s="164">
        <f t="shared" si="3"/>
        <v>2838653.7503518467</v>
      </c>
      <c r="T60" s="164">
        <f t="shared" si="4"/>
        <v>0</v>
      </c>
    </row>
    <row r="61" spans="2:20" x14ac:dyDescent="0.2">
      <c r="B61" s="171"/>
      <c r="D61" s="171"/>
      <c r="F61" s="158">
        <v>50</v>
      </c>
      <c r="G61" s="249">
        <f t="shared" si="5"/>
        <v>45169</v>
      </c>
      <c r="H61" s="158">
        <f t="shared" si="9"/>
        <v>31</v>
      </c>
      <c r="I61" s="254">
        <f>VLOOKUP(G61,'Прогноз переменной ставки'!$B$5:$E$304,4,1)</f>
        <v>9.9000000000000005E-2</v>
      </c>
      <c r="J61" s="164">
        <f t="shared" si="6"/>
        <v>59999.999999999993</v>
      </c>
      <c r="K61" s="164">
        <f t="shared" si="7"/>
        <v>2838653.7503518467</v>
      </c>
      <c r="L61" s="164">
        <f t="shared" si="10"/>
        <v>2838653.7503518467</v>
      </c>
      <c r="M61" s="164">
        <f t="shared" si="10"/>
        <v>0</v>
      </c>
      <c r="N61" s="164">
        <f t="shared" si="8"/>
        <v>23851.686132319832</v>
      </c>
      <c r="O61" s="164">
        <f t="shared" si="0"/>
        <v>36148.313867680161</v>
      </c>
      <c r="P61" s="164">
        <f t="shared" si="1"/>
        <v>23851.686132319832</v>
      </c>
      <c r="Q61" s="164">
        <f t="shared" si="2"/>
        <v>0</v>
      </c>
      <c r="R61" s="164">
        <f t="shared" si="11"/>
        <v>0</v>
      </c>
      <c r="S61" s="164">
        <f t="shared" si="3"/>
        <v>2802505.4364841664</v>
      </c>
      <c r="T61" s="164">
        <f t="shared" si="4"/>
        <v>0</v>
      </c>
    </row>
    <row r="62" spans="2:20" x14ac:dyDescent="0.2">
      <c r="B62" s="171"/>
      <c r="D62" s="171"/>
      <c r="F62" s="158">
        <v>51</v>
      </c>
      <c r="G62" s="249">
        <f t="shared" si="5"/>
        <v>45199</v>
      </c>
      <c r="H62" s="158">
        <f t="shared" si="9"/>
        <v>30</v>
      </c>
      <c r="I62" s="254">
        <f>VLOOKUP(G62,'Прогноз переменной ставки'!$B$5:$E$304,4,1)</f>
        <v>9.9000000000000005E-2</v>
      </c>
      <c r="J62" s="164">
        <f t="shared" si="6"/>
        <v>59999.999999999993</v>
      </c>
      <c r="K62" s="164">
        <f t="shared" si="7"/>
        <v>2802505.4364841664</v>
      </c>
      <c r="L62" s="164">
        <f t="shared" si="10"/>
        <v>2802505.4364841664</v>
      </c>
      <c r="M62" s="164">
        <f t="shared" si="10"/>
        <v>0</v>
      </c>
      <c r="N62" s="164">
        <f t="shared" si="8"/>
        <v>22788.339894203898</v>
      </c>
      <c r="O62" s="164">
        <f t="shared" si="0"/>
        <v>37211.660105796094</v>
      </c>
      <c r="P62" s="164">
        <f t="shared" si="1"/>
        <v>22788.339894203898</v>
      </c>
      <c r="Q62" s="164">
        <f t="shared" si="2"/>
        <v>0</v>
      </c>
      <c r="R62" s="164">
        <f t="shared" si="11"/>
        <v>0</v>
      </c>
      <c r="S62" s="164">
        <f t="shared" si="3"/>
        <v>2765293.7763783704</v>
      </c>
      <c r="T62" s="164">
        <f t="shared" si="4"/>
        <v>0</v>
      </c>
    </row>
    <row r="63" spans="2:20" x14ac:dyDescent="0.2">
      <c r="B63" s="171"/>
      <c r="D63" s="171"/>
      <c r="F63" s="158">
        <v>52</v>
      </c>
      <c r="G63" s="249">
        <f t="shared" si="5"/>
        <v>45230</v>
      </c>
      <c r="H63" s="158">
        <f t="shared" si="9"/>
        <v>31</v>
      </c>
      <c r="I63" s="254">
        <f>VLOOKUP(G63,'Прогноз переменной ставки'!$B$5:$E$304,4,1)</f>
        <v>9.9000000000000005E-2</v>
      </c>
      <c r="J63" s="164">
        <f t="shared" si="6"/>
        <v>59999.999999999993</v>
      </c>
      <c r="K63" s="164">
        <f t="shared" si="7"/>
        <v>2765293.7763783704</v>
      </c>
      <c r="L63" s="164">
        <f t="shared" si="10"/>
        <v>2765293.7763783704</v>
      </c>
      <c r="M63" s="164">
        <f t="shared" si="10"/>
        <v>0</v>
      </c>
      <c r="N63" s="164">
        <f t="shared" si="8"/>
        <v>23235.281587146394</v>
      </c>
      <c r="O63" s="164">
        <f t="shared" si="0"/>
        <v>36764.718412853603</v>
      </c>
      <c r="P63" s="164">
        <f t="shared" si="1"/>
        <v>23235.281587146394</v>
      </c>
      <c r="Q63" s="164">
        <f t="shared" si="2"/>
        <v>0</v>
      </c>
      <c r="R63" s="164">
        <f t="shared" si="11"/>
        <v>0</v>
      </c>
      <c r="S63" s="164">
        <f t="shared" si="3"/>
        <v>2728529.0579655166</v>
      </c>
      <c r="T63" s="164">
        <f t="shared" si="4"/>
        <v>0</v>
      </c>
    </row>
    <row r="64" spans="2:20" x14ac:dyDescent="0.2">
      <c r="B64" s="171"/>
      <c r="D64" s="171"/>
      <c r="F64" s="158">
        <v>53</v>
      </c>
      <c r="G64" s="249">
        <f t="shared" si="5"/>
        <v>45260</v>
      </c>
      <c r="H64" s="158">
        <f t="shared" si="9"/>
        <v>30</v>
      </c>
      <c r="I64" s="254">
        <f>VLOOKUP(G64,'Прогноз переменной ставки'!$B$5:$E$304,4,1)</f>
        <v>9.9000000000000005E-2</v>
      </c>
      <c r="J64" s="164">
        <f t="shared" si="6"/>
        <v>59999.999999999993</v>
      </c>
      <c r="K64" s="164">
        <f t="shared" si="7"/>
        <v>2728529.0579655166</v>
      </c>
      <c r="L64" s="164">
        <f t="shared" si="10"/>
        <v>2728529.0579655166</v>
      </c>
      <c r="M64" s="164">
        <f t="shared" si="10"/>
        <v>0</v>
      </c>
      <c r="N64" s="164">
        <f t="shared" si="8"/>
        <v>22186.807124319192</v>
      </c>
      <c r="O64" s="164">
        <f t="shared" si="0"/>
        <v>37813.192875680805</v>
      </c>
      <c r="P64" s="164">
        <f t="shared" si="1"/>
        <v>22186.807124319192</v>
      </c>
      <c r="Q64" s="164">
        <f t="shared" si="2"/>
        <v>0</v>
      </c>
      <c r="R64" s="164">
        <f t="shared" si="11"/>
        <v>0</v>
      </c>
      <c r="S64" s="164">
        <f t="shared" si="3"/>
        <v>2690715.8650898356</v>
      </c>
      <c r="T64" s="164">
        <f t="shared" si="4"/>
        <v>0</v>
      </c>
    </row>
    <row r="65" spans="2:20" x14ac:dyDescent="0.2">
      <c r="B65" s="171"/>
      <c r="D65" s="171"/>
      <c r="F65" s="158">
        <v>54</v>
      </c>
      <c r="G65" s="249">
        <f t="shared" si="5"/>
        <v>45291</v>
      </c>
      <c r="H65" s="158">
        <f t="shared" si="9"/>
        <v>31</v>
      </c>
      <c r="I65" s="254">
        <f>VLOOKUP(G65,'Прогноз переменной ставки'!$B$5:$E$304,4,1)</f>
        <v>9.9000000000000005E-2</v>
      </c>
      <c r="J65" s="164">
        <f t="shared" si="6"/>
        <v>59999.999999999993</v>
      </c>
      <c r="K65" s="164">
        <f t="shared" si="7"/>
        <v>2690715.8650898356</v>
      </c>
      <c r="L65" s="164">
        <f t="shared" si="10"/>
        <v>2690715.8650898356</v>
      </c>
      <c r="M65" s="164">
        <f t="shared" si="10"/>
        <v>0</v>
      </c>
      <c r="N65" s="164">
        <f t="shared" si="8"/>
        <v>22608.643367448887</v>
      </c>
      <c r="O65" s="164">
        <f t="shared" si="0"/>
        <v>37391.356632551106</v>
      </c>
      <c r="P65" s="164">
        <f t="shared" si="1"/>
        <v>22608.643367448887</v>
      </c>
      <c r="Q65" s="164">
        <f t="shared" si="2"/>
        <v>0</v>
      </c>
      <c r="R65" s="164">
        <f t="shared" si="11"/>
        <v>0</v>
      </c>
      <c r="S65" s="164">
        <f t="shared" si="3"/>
        <v>2653324.5084572844</v>
      </c>
      <c r="T65" s="164">
        <f t="shared" si="4"/>
        <v>0</v>
      </c>
    </row>
    <row r="66" spans="2:20" x14ac:dyDescent="0.2">
      <c r="B66" s="171"/>
      <c r="D66" s="171"/>
      <c r="F66" s="158">
        <v>55</v>
      </c>
      <c r="G66" s="249">
        <f t="shared" si="5"/>
        <v>45322</v>
      </c>
      <c r="H66" s="158">
        <f t="shared" si="9"/>
        <v>31</v>
      </c>
      <c r="I66" s="254">
        <f>VLOOKUP(G66,'Прогноз переменной ставки'!$B$5:$E$304,4,1)</f>
        <v>9.9000000000000005E-2</v>
      </c>
      <c r="J66" s="164">
        <f t="shared" si="6"/>
        <v>59999.999999999993</v>
      </c>
      <c r="K66" s="164">
        <f t="shared" si="7"/>
        <v>2653324.5084572844</v>
      </c>
      <c r="L66" s="164">
        <f t="shared" si="10"/>
        <v>2653324.5084572844</v>
      </c>
      <c r="M66" s="164">
        <f t="shared" si="10"/>
        <v>0</v>
      </c>
      <c r="N66" s="164">
        <f t="shared" si="8"/>
        <v>22294.463836975789</v>
      </c>
      <c r="O66" s="164">
        <f t="shared" si="0"/>
        <v>37705.536163024204</v>
      </c>
      <c r="P66" s="164">
        <f t="shared" si="1"/>
        <v>22294.463836975789</v>
      </c>
      <c r="Q66" s="164">
        <f t="shared" si="2"/>
        <v>0</v>
      </c>
      <c r="R66" s="164">
        <f t="shared" si="11"/>
        <v>0</v>
      </c>
      <c r="S66" s="164">
        <f t="shared" si="3"/>
        <v>2615618.9722942603</v>
      </c>
      <c r="T66" s="164">
        <f t="shared" si="4"/>
        <v>0</v>
      </c>
    </row>
    <row r="67" spans="2:20" x14ac:dyDescent="0.2">
      <c r="B67" s="171"/>
      <c r="D67" s="171"/>
      <c r="F67" s="158">
        <v>56</v>
      </c>
      <c r="G67" s="249">
        <f t="shared" si="5"/>
        <v>45351</v>
      </c>
      <c r="H67" s="158">
        <f t="shared" si="9"/>
        <v>29</v>
      </c>
      <c r="I67" s="254">
        <f>VLOOKUP(G67,'Прогноз переменной ставки'!$B$5:$E$304,4,1)</f>
        <v>9.9000000000000005E-2</v>
      </c>
      <c r="J67" s="164">
        <f t="shared" si="6"/>
        <v>59999.999999999993</v>
      </c>
      <c r="K67" s="164">
        <f t="shared" si="7"/>
        <v>2615618.9722942603</v>
      </c>
      <c r="L67" s="164">
        <f t="shared" si="10"/>
        <v>2615618.9722942603</v>
      </c>
      <c r="M67" s="164">
        <f t="shared" si="10"/>
        <v>0</v>
      </c>
      <c r="N67" s="164">
        <f t="shared" si="8"/>
        <v>20559.731880785275</v>
      </c>
      <c r="O67" s="164">
        <f t="shared" si="0"/>
        <v>39440.268119214714</v>
      </c>
      <c r="P67" s="164">
        <f t="shared" si="1"/>
        <v>20559.731880785275</v>
      </c>
      <c r="Q67" s="164">
        <f t="shared" si="2"/>
        <v>0</v>
      </c>
      <c r="R67" s="164">
        <f t="shared" si="11"/>
        <v>0</v>
      </c>
      <c r="S67" s="164">
        <f t="shared" si="3"/>
        <v>2576178.7041750457</v>
      </c>
      <c r="T67" s="164">
        <f t="shared" si="4"/>
        <v>0</v>
      </c>
    </row>
    <row r="68" spans="2:20" x14ac:dyDescent="0.2">
      <c r="B68" s="171"/>
      <c r="D68" s="171"/>
      <c r="F68" s="158">
        <v>57</v>
      </c>
      <c r="G68" s="249">
        <f t="shared" si="5"/>
        <v>45382</v>
      </c>
      <c r="H68" s="158">
        <f t="shared" si="9"/>
        <v>31</v>
      </c>
      <c r="I68" s="254">
        <f>VLOOKUP(G68,'Прогноз переменной ставки'!$B$5:$E$304,4,1)</f>
        <v>9.9000000000000005E-2</v>
      </c>
      <c r="J68" s="164">
        <f t="shared" si="6"/>
        <v>59999.999999999993</v>
      </c>
      <c r="K68" s="164">
        <f t="shared" si="7"/>
        <v>2576178.7041750457</v>
      </c>
      <c r="L68" s="164">
        <f t="shared" si="10"/>
        <v>2576178.7041750457</v>
      </c>
      <c r="M68" s="164">
        <f t="shared" si="10"/>
        <v>0</v>
      </c>
      <c r="N68" s="164">
        <f t="shared" si="8"/>
        <v>21646.248988674102</v>
      </c>
      <c r="O68" s="164">
        <f t="shared" si="0"/>
        <v>38353.75101132589</v>
      </c>
      <c r="P68" s="164">
        <f t="shared" si="1"/>
        <v>21646.248988674102</v>
      </c>
      <c r="Q68" s="164">
        <f t="shared" si="2"/>
        <v>0</v>
      </c>
      <c r="R68" s="164">
        <f t="shared" si="11"/>
        <v>0</v>
      </c>
      <c r="S68" s="164">
        <f t="shared" si="3"/>
        <v>2537824.9531637197</v>
      </c>
      <c r="T68" s="164">
        <f t="shared" si="4"/>
        <v>0</v>
      </c>
    </row>
    <row r="69" spans="2:20" x14ac:dyDescent="0.2">
      <c r="B69" s="171"/>
      <c r="D69" s="171"/>
      <c r="F69" s="158">
        <v>58</v>
      </c>
      <c r="G69" s="249">
        <f t="shared" si="5"/>
        <v>45412</v>
      </c>
      <c r="H69" s="158">
        <f t="shared" si="9"/>
        <v>30</v>
      </c>
      <c r="I69" s="254">
        <f>VLOOKUP(G69,'Прогноз переменной ставки'!$B$5:$E$304,4,1)</f>
        <v>9.9000000000000005E-2</v>
      </c>
      <c r="J69" s="164">
        <f t="shared" si="6"/>
        <v>59999.999999999993</v>
      </c>
      <c r="K69" s="164">
        <f t="shared" si="7"/>
        <v>2537824.9531637197</v>
      </c>
      <c r="L69" s="164">
        <f t="shared" si="10"/>
        <v>2537824.9531637197</v>
      </c>
      <c r="M69" s="164">
        <f t="shared" si="10"/>
        <v>0</v>
      </c>
      <c r="N69" s="164">
        <f t="shared" si="8"/>
        <v>20636.112555499654</v>
      </c>
      <c r="O69" s="164">
        <f t="shared" si="0"/>
        <v>39363.887444500338</v>
      </c>
      <c r="P69" s="164">
        <f t="shared" si="1"/>
        <v>20636.112555499654</v>
      </c>
      <c r="Q69" s="164">
        <f t="shared" si="2"/>
        <v>0</v>
      </c>
      <c r="R69" s="164">
        <f t="shared" si="11"/>
        <v>0</v>
      </c>
      <c r="S69" s="164">
        <f t="shared" si="3"/>
        <v>2498461.0657192194</v>
      </c>
      <c r="T69" s="164">
        <f t="shared" si="4"/>
        <v>0</v>
      </c>
    </row>
    <row r="70" spans="2:20" x14ac:dyDescent="0.2">
      <c r="B70" s="171"/>
      <c r="D70" s="171"/>
      <c r="F70" s="158">
        <v>59</v>
      </c>
      <c r="G70" s="249">
        <f t="shared" si="5"/>
        <v>45443</v>
      </c>
      <c r="H70" s="158">
        <f t="shared" si="9"/>
        <v>31</v>
      </c>
      <c r="I70" s="254">
        <f>VLOOKUP(G70,'Прогноз переменной ставки'!$B$5:$E$304,4,1)</f>
        <v>9.9000000000000005E-2</v>
      </c>
      <c r="J70" s="164">
        <f t="shared" si="6"/>
        <v>59999.999999999993</v>
      </c>
      <c r="K70" s="164">
        <f t="shared" si="7"/>
        <v>2498461.0657192194</v>
      </c>
      <c r="L70" s="164">
        <f t="shared" si="10"/>
        <v>2498461.0657192194</v>
      </c>
      <c r="M70" s="164">
        <f t="shared" si="10"/>
        <v>0</v>
      </c>
      <c r="N70" s="164">
        <f t="shared" si="8"/>
        <v>20993.229324277301</v>
      </c>
      <c r="O70" s="164">
        <f t="shared" si="0"/>
        <v>39006.770675722692</v>
      </c>
      <c r="P70" s="164">
        <f t="shared" si="1"/>
        <v>20993.229324277301</v>
      </c>
      <c r="Q70" s="164">
        <f t="shared" si="2"/>
        <v>0</v>
      </c>
      <c r="R70" s="164">
        <f t="shared" si="11"/>
        <v>0</v>
      </c>
      <c r="S70" s="164">
        <f t="shared" si="3"/>
        <v>2459454.2950434969</v>
      </c>
      <c r="T70" s="164">
        <f t="shared" si="4"/>
        <v>0</v>
      </c>
    </row>
    <row r="71" spans="2:20" x14ac:dyDescent="0.2">
      <c r="B71" s="171"/>
      <c r="D71" s="171"/>
      <c r="F71" s="158">
        <v>60</v>
      </c>
      <c r="G71" s="249">
        <f t="shared" si="5"/>
        <v>45473</v>
      </c>
      <c r="H71" s="158">
        <f t="shared" si="9"/>
        <v>30</v>
      </c>
      <c r="I71" s="254">
        <f>VLOOKUP(G71,'Прогноз переменной ставки'!$B$5:$E$304,4,1)</f>
        <v>9.9000000000000005E-2</v>
      </c>
      <c r="J71" s="164">
        <f t="shared" si="6"/>
        <v>59999.999999999993</v>
      </c>
      <c r="K71" s="164">
        <f t="shared" si="7"/>
        <v>2459454.2950434969</v>
      </c>
      <c r="L71" s="164">
        <f t="shared" si="10"/>
        <v>2459454.2950434969</v>
      </c>
      <c r="M71" s="164">
        <f t="shared" si="10"/>
        <v>0</v>
      </c>
      <c r="N71" s="164">
        <f t="shared" si="8"/>
        <v>19998.848066472787</v>
      </c>
      <c r="O71" s="164">
        <f t="shared" si="0"/>
        <v>40001.151933527202</v>
      </c>
      <c r="P71" s="164">
        <f t="shared" si="1"/>
        <v>19998.848066472787</v>
      </c>
      <c r="Q71" s="164">
        <f t="shared" si="2"/>
        <v>0</v>
      </c>
      <c r="R71" s="164">
        <f t="shared" si="11"/>
        <v>0</v>
      </c>
      <c r="S71" s="164">
        <f t="shared" si="3"/>
        <v>2419453.1431099698</v>
      </c>
      <c r="T71" s="164">
        <f t="shared" si="4"/>
        <v>0</v>
      </c>
    </row>
    <row r="72" spans="2:20" x14ac:dyDescent="0.2">
      <c r="B72" s="171"/>
      <c r="D72" s="171"/>
      <c r="F72" s="158">
        <v>61</v>
      </c>
      <c r="G72" s="249">
        <f t="shared" si="5"/>
        <v>45504</v>
      </c>
      <c r="H72" s="158">
        <f t="shared" si="9"/>
        <v>31</v>
      </c>
      <c r="I72" s="254">
        <f>VLOOKUP(G72,'Прогноз переменной ставки'!$B$5:$E$304,4,1)</f>
        <v>9.9000000000000005E-2</v>
      </c>
      <c r="J72" s="164">
        <f t="shared" si="6"/>
        <v>59999.999999999993</v>
      </c>
      <c r="K72" s="164">
        <f t="shared" si="7"/>
        <v>2419453.1431099698</v>
      </c>
      <c r="L72" s="164">
        <f t="shared" si="10"/>
        <v>2419453.1431099698</v>
      </c>
      <c r="M72" s="164">
        <f t="shared" si="10"/>
        <v>0</v>
      </c>
      <c r="N72" s="164">
        <f t="shared" si="8"/>
        <v>20329.368093646808</v>
      </c>
      <c r="O72" s="164">
        <f t="shared" si="0"/>
        <v>39670.631906353185</v>
      </c>
      <c r="P72" s="164">
        <f t="shared" si="1"/>
        <v>20329.368093646808</v>
      </c>
      <c r="Q72" s="164">
        <f t="shared" si="2"/>
        <v>0</v>
      </c>
      <c r="R72" s="164">
        <f t="shared" si="11"/>
        <v>0</v>
      </c>
      <c r="S72" s="164">
        <f t="shared" si="3"/>
        <v>2379782.5112036164</v>
      </c>
      <c r="T72" s="164">
        <f t="shared" si="4"/>
        <v>0</v>
      </c>
    </row>
    <row r="73" spans="2:20" x14ac:dyDescent="0.2">
      <c r="B73" s="171"/>
      <c r="D73" s="171"/>
      <c r="F73" s="158">
        <v>62</v>
      </c>
      <c r="G73" s="249">
        <f t="shared" si="5"/>
        <v>45535</v>
      </c>
      <c r="H73" s="158">
        <f t="shared" si="9"/>
        <v>31</v>
      </c>
      <c r="I73" s="254">
        <f>VLOOKUP(G73,'Прогноз переменной ставки'!$B$5:$E$304,4,1)</f>
        <v>9.9000000000000005E-2</v>
      </c>
      <c r="J73" s="164">
        <f t="shared" si="6"/>
        <v>59999.999999999993</v>
      </c>
      <c r="K73" s="164">
        <f t="shared" si="7"/>
        <v>2379782.5112036164</v>
      </c>
      <c r="L73" s="164">
        <f t="shared" si="10"/>
        <v>2379782.5112036164</v>
      </c>
      <c r="M73" s="164">
        <f t="shared" si="10"/>
        <v>0</v>
      </c>
      <c r="N73" s="164">
        <f t="shared" si="8"/>
        <v>19996.037034589732</v>
      </c>
      <c r="O73" s="164">
        <f t="shared" si="0"/>
        <v>40003.962965410261</v>
      </c>
      <c r="P73" s="164">
        <f t="shared" si="1"/>
        <v>19996.037034589732</v>
      </c>
      <c r="Q73" s="164">
        <f t="shared" si="2"/>
        <v>0</v>
      </c>
      <c r="R73" s="164">
        <f t="shared" si="11"/>
        <v>0</v>
      </c>
      <c r="S73" s="164">
        <f t="shared" si="3"/>
        <v>2339778.5482382062</v>
      </c>
      <c r="T73" s="164">
        <f t="shared" si="4"/>
        <v>0</v>
      </c>
    </row>
    <row r="74" spans="2:20" x14ac:dyDescent="0.2">
      <c r="B74" s="171"/>
      <c r="D74" s="171"/>
      <c r="F74" s="158">
        <v>63</v>
      </c>
      <c r="G74" s="249">
        <f t="shared" si="5"/>
        <v>45565</v>
      </c>
      <c r="H74" s="158">
        <f t="shared" si="9"/>
        <v>30</v>
      </c>
      <c r="I74" s="254">
        <f>VLOOKUP(G74,'Прогноз переменной ставки'!$B$5:$E$304,4,1)</f>
        <v>9.9000000000000005E-2</v>
      </c>
      <c r="J74" s="164">
        <f t="shared" si="6"/>
        <v>59999.999999999993</v>
      </c>
      <c r="K74" s="164">
        <f t="shared" si="7"/>
        <v>2339778.5482382062</v>
      </c>
      <c r="L74" s="164">
        <f t="shared" si="10"/>
        <v>2339778.5482382062</v>
      </c>
      <c r="M74" s="164">
        <f t="shared" si="10"/>
        <v>0</v>
      </c>
      <c r="N74" s="164">
        <f t="shared" si="8"/>
        <v>19025.714683826074</v>
      </c>
      <c r="O74" s="164">
        <f t="shared" si="0"/>
        <v>40974.285316173919</v>
      </c>
      <c r="P74" s="164">
        <f t="shared" si="1"/>
        <v>19025.714683826074</v>
      </c>
      <c r="Q74" s="164">
        <f t="shared" si="2"/>
        <v>0</v>
      </c>
      <c r="R74" s="164">
        <f t="shared" si="11"/>
        <v>0</v>
      </c>
      <c r="S74" s="164">
        <f t="shared" si="3"/>
        <v>2298804.2629220323</v>
      </c>
      <c r="T74" s="164">
        <f t="shared" si="4"/>
        <v>0</v>
      </c>
    </row>
    <row r="75" spans="2:20" x14ac:dyDescent="0.2">
      <c r="B75" s="171"/>
      <c r="D75" s="171"/>
      <c r="F75" s="158">
        <v>64</v>
      </c>
      <c r="G75" s="249">
        <f t="shared" si="5"/>
        <v>45596</v>
      </c>
      <c r="H75" s="158">
        <f t="shared" si="9"/>
        <v>31</v>
      </c>
      <c r="I75" s="254">
        <f>VLOOKUP(G75,'Прогноз переменной ставки'!$B$5:$E$304,4,1)</f>
        <v>9.9000000000000005E-2</v>
      </c>
      <c r="J75" s="164">
        <f t="shared" si="6"/>
        <v>59999.999999999993</v>
      </c>
      <c r="K75" s="164">
        <f t="shared" si="7"/>
        <v>2298804.2629220323</v>
      </c>
      <c r="L75" s="164">
        <f t="shared" si="10"/>
        <v>2298804.2629220323</v>
      </c>
      <c r="M75" s="164">
        <f t="shared" si="10"/>
        <v>0</v>
      </c>
      <c r="N75" s="164">
        <f t="shared" si="8"/>
        <v>19315.620213299706</v>
      </c>
      <c r="O75" s="164">
        <f t="shared" si="0"/>
        <v>40684.379786700287</v>
      </c>
      <c r="P75" s="164">
        <f t="shared" si="1"/>
        <v>19315.620213299706</v>
      </c>
      <c r="Q75" s="164">
        <f t="shared" si="2"/>
        <v>0</v>
      </c>
      <c r="R75" s="164">
        <f t="shared" si="11"/>
        <v>0</v>
      </c>
      <c r="S75" s="164">
        <f t="shared" si="3"/>
        <v>2258119.8831353318</v>
      </c>
      <c r="T75" s="164">
        <f t="shared" si="4"/>
        <v>0</v>
      </c>
    </row>
    <row r="76" spans="2:20" x14ac:dyDescent="0.2">
      <c r="B76" s="171"/>
      <c r="D76" s="171"/>
      <c r="F76" s="158">
        <v>65</v>
      </c>
      <c r="G76" s="249">
        <f t="shared" si="5"/>
        <v>45626</v>
      </c>
      <c r="H76" s="158">
        <f t="shared" si="9"/>
        <v>30</v>
      </c>
      <c r="I76" s="254">
        <f>VLOOKUP(G76,'Прогноз переменной ставки'!$B$5:$E$304,4,1)</f>
        <v>9.9000000000000005E-2</v>
      </c>
      <c r="J76" s="164">
        <f t="shared" si="6"/>
        <v>59999.999999999993</v>
      </c>
      <c r="K76" s="164">
        <f t="shared" si="7"/>
        <v>2258119.8831353318</v>
      </c>
      <c r="L76" s="164">
        <f t="shared" si="10"/>
        <v>2258119.8831353318</v>
      </c>
      <c r="M76" s="164">
        <f t="shared" si="10"/>
        <v>0</v>
      </c>
      <c r="N76" s="164">
        <f t="shared" si="8"/>
        <v>18361.714039457729</v>
      </c>
      <c r="O76" s="164">
        <f t="shared" ref="O76:O139" si="12">MIN(J76-Q76-P76,L76)</f>
        <v>41638.285960542264</v>
      </c>
      <c r="P76" s="164">
        <f t="shared" ref="P76:P139" si="13">MIN(J76-Q76,N76)</f>
        <v>18361.714039457729</v>
      </c>
      <c r="Q76" s="164">
        <f t="shared" ref="Q76:Q139" si="14">MIN(J76,M76)</f>
        <v>0</v>
      </c>
      <c r="R76" s="164">
        <f t="shared" si="11"/>
        <v>0</v>
      </c>
      <c r="S76" s="164">
        <f t="shared" ref="S76:S139" si="15">L76-O76</f>
        <v>2216481.5971747898</v>
      </c>
      <c r="T76" s="164">
        <f t="shared" ref="T76:T139" si="16">M76+R76-Q76</f>
        <v>0</v>
      </c>
    </row>
    <row r="77" spans="2:20" x14ac:dyDescent="0.2">
      <c r="B77" s="171"/>
      <c r="D77" s="171"/>
      <c r="F77" s="158">
        <v>66</v>
      </c>
      <c r="G77" s="249">
        <f t="shared" ref="G77:G140" si="17">EOMONTH($D$9,F77-1)</f>
        <v>45657</v>
      </c>
      <c r="H77" s="158">
        <f t="shared" si="9"/>
        <v>31</v>
      </c>
      <c r="I77" s="254">
        <f>VLOOKUP(G77,'Прогноз переменной ставки'!$B$5:$E$304,4,1)</f>
        <v>9.9000000000000005E-2</v>
      </c>
      <c r="J77" s="164">
        <f t="shared" ref="J77:J140" si="18">IF(F77=$D$4,K77+N77,MIN($D$5,K77+N77))</f>
        <v>59999.999999999993</v>
      </c>
      <c r="K77" s="164">
        <f t="shared" ref="K77:K140" si="19">L77+M77</f>
        <v>2216481.5971747898</v>
      </c>
      <c r="L77" s="164">
        <f t="shared" si="10"/>
        <v>2216481.5971747898</v>
      </c>
      <c r="M77" s="164">
        <f t="shared" si="10"/>
        <v>0</v>
      </c>
      <c r="N77" s="164">
        <f t="shared" ref="N77:N140" si="20">L77*I77/365.25*H77</f>
        <v>18623.906972565175</v>
      </c>
      <c r="O77" s="164">
        <f t="shared" si="12"/>
        <v>41376.093027434821</v>
      </c>
      <c r="P77" s="164">
        <f t="shared" si="13"/>
        <v>18623.906972565175</v>
      </c>
      <c r="Q77" s="164">
        <f t="shared" si="14"/>
        <v>0</v>
      </c>
      <c r="R77" s="164">
        <f t="shared" si="11"/>
        <v>0</v>
      </c>
      <c r="S77" s="164">
        <f t="shared" si="15"/>
        <v>2175105.504147355</v>
      </c>
      <c r="T77" s="164">
        <f t="shared" si="16"/>
        <v>0</v>
      </c>
    </row>
    <row r="78" spans="2:20" x14ac:dyDescent="0.2">
      <c r="B78" s="171"/>
      <c r="D78" s="171"/>
      <c r="F78" s="158">
        <v>67</v>
      </c>
      <c r="G78" s="249">
        <f t="shared" si="17"/>
        <v>45688</v>
      </c>
      <c r="H78" s="158">
        <f t="shared" ref="H78:H141" si="21">G78-G77</f>
        <v>31</v>
      </c>
      <c r="I78" s="254">
        <f>VLOOKUP(G78,'Прогноз переменной ставки'!$B$5:$E$304,4,1)</f>
        <v>9.9000000000000005E-2</v>
      </c>
      <c r="J78" s="164">
        <f t="shared" si="18"/>
        <v>59999.999999999993</v>
      </c>
      <c r="K78" s="164">
        <f t="shared" si="19"/>
        <v>2175105.504147355</v>
      </c>
      <c r="L78" s="164">
        <f t="shared" ref="L78:M141" si="22">S77</f>
        <v>2175105.504147355</v>
      </c>
      <c r="M78" s="164">
        <f t="shared" si="22"/>
        <v>0</v>
      </c>
      <c r="N78" s="164">
        <f t="shared" si="20"/>
        <v>18276.245837722745</v>
      </c>
      <c r="O78" s="164">
        <f t="shared" si="12"/>
        <v>41723.754162277248</v>
      </c>
      <c r="P78" s="164">
        <f t="shared" si="13"/>
        <v>18276.245837722745</v>
      </c>
      <c r="Q78" s="164">
        <f t="shared" si="14"/>
        <v>0</v>
      </c>
      <c r="R78" s="164">
        <f t="shared" ref="R78:R141" si="23">MAX(N78-P78,0)</f>
        <v>0</v>
      </c>
      <c r="S78" s="164">
        <f t="shared" si="15"/>
        <v>2133381.7499850779</v>
      </c>
      <c r="T78" s="164">
        <f t="shared" si="16"/>
        <v>0</v>
      </c>
    </row>
    <row r="79" spans="2:20" x14ac:dyDescent="0.2">
      <c r="B79" s="171"/>
      <c r="D79" s="171"/>
      <c r="F79" s="158">
        <v>68</v>
      </c>
      <c r="G79" s="249">
        <f t="shared" si="17"/>
        <v>45716</v>
      </c>
      <c r="H79" s="158">
        <f t="shared" si="21"/>
        <v>28</v>
      </c>
      <c r="I79" s="254">
        <f>VLOOKUP(G79,'Прогноз переменной ставки'!$B$5:$E$304,4,1)</f>
        <v>9.9000000000000005E-2</v>
      </c>
      <c r="J79" s="164">
        <f t="shared" si="18"/>
        <v>59999.999999999993</v>
      </c>
      <c r="K79" s="164">
        <f t="shared" si="19"/>
        <v>2133381.7499850779</v>
      </c>
      <c r="L79" s="164">
        <f t="shared" si="22"/>
        <v>2133381.7499850779</v>
      </c>
      <c r="M79" s="164">
        <f t="shared" si="22"/>
        <v>0</v>
      </c>
      <c r="N79" s="164">
        <f t="shared" si="20"/>
        <v>16190.921864363136</v>
      </c>
      <c r="O79" s="164">
        <f t="shared" si="12"/>
        <v>43809.078135636853</v>
      </c>
      <c r="P79" s="164">
        <f t="shared" si="13"/>
        <v>16190.921864363136</v>
      </c>
      <c r="Q79" s="164">
        <f t="shared" si="14"/>
        <v>0</v>
      </c>
      <c r="R79" s="164">
        <f t="shared" si="23"/>
        <v>0</v>
      </c>
      <c r="S79" s="164">
        <f t="shared" si="15"/>
        <v>2089572.671849441</v>
      </c>
      <c r="T79" s="164">
        <f t="shared" si="16"/>
        <v>0</v>
      </c>
    </row>
    <row r="80" spans="2:20" x14ac:dyDescent="0.2">
      <c r="B80" s="171"/>
      <c r="D80" s="171"/>
      <c r="F80" s="158">
        <v>69</v>
      </c>
      <c r="G80" s="249">
        <f t="shared" si="17"/>
        <v>45747</v>
      </c>
      <c r="H80" s="158">
        <f t="shared" si="21"/>
        <v>31</v>
      </c>
      <c r="I80" s="254">
        <f>VLOOKUP(G80,'Прогноз переменной ставки'!$B$5:$E$304,4,1)</f>
        <v>9.9000000000000005E-2</v>
      </c>
      <c r="J80" s="164">
        <f t="shared" si="18"/>
        <v>59999.999999999993</v>
      </c>
      <c r="K80" s="164">
        <f t="shared" si="19"/>
        <v>2089572.671849441</v>
      </c>
      <c r="L80" s="164">
        <f t="shared" si="22"/>
        <v>2089572.671849441</v>
      </c>
      <c r="M80" s="164">
        <f t="shared" si="22"/>
        <v>0</v>
      </c>
      <c r="N80" s="164">
        <f t="shared" si="20"/>
        <v>17557.559287901258</v>
      </c>
      <c r="O80" s="164">
        <f t="shared" si="12"/>
        <v>42442.440712098731</v>
      </c>
      <c r="P80" s="164">
        <f t="shared" si="13"/>
        <v>17557.559287901258</v>
      </c>
      <c r="Q80" s="164">
        <f t="shared" si="14"/>
        <v>0</v>
      </c>
      <c r="R80" s="164">
        <f t="shared" si="23"/>
        <v>0</v>
      </c>
      <c r="S80" s="164">
        <f t="shared" si="15"/>
        <v>2047130.2311373423</v>
      </c>
      <c r="T80" s="164">
        <f t="shared" si="16"/>
        <v>0</v>
      </c>
    </row>
    <row r="81" spans="2:20" x14ac:dyDescent="0.2">
      <c r="B81" s="171"/>
      <c r="D81" s="171"/>
      <c r="F81" s="158">
        <v>70</v>
      </c>
      <c r="G81" s="249">
        <f t="shared" si="17"/>
        <v>45777</v>
      </c>
      <c r="H81" s="158">
        <f t="shared" si="21"/>
        <v>30</v>
      </c>
      <c r="I81" s="254">
        <f>VLOOKUP(G81,'Прогноз переменной ставки'!$B$5:$E$304,4,1)</f>
        <v>9.9000000000000005E-2</v>
      </c>
      <c r="J81" s="164">
        <f t="shared" si="18"/>
        <v>59999.999999999993</v>
      </c>
      <c r="K81" s="164">
        <f t="shared" si="19"/>
        <v>2047130.2311373423</v>
      </c>
      <c r="L81" s="164">
        <f t="shared" si="22"/>
        <v>2047130.2311373423</v>
      </c>
      <c r="M81" s="164">
        <f t="shared" si="22"/>
        <v>0</v>
      </c>
      <c r="N81" s="164">
        <f t="shared" si="20"/>
        <v>16646.06923060344</v>
      </c>
      <c r="O81" s="164">
        <f t="shared" si="12"/>
        <v>43353.930769396553</v>
      </c>
      <c r="P81" s="164">
        <f t="shared" si="13"/>
        <v>16646.06923060344</v>
      </c>
      <c r="Q81" s="164">
        <f t="shared" si="14"/>
        <v>0</v>
      </c>
      <c r="R81" s="164">
        <f t="shared" si="23"/>
        <v>0</v>
      </c>
      <c r="S81" s="164">
        <f t="shared" si="15"/>
        <v>2003776.3003679458</v>
      </c>
      <c r="T81" s="164">
        <f t="shared" si="16"/>
        <v>0</v>
      </c>
    </row>
    <row r="82" spans="2:20" x14ac:dyDescent="0.2">
      <c r="B82" s="171"/>
      <c r="D82" s="171"/>
      <c r="F82" s="158">
        <v>71</v>
      </c>
      <c r="G82" s="249">
        <f t="shared" si="17"/>
        <v>45808</v>
      </c>
      <c r="H82" s="158">
        <f t="shared" si="21"/>
        <v>31</v>
      </c>
      <c r="I82" s="254">
        <f>VLOOKUP(G82,'Прогноз переменной ставки'!$B$5:$E$304,4,1)</f>
        <v>9.9000000000000005E-2</v>
      </c>
      <c r="J82" s="164">
        <f t="shared" si="18"/>
        <v>59999.999999999993</v>
      </c>
      <c r="K82" s="164">
        <f t="shared" si="19"/>
        <v>2003776.3003679458</v>
      </c>
      <c r="L82" s="164">
        <f t="shared" si="22"/>
        <v>2003776.3003679458</v>
      </c>
      <c r="M82" s="164">
        <f t="shared" si="22"/>
        <v>0</v>
      </c>
      <c r="N82" s="164">
        <f t="shared" si="20"/>
        <v>16836.658359559824</v>
      </c>
      <c r="O82" s="164">
        <f t="shared" si="12"/>
        <v>43163.341640440165</v>
      </c>
      <c r="P82" s="164">
        <f t="shared" si="13"/>
        <v>16836.658359559824</v>
      </c>
      <c r="Q82" s="164">
        <f t="shared" si="14"/>
        <v>0</v>
      </c>
      <c r="R82" s="164">
        <f t="shared" si="23"/>
        <v>0</v>
      </c>
      <c r="S82" s="164">
        <f t="shared" si="15"/>
        <v>1960612.9587275055</v>
      </c>
      <c r="T82" s="164">
        <f t="shared" si="16"/>
        <v>0</v>
      </c>
    </row>
    <row r="83" spans="2:20" x14ac:dyDescent="0.2">
      <c r="B83" s="171"/>
      <c r="D83" s="171"/>
      <c r="F83" s="158">
        <v>72</v>
      </c>
      <c r="G83" s="249">
        <f t="shared" si="17"/>
        <v>45838</v>
      </c>
      <c r="H83" s="158">
        <f t="shared" si="21"/>
        <v>30</v>
      </c>
      <c r="I83" s="254">
        <f>VLOOKUP(G83,'Прогноз переменной ставки'!$B$5:$E$304,4,1)</f>
        <v>9.9000000000000005E-2</v>
      </c>
      <c r="J83" s="164">
        <f t="shared" si="18"/>
        <v>59999.999999999993</v>
      </c>
      <c r="K83" s="164">
        <f t="shared" si="19"/>
        <v>1960612.9587275055</v>
      </c>
      <c r="L83" s="164">
        <f t="shared" si="22"/>
        <v>1960612.9587275055</v>
      </c>
      <c r="M83" s="164">
        <f t="shared" si="22"/>
        <v>0</v>
      </c>
      <c r="N83" s="164">
        <f t="shared" si="20"/>
        <v>15942.56122497109</v>
      </c>
      <c r="O83" s="164">
        <f t="shared" si="12"/>
        <v>44057.438775028902</v>
      </c>
      <c r="P83" s="164">
        <f t="shared" si="13"/>
        <v>15942.56122497109</v>
      </c>
      <c r="Q83" s="164">
        <f t="shared" si="14"/>
        <v>0</v>
      </c>
      <c r="R83" s="164">
        <f t="shared" si="23"/>
        <v>0</v>
      </c>
      <c r="S83" s="164">
        <f t="shared" si="15"/>
        <v>1916555.5199524767</v>
      </c>
      <c r="T83" s="164">
        <f t="shared" si="16"/>
        <v>0</v>
      </c>
    </row>
    <row r="84" spans="2:20" x14ac:dyDescent="0.2">
      <c r="B84" s="171"/>
      <c r="D84" s="171"/>
      <c r="F84" s="158">
        <v>73</v>
      </c>
      <c r="G84" s="249">
        <f t="shared" si="17"/>
        <v>45869</v>
      </c>
      <c r="H84" s="158">
        <f t="shared" si="21"/>
        <v>31</v>
      </c>
      <c r="I84" s="254">
        <f>VLOOKUP(G84,'Прогноз переменной ставки'!$B$5:$E$304,4,1)</f>
        <v>9.9000000000000005E-2</v>
      </c>
      <c r="J84" s="164">
        <f t="shared" si="18"/>
        <v>59999.999999999993</v>
      </c>
      <c r="K84" s="164">
        <f t="shared" si="19"/>
        <v>1916555.5199524767</v>
      </c>
      <c r="L84" s="164">
        <f t="shared" si="22"/>
        <v>1916555.5199524767</v>
      </c>
      <c r="M84" s="164">
        <f t="shared" si="22"/>
        <v>0</v>
      </c>
      <c r="N84" s="164">
        <f t="shared" si="20"/>
        <v>16103.788886335798</v>
      </c>
      <c r="O84" s="164">
        <f t="shared" si="12"/>
        <v>43896.211113664191</v>
      </c>
      <c r="P84" s="164">
        <f t="shared" si="13"/>
        <v>16103.788886335798</v>
      </c>
      <c r="Q84" s="164">
        <f t="shared" si="14"/>
        <v>0</v>
      </c>
      <c r="R84" s="164">
        <f t="shared" si="23"/>
        <v>0</v>
      </c>
      <c r="S84" s="164">
        <f t="shared" si="15"/>
        <v>1872659.3088388126</v>
      </c>
      <c r="T84" s="164">
        <f t="shared" si="16"/>
        <v>0</v>
      </c>
    </row>
    <row r="85" spans="2:20" x14ac:dyDescent="0.2">
      <c r="B85" s="171"/>
      <c r="D85" s="171"/>
      <c r="F85" s="158">
        <v>74</v>
      </c>
      <c r="G85" s="249">
        <f t="shared" si="17"/>
        <v>45900</v>
      </c>
      <c r="H85" s="158">
        <f t="shared" si="21"/>
        <v>31</v>
      </c>
      <c r="I85" s="254">
        <f>VLOOKUP(G85,'Прогноз переменной ставки'!$B$5:$E$304,4,1)</f>
        <v>9.9000000000000005E-2</v>
      </c>
      <c r="J85" s="164">
        <f t="shared" si="18"/>
        <v>59999.999999999993</v>
      </c>
      <c r="K85" s="164">
        <f t="shared" si="19"/>
        <v>1872659.3088388126</v>
      </c>
      <c r="L85" s="164">
        <f t="shared" si="22"/>
        <v>1872659.3088388126</v>
      </c>
      <c r="M85" s="164">
        <f t="shared" si="22"/>
        <v>0</v>
      </c>
      <c r="N85" s="164">
        <f t="shared" si="20"/>
        <v>15734.952549832487</v>
      </c>
      <c r="O85" s="164">
        <f t="shared" si="12"/>
        <v>44265.047450167505</v>
      </c>
      <c r="P85" s="164">
        <f t="shared" si="13"/>
        <v>15734.952549832487</v>
      </c>
      <c r="Q85" s="164">
        <f t="shared" si="14"/>
        <v>0</v>
      </c>
      <c r="R85" s="164">
        <f t="shared" si="23"/>
        <v>0</v>
      </c>
      <c r="S85" s="164">
        <f t="shared" si="15"/>
        <v>1828394.261388645</v>
      </c>
      <c r="T85" s="164">
        <f t="shared" si="16"/>
        <v>0</v>
      </c>
    </row>
    <row r="86" spans="2:20" x14ac:dyDescent="0.2">
      <c r="B86" s="171"/>
      <c r="D86" s="171"/>
      <c r="F86" s="158">
        <v>75</v>
      </c>
      <c r="G86" s="249">
        <f t="shared" si="17"/>
        <v>45930</v>
      </c>
      <c r="H86" s="158">
        <f t="shared" si="21"/>
        <v>30</v>
      </c>
      <c r="I86" s="254">
        <f>VLOOKUP(G86,'Прогноз переменной ставки'!$B$5:$E$304,4,1)</f>
        <v>9.9000000000000005E-2</v>
      </c>
      <c r="J86" s="164">
        <f t="shared" si="18"/>
        <v>59999.999999999993</v>
      </c>
      <c r="K86" s="164">
        <f t="shared" si="19"/>
        <v>1828394.261388645</v>
      </c>
      <c r="L86" s="164">
        <f t="shared" si="22"/>
        <v>1828394.261388645</v>
      </c>
      <c r="M86" s="164">
        <f t="shared" si="22"/>
        <v>0</v>
      </c>
      <c r="N86" s="164">
        <f t="shared" si="20"/>
        <v>14867.435883160237</v>
      </c>
      <c r="O86" s="164">
        <f t="shared" si="12"/>
        <v>45132.564116839756</v>
      </c>
      <c r="P86" s="164">
        <f t="shared" si="13"/>
        <v>14867.435883160237</v>
      </c>
      <c r="Q86" s="164">
        <f t="shared" si="14"/>
        <v>0</v>
      </c>
      <c r="R86" s="164">
        <f t="shared" si="23"/>
        <v>0</v>
      </c>
      <c r="S86" s="164">
        <f t="shared" si="15"/>
        <v>1783261.6972718053</v>
      </c>
      <c r="T86" s="164">
        <f t="shared" si="16"/>
        <v>0</v>
      </c>
    </row>
    <row r="87" spans="2:20" x14ac:dyDescent="0.2">
      <c r="B87" s="171"/>
      <c r="D87" s="171"/>
      <c r="F87" s="158">
        <v>76</v>
      </c>
      <c r="G87" s="249">
        <f t="shared" si="17"/>
        <v>45961</v>
      </c>
      <c r="H87" s="158">
        <f t="shared" si="21"/>
        <v>31</v>
      </c>
      <c r="I87" s="254">
        <f>VLOOKUP(G87,'Прогноз переменной ставки'!$B$5:$E$304,4,1)</f>
        <v>9.9000000000000005E-2</v>
      </c>
      <c r="J87" s="164">
        <f t="shared" si="18"/>
        <v>59999.999999999993</v>
      </c>
      <c r="K87" s="164">
        <f t="shared" si="19"/>
        <v>1783261.6972718053</v>
      </c>
      <c r="L87" s="164">
        <f t="shared" si="22"/>
        <v>1783261.6972718053</v>
      </c>
      <c r="M87" s="164">
        <f t="shared" si="22"/>
        <v>0</v>
      </c>
      <c r="N87" s="164">
        <f t="shared" si="20"/>
        <v>14983.792331080549</v>
      </c>
      <c r="O87" s="164">
        <f t="shared" si="12"/>
        <v>45016.207668919444</v>
      </c>
      <c r="P87" s="164">
        <f t="shared" si="13"/>
        <v>14983.792331080549</v>
      </c>
      <c r="Q87" s="164">
        <f t="shared" si="14"/>
        <v>0</v>
      </c>
      <c r="R87" s="164">
        <f t="shared" si="23"/>
        <v>0</v>
      </c>
      <c r="S87" s="164">
        <f t="shared" si="15"/>
        <v>1738245.4896028859</v>
      </c>
      <c r="T87" s="164">
        <f t="shared" si="16"/>
        <v>0</v>
      </c>
    </row>
    <row r="88" spans="2:20" x14ac:dyDescent="0.2">
      <c r="B88" s="171"/>
      <c r="D88" s="171"/>
      <c r="F88" s="158">
        <v>77</v>
      </c>
      <c r="G88" s="249">
        <f t="shared" si="17"/>
        <v>45991</v>
      </c>
      <c r="H88" s="158">
        <f t="shared" si="21"/>
        <v>30</v>
      </c>
      <c r="I88" s="254">
        <f>VLOOKUP(G88,'Прогноз переменной ставки'!$B$5:$E$304,4,1)</f>
        <v>9.9000000000000005E-2</v>
      </c>
      <c r="J88" s="164">
        <f t="shared" si="18"/>
        <v>59999.999999999993</v>
      </c>
      <c r="K88" s="164">
        <f t="shared" si="19"/>
        <v>1738245.4896028859</v>
      </c>
      <c r="L88" s="164">
        <f t="shared" si="22"/>
        <v>1738245.4896028859</v>
      </c>
      <c r="M88" s="164">
        <f t="shared" si="22"/>
        <v>0</v>
      </c>
      <c r="N88" s="164">
        <f t="shared" si="20"/>
        <v>14134.398642356115</v>
      </c>
      <c r="O88" s="164">
        <f t="shared" si="12"/>
        <v>45865.601357643878</v>
      </c>
      <c r="P88" s="164">
        <f t="shared" si="13"/>
        <v>14134.398642356115</v>
      </c>
      <c r="Q88" s="164">
        <f t="shared" si="14"/>
        <v>0</v>
      </c>
      <c r="R88" s="164">
        <f t="shared" si="23"/>
        <v>0</v>
      </c>
      <c r="S88" s="164">
        <f t="shared" si="15"/>
        <v>1692379.8882452419</v>
      </c>
      <c r="T88" s="164">
        <f t="shared" si="16"/>
        <v>0</v>
      </c>
    </row>
    <row r="89" spans="2:20" x14ac:dyDescent="0.2">
      <c r="B89" s="171"/>
      <c r="D89" s="171"/>
      <c r="F89" s="158">
        <v>78</v>
      </c>
      <c r="G89" s="249">
        <f t="shared" si="17"/>
        <v>46022</v>
      </c>
      <c r="H89" s="158">
        <f t="shared" si="21"/>
        <v>31</v>
      </c>
      <c r="I89" s="254">
        <f>VLOOKUP(G89,'Прогноз переменной ставки'!$B$5:$E$304,4,1)</f>
        <v>9.9000000000000005E-2</v>
      </c>
      <c r="J89" s="164">
        <f t="shared" si="18"/>
        <v>59999.999999999993</v>
      </c>
      <c r="K89" s="164">
        <f t="shared" si="19"/>
        <v>1692379.8882452419</v>
      </c>
      <c r="L89" s="164">
        <f t="shared" si="22"/>
        <v>1692379.8882452419</v>
      </c>
      <c r="M89" s="164">
        <f t="shared" si="22"/>
        <v>0</v>
      </c>
      <c r="N89" s="164">
        <f t="shared" si="20"/>
        <v>14220.161196508276</v>
      </c>
      <c r="O89" s="164">
        <f t="shared" si="12"/>
        <v>45779.838803491715</v>
      </c>
      <c r="P89" s="164">
        <f t="shared" si="13"/>
        <v>14220.161196508276</v>
      </c>
      <c r="Q89" s="164">
        <f t="shared" si="14"/>
        <v>0</v>
      </c>
      <c r="R89" s="164">
        <f t="shared" si="23"/>
        <v>0</v>
      </c>
      <c r="S89" s="164">
        <f t="shared" si="15"/>
        <v>1646600.0494417502</v>
      </c>
      <c r="T89" s="164">
        <f t="shared" si="16"/>
        <v>0</v>
      </c>
    </row>
    <row r="90" spans="2:20" x14ac:dyDescent="0.2">
      <c r="B90" s="171"/>
      <c r="D90" s="171"/>
      <c r="F90" s="158">
        <v>79</v>
      </c>
      <c r="G90" s="249">
        <f t="shared" si="17"/>
        <v>46053</v>
      </c>
      <c r="H90" s="158">
        <f t="shared" si="21"/>
        <v>31</v>
      </c>
      <c r="I90" s="254">
        <f>VLOOKUP(G90,'Прогноз переменной ставки'!$B$5:$E$304,4,1)</f>
        <v>9.9000000000000005E-2</v>
      </c>
      <c r="J90" s="164">
        <f t="shared" si="18"/>
        <v>59999.999999999993</v>
      </c>
      <c r="K90" s="164">
        <f t="shared" si="19"/>
        <v>1646600.0494417502</v>
      </c>
      <c r="L90" s="164">
        <f t="shared" si="22"/>
        <v>1646600.0494417502</v>
      </c>
      <c r="M90" s="164">
        <f t="shared" si="22"/>
        <v>0</v>
      </c>
      <c r="N90" s="164">
        <f t="shared" si="20"/>
        <v>13835.497746028012</v>
      </c>
      <c r="O90" s="164">
        <f t="shared" si="12"/>
        <v>46164.502253971979</v>
      </c>
      <c r="P90" s="164">
        <f t="shared" si="13"/>
        <v>13835.497746028012</v>
      </c>
      <c r="Q90" s="164">
        <f t="shared" si="14"/>
        <v>0</v>
      </c>
      <c r="R90" s="164">
        <f t="shared" si="23"/>
        <v>0</v>
      </c>
      <c r="S90" s="164">
        <f t="shared" si="15"/>
        <v>1600435.5471877782</v>
      </c>
      <c r="T90" s="164">
        <f t="shared" si="16"/>
        <v>0</v>
      </c>
    </row>
    <row r="91" spans="2:20" x14ac:dyDescent="0.2">
      <c r="B91" s="171"/>
      <c r="D91" s="171"/>
      <c r="F91" s="158">
        <v>80</v>
      </c>
      <c r="G91" s="249">
        <f t="shared" si="17"/>
        <v>46081</v>
      </c>
      <c r="H91" s="158">
        <f t="shared" si="21"/>
        <v>28</v>
      </c>
      <c r="I91" s="254">
        <f>VLOOKUP(G91,'Прогноз переменной ставки'!$B$5:$E$304,4,1)</f>
        <v>9.9000000000000005E-2</v>
      </c>
      <c r="J91" s="164">
        <f t="shared" si="18"/>
        <v>59999.999999999993</v>
      </c>
      <c r="K91" s="164">
        <f t="shared" si="19"/>
        <v>1600435.5471877782</v>
      </c>
      <c r="L91" s="164">
        <f t="shared" si="22"/>
        <v>1600435.5471877782</v>
      </c>
      <c r="M91" s="164">
        <f t="shared" si="22"/>
        <v>0</v>
      </c>
      <c r="N91" s="164">
        <f t="shared" si="20"/>
        <v>12146.221319108889</v>
      </c>
      <c r="O91" s="164">
        <f t="shared" si="12"/>
        <v>47853.778680891104</v>
      </c>
      <c r="P91" s="164">
        <f t="shared" si="13"/>
        <v>12146.221319108889</v>
      </c>
      <c r="Q91" s="164">
        <f t="shared" si="14"/>
        <v>0</v>
      </c>
      <c r="R91" s="164">
        <f t="shared" si="23"/>
        <v>0</v>
      </c>
      <c r="S91" s="164">
        <f t="shared" si="15"/>
        <v>1552581.7685068871</v>
      </c>
      <c r="T91" s="164">
        <f t="shared" si="16"/>
        <v>0</v>
      </c>
    </row>
    <row r="92" spans="2:20" x14ac:dyDescent="0.2">
      <c r="B92" s="171"/>
      <c r="D92" s="171"/>
      <c r="F92" s="158">
        <v>81</v>
      </c>
      <c r="G92" s="249">
        <f t="shared" si="17"/>
        <v>46112</v>
      </c>
      <c r="H92" s="158">
        <f t="shared" si="21"/>
        <v>31</v>
      </c>
      <c r="I92" s="254">
        <f>VLOOKUP(G92,'Прогноз переменной ставки'!$B$5:$E$304,4,1)</f>
        <v>9.9000000000000005E-2</v>
      </c>
      <c r="J92" s="164">
        <f t="shared" si="18"/>
        <v>59999.999999999993</v>
      </c>
      <c r="K92" s="164">
        <f t="shared" si="19"/>
        <v>1552581.7685068871</v>
      </c>
      <c r="L92" s="164">
        <f t="shared" si="22"/>
        <v>1552581.7685068871</v>
      </c>
      <c r="M92" s="164">
        <f t="shared" si="22"/>
        <v>0</v>
      </c>
      <c r="N92" s="164">
        <f t="shared" si="20"/>
        <v>13045.512518953146</v>
      </c>
      <c r="O92" s="164">
        <f t="shared" si="12"/>
        <v>46954.487481046846</v>
      </c>
      <c r="P92" s="164">
        <f t="shared" si="13"/>
        <v>13045.512518953146</v>
      </c>
      <c r="Q92" s="164">
        <f t="shared" si="14"/>
        <v>0</v>
      </c>
      <c r="R92" s="164">
        <f t="shared" si="23"/>
        <v>0</v>
      </c>
      <c r="S92" s="164">
        <f t="shared" si="15"/>
        <v>1505627.2810258402</v>
      </c>
      <c r="T92" s="164">
        <f t="shared" si="16"/>
        <v>0</v>
      </c>
    </row>
    <row r="93" spans="2:20" x14ac:dyDescent="0.2">
      <c r="B93" s="171"/>
      <c r="D93" s="171"/>
      <c r="F93" s="158">
        <v>82</v>
      </c>
      <c r="G93" s="249">
        <f t="shared" si="17"/>
        <v>46142</v>
      </c>
      <c r="H93" s="158">
        <f t="shared" si="21"/>
        <v>30</v>
      </c>
      <c r="I93" s="254">
        <f>VLOOKUP(G93,'Прогноз переменной ставки'!$B$5:$E$304,4,1)</f>
        <v>9.9000000000000005E-2</v>
      </c>
      <c r="J93" s="164">
        <f t="shared" si="18"/>
        <v>59999.999999999993</v>
      </c>
      <c r="K93" s="164">
        <f t="shared" si="19"/>
        <v>1505627.2810258402</v>
      </c>
      <c r="L93" s="164">
        <f t="shared" si="22"/>
        <v>1505627.2810258402</v>
      </c>
      <c r="M93" s="164">
        <f t="shared" si="22"/>
        <v>0</v>
      </c>
      <c r="N93" s="164">
        <f t="shared" si="20"/>
        <v>12242.883024357961</v>
      </c>
      <c r="O93" s="164">
        <f t="shared" si="12"/>
        <v>47757.116975642028</v>
      </c>
      <c r="P93" s="164">
        <f t="shared" si="13"/>
        <v>12242.883024357961</v>
      </c>
      <c r="Q93" s="164">
        <f t="shared" si="14"/>
        <v>0</v>
      </c>
      <c r="R93" s="164">
        <f t="shared" si="23"/>
        <v>0</v>
      </c>
      <c r="S93" s="164">
        <f t="shared" si="15"/>
        <v>1457870.1640501982</v>
      </c>
      <c r="T93" s="164">
        <f t="shared" si="16"/>
        <v>0</v>
      </c>
    </row>
    <row r="94" spans="2:20" x14ac:dyDescent="0.2">
      <c r="B94" s="171"/>
      <c r="D94" s="171"/>
      <c r="F94" s="158">
        <v>83</v>
      </c>
      <c r="G94" s="249">
        <f t="shared" si="17"/>
        <v>46173</v>
      </c>
      <c r="H94" s="158">
        <f t="shared" si="21"/>
        <v>31</v>
      </c>
      <c r="I94" s="254">
        <f>VLOOKUP(G94,'Прогноз переменной ставки'!$B$5:$E$304,4,1)</f>
        <v>9.9000000000000005E-2</v>
      </c>
      <c r="J94" s="164">
        <f t="shared" si="18"/>
        <v>59999.999999999993</v>
      </c>
      <c r="K94" s="164">
        <f t="shared" si="19"/>
        <v>1457870.1640501982</v>
      </c>
      <c r="L94" s="164">
        <f t="shared" si="22"/>
        <v>1457870.1640501982</v>
      </c>
      <c r="M94" s="164">
        <f t="shared" si="22"/>
        <v>0</v>
      </c>
      <c r="N94" s="164">
        <f t="shared" si="20"/>
        <v>12249.701665900227</v>
      </c>
      <c r="O94" s="164">
        <f t="shared" si="12"/>
        <v>47750.298334099767</v>
      </c>
      <c r="P94" s="164">
        <f t="shared" si="13"/>
        <v>12249.701665900227</v>
      </c>
      <c r="Q94" s="164">
        <f t="shared" si="14"/>
        <v>0</v>
      </c>
      <c r="R94" s="164">
        <f t="shared" si="23"/>
        <v>0</v>
      </c>
      <c r="S94" s="164">
        <f t="shared" si="15"/>
        <v>1410119.8657160983</v>
      </c>
      <c r="T94" s="164">
        <f t="shared" si="16"/>
        <v>0</v>
      </c>
    </row>
    <row r="95" spans="2:20" x14ac:dyDescent="0.2">
      <c r="B95" s="171"/>
      <c r="D95" s="171"/>
      <c r="F95" s="158">
        <v>84</v>
      </c>
      <c r="G95" s="249">
        <f t="shared" si="17"/>
        <v>46203</v>
      </c>
      <c r="H95" s="158">
        <f t="shared" si="21"/>
        <v>30</v>
      </c>
      <c r="I95" s="254">
        <f>VLOOKUP(G95,'Прогноз переменной ставки'!$B$5:$E$304,4,1)</f>
        <v>9.9000000000000005E-2</v>
      </c>
      <c r="J95" s="164">
        <f t="shared" si="18"/>
        <v>59999.999999999993</v>
      </c>
      <c r="K95" s="164">
        <f t="shared" si="19"/>
        <v>1410119.8657160983</v>
      </c>
      <c r="L95" s="164">
        <f t="shared" si="22"/>
        <v>1410119.8657160983</v>
      </c>
      <c r="M95" s="164">
        <f t="shared" si="22"/>
        <v>0</v>
      </c>
      <c r="N95" s="164">
        <f t="shared" si="20"/>
        <v>11466.272419375257</v>
      </c>
      <c r="O95" s="164">
        <f t="shared" si="12"/>
        <v>48533.727580624734</v>
      </c>
      <c r="P95" s="164">
        <f t="shared" si="13"/>
        <v>11466.272419375257</v>
      </c>
      <c r="Q95" s="164">
        <f t="shared" si="14"/>
        <v>0</v>
      </c>
      <c r="R95" s="164">
        <f t="shared" si="23"/>
        <v>0</v>
      </c>
      <c r="S95" s="164">
        <f t="shared" si="15"/>
        <v>1361586.1381354737</v>
      </c>
      <c r="T95" s="164">
        <f t="shared" si="16"/>
        <v>0</v>
      </c>
    </row>
    <row r="96" spans="2:20" x14ac:dyDescent="0.2">
      <c r="B96" s="171"/>
      <c r="D96" s="171"/>
      <c r="F96" s="158">
        <v>85</v>
      </c>
      <c r="G96" s="249">
        <f t="shared" si="17"/>
        <v>46234</v>
      </c>
      <c r="H96" s="158">
        <f t="shared" si="21"/>
        <v>31</v>
      </c>
      <c r="I96" s="254">
        <f>VLOOKUP(G96,'Прогноз переменной ставки'!$B$5:$E$304,4,1)</f>
        <v>9.9000000000000005E-2</v>
      </c>
      <c r="J96" s="164">
        <f t="shared" si="18"/>
        <v>59999.999999999993</v>
      </c>
      <c r="K96" s="164">
        <f t="shared" si="19"/>
        <v>1361586.1381354737</v>
      </c>
      <c r="L96" s="164">
        <f t="shared" si="22"/>
        <v>1361586.1381354737</v>
      </c>
      <c r="M96" s="164">
        <f t="shared" si="22"/>
        <v>0</v>
      </c>
      <c r="N96" s="164">
        <f t="shared" si="20"/>
        <v>11440.678598050017</v>
      </c>
      <c r="O96" s="164">
        <f t="shared" si="12"/>
        <v>48559.321401949972</v>
      </c>
      <c r="P96" s="164">
        <f t="shared" si="13"/>
        <v>11440.678598050017</v>
      </c>
      <c r="Q96" s="164">
        <f t="shared" si="14"/>
        <v>0</v>
      </c>
      <c r="R96" s="164">
        <f t="shared" si="23"/>
        <v>0</v>
      </c>
      <c r="S96" s="164">
        <f t="shared" si="15"/>
        <v>1313026.8167335237</v>
      </c>
      <c r="T96" s="164">
        <f t="shared" si="16"/>
        <v>0</v>
      </c>
    </row>
    <row r="97" spans="2:20" x14ac:dyDescent="0.2">
      <c r="B97" s="171"/>
      <c r="D97" s="171"/>
      <c r="F97" s="158">
        <v>86</v>
      </c>
      <c r="G97" s="249">
        <f t="shared" si="17"/>
        <v>46265</v>
      </c>
      <c r="H97" s="158">
        <f t="shared" si="21"/>
        <v>31</v>
      </c>
      <c r="I97" s="254">
        <f>VLOOKUP(G97,'Прогноз переменной ставки'!$B$5:$E$304,4,1)</f>
        <v>9.9000000000000005E-2</v>
      </c>
      <c r="J97" s="164">
        <f t="shared" si="18"/>
        <v>59999.999999999993</v>
      </c>
      <c r="K97" s="164">
        <f t="shared" si="19"/>
        <v>1313026.8167335237</v>
      </c>
      <c r="L97" s="164">
        <f t="shared" si="22"/>
        <v>1313026.8167335237</v>
      </c>
      <c r="M97" s="164">
        <f t="shared" si="22"/>
        <v>0</v>
      </c>
      <c r="N97" s="164">
        <f t="shared" si="20"/>
        <v>11032.660644914948</v>
      </c>
      <c r="O97" s="164">
        <f t="shared" si="12"/>
        <v>48967.339355085045</v>
      </c>
      <c r="P97" s="164">
        <f t="shared" si="13"/>
        <v>11032.660644914948</v>
      </c>
      <c r="Q97" s="164">
        <f t="shared" si="14"/>
        <v>0</v>
      </c>
      <c r="R97" s="164">
        <f t="shared" si="23"/>
        <v>0</v>
      </c>
      <c r="S97" s="164">
        <f t="shared" si="15"/>
        <v>1264059.4773784387</v>
      </c>
      <c r="T97" s="164">
        <f t="shared" si="16"/>
        <v>0</v>
      </c>
    </row>
    <row r="98" spans="2:20" x14ac:dyDescent="0.2">
      <c r="B98" s="171"/>
      <c r="D98" s="171"/>
      <c r="F98" s="158">
        <v>87</v>
      </c>
      <c r="G98" s="249">
        <f t="shared" si="17"/>
        <v>46295</v>
      </c>
      <c r="H98" s="158">
        <f t="shared" si="21"/>
        <v>30</v>
      </c>
      <c r="I98" s="254">
        <f>VLOOKUP(G98,'Прогноз переменной ставки'!$B$5:$E$304,4,1)</f>
        <v>9.9000000000000005E-2</v>
      </c>
      <c r="J98" s="164">
        <f t="shared" si="18"/>
        <v>59999.999999999993</v>
      </c>
      <c r="K98" s="164">
        <f t="shared" si="19"/>
        <v>1264059.4773784387</v>
      </c>
      <c r="L98" s="164">
        <f t="shared" si="22"/>
        <v>1264059.4773784387</v>
      </c>
      <c r="M98" s="164">
        <f t="shared" si="22"/>
        <v>0</v>
      </c>
      <c r="N98" s="164">
        <f t="shared" si="20"/>
        <v>10278.594518313383</v>
      </c>
      <c r="O98" s="164">
        <f t="shared" si="12"/>
        <v>49721.405481686612</v>
      </c>
      <c r="P98" s="164">
        <f t="shared" si="13"/>
        <v>10278.594518313383</v>
      </c>
      <c r="Q98" s="164">
        <f t="shared" si="14"/>
        <v>0</v>
      </c>
      <c r="R98" s="164">
        <f t="shared" si="23"/>
        <v>0</v>
      </c>
      <c r="S98" s="164">
        <f t="shared" si="15"/>
        <v>1214338.0718967521</v>
      </c>
      <c r="T98" s="164">
        <f t="shared" si="16"/>
        <v>0</v>
      </c>
    </row>
    <row r="99" spans="2:20" x14ac:dyDescent="0.2">
      <c r="B99" s="171"/>
      <c r="D99" s="171"/>
      <c r="F99" s="158">
        <v>88</v>
      </c>
      <c r="G99" s="249">
        <f t="shared" si="17"/>
        <v>46326</v>
      </c>
      <c r="H99" s="158">
        <f t="shared" si="21"/>
        <v>31</v>
      </c>
      <c r="I99" s="254">
        <f>VLOOKUP(G99,'Прогноз переменной ставки'!$B$5:$E$304,4,1)</f>
        <v>9.9000000000000005E-2</v>
      </c>
      <c r="J99" s="164">
        <f t="shared" si="18"/>
        <v>59999.999999999993</v>
      </c>
      <c r="K99" s="164">
        <f t="shared" si="19"/>
        <v>1214338.0718967521</v>
      </c>
      <c r="L99" s="164">
        <f t="shared" si="22"/>
        <v>1214338.0718967521</v>
      </c>
      <c r="M99" s="164">
        <f t="shared" si="22"/>
        <v>0</v>
      </c>
      <c r="N99" s="164">
        <f t="shared" si="20"/>
        <v>10203.432012734107</v>
      </c>
      <c r="O99" s="164">
        <f t="shared" si="12"/>
        <v>49796.567987265887</v>
      </c>
      <c r="P99" s="164">
        <f t="shared" si="13"/>
        <v>10203.432012734107</v>
      </c>
      <c r="Q99" s="164">
        <f t="shared" si="14"/>
        <v>0</v>
      </c>
      <c r="R99" s="164">
        <f t="shared" si="23"/>
        <v>0</v>
      </c>
      <c r="S99" s="164">
        <f t="shared" si="15"/>
        <v>1164541.5039094861</v>
      </c>
      <c r="T99" s="164">
        <f t="shared" si="16"/>
        <v>0</v>
      </c>
    </row>
    <row r="100" spans="2:20" x14ac:dyDescent="0.2">
      <c r="B100" s="171"/>
      <c r="D100" s="171"/>
      <c r="F100" s="158">
        <v>89</v>
      </c>
      <c r="G100" s="249">
        <f t="shared" si="17"/>
        <v>46356</v>
      </c>
      <c r="H100" s="158">
        <f t="shared" si="21"/>
        <v>30</v>
      </c>
      <c r="I100" s="254">
        <f>VLOOKUP(G100,'Прогноз переменной ставки'!$B$5:$E$304,4,1)</f>
        <v>9.9000000000000005E-2</v>
      </c>
      <c r="J100" s="164">
        <f t="shared" si="18"/>
        <v>59999.999999999993</v>
      </c>
      <c r="K100" s="164">
        <f t="shared" si="19"/>
        <v>1164541.5039094861</v>
      </c>
      <c r="L100" s="164">
        <f t="shared" si="22"/>
        <v>1164541.5039094861</v>
      </c>
      <c r="M100" s="164">
        <f t="shared" si="22"/>
        <v>0</v>
      </c>
      <c r="N100" s="164">
        <f t="shared" si="20"/>
        <v>9469.372393185964</v>
      </c>
      <c r="O100" s="164">
        <f t="shared" si="12"/>
        <v>50530.627606814029</v>
      </c>
      <c r="P100" s="164">
        <f t="shared" si="13"/>
        <v>9469.372393185964</v>
      </c>
      <c r="Q100" s="164">
        <f t="shared" si="14"/>
        <v>0</v>
      </c>
      <c r="R100" s="164">
        <f t="shared" si="23"/>
        <v>0</v>
      </c>
      <c r="S100" s="164">
        <f t="shared" si="15"/>
        <v>1114010.8763026721</v>
      </c>
      <c r="T100" s="164">
        <f t="shared" si="16"/>
        <v>0</v>
      </c>
    </row>
    <row r="101" spans="2:20" x14ac:dyDescent="0.2">
      <c r="B101" s="171"/>
      <c r="D101" s="171"/>
      <c r="F101" s="158">
        <v>90</v>
      </c>
      <c r="G101" s="249">
        <f t="shared" si="17"/>
        <v>46387</v>
      </c>
      <c r="H101" s="158">
        <f t="shared" si="21"/>
        <v>31</v>
      </c>
      <c r="I101" s="254">
        <f>VLOOKUP(G101,'Прогноз переменной ставки'!$B$5:$E$304,4,1)</f>
        <v>9.9000000000000005E-2</v>
      </c>
      <c r="J101" s="164">
        <f t="shared" si="18"/>
        <v>59999.999999999993</v>
      </c>
      <c r="K101" s="164">
        <f t="shared" si="19"/>
        <v>1114010.8763026721</v>
      </c>
      <c r="L101" s="164">
        <f t="shared" si="22"/>
        <v>1114010.8763026721</v>
      </c>
      <c r="M101" s="164">
        <f t="shared" si="22"/>
        <v>0</v>
      </c>
      <c r="N101" s="164">
        <f t="shared" si="20"/>
        <v>9360.4363569415491</v>
      </c>
      <c r="O101" s="164">
        <f t="shared" si="12"/>
        <v>50639.563643058442</v>
      </c>
      <c r="P101" s="164">
        <f t="shared" si="13"/>
        <v>9360.4363569415491</v>
      </c>
      <c r="Q101" s="164">
        <f t="shared" si="14"/>
        <v>0</v>
      </c>
      <c r="R101" s="164">
        <f t="shared" si="23"/>
        <v>0</v>
      </c>
      <c r="S101" s="164">
        <f t="shared" si="15"/>
        <v>1063371.3126596136</v>
      </c>
      <c r="T101" s="164">
        <f t="shared" si="16"/>
        <v>0</v>
      </c>
    </row>
    <row r="102" spans="2:20" x14ac:dyDescent="0.2">
      <c r="B102" s="171"/>
      <c r="D102" s="171"/>
      <c r="F102" s="158">
        <v>91</v>
      </c>
      <c r="G102" s="249">
        <f t="shared" si="17"/>
        <v>46418</v>
      </c>
      <c r="H102" s="158">
        <f t="shared" si="21"/>
        <v>31</v>
      </c>
      <c r="I102" s="254">
        <f>VLOOKUP(G102,'Прогноз переменной ставки'!$B$5:$E$304,4,1)</f>
        <v>9.9000000000000005E-2</v>
      </c>
      <c r="J102" s="164">
        <f t="shared" si="18"/>
        <v>59999.999999999993</v>
      </c>
      <c r="K102" s="164">
        <f t="shared" si="19"/>
        <v>1063371.3126596136</v>
      </c>
      <c r="L102" s="164">
        <f t="shared" si="22"/>
        <v>1063371.3126596136</v>
      </c>
      <c r="M102" s="164">
        <f t="shared" si="22"/>
        <v>0</v>
      </c>
      <c r="N102" s="164">
        <f t="shared" si="20"/>
        <v>8934.9392431275955</v>
      </c>
      <c r="O102" s="164">
        <f t="shared" si="12"/>
        <v>51065.060756872394</v>
      </c>
      <c r="P102" s="164">
        <f t="shared" si="13"/>
        <v>8934.9392431275955</v>
      </c>
      <c r="Q102" s="164">
        <f t="shared" si="14"/>
        <v>0</v>
      </c>
      <c r="R102" s="164">
        <f t="shared" si="23"/>
        <v>0</v>
      </c>
      <c r="S102" s="164">
        <f t="shared" si="15"/>
        <v>1012306.2519027411</v>
      </c>
      <c r="T102" s="164">
        <f t="shared" si="16"/>
        <v>0</v>
      </c>
    </row>
    <row r="103" spans="2:20" x14ac:dyDescent="0.2">
      <c r="B103" s="171"/>
      <c r="D103" s="171"/>
      <c r="F103" s="158">
        <v>92</v>
      </c>
      <c r="G103" s="249">
        <f t="shared" si="17"/>
        <v>46446</v>
      </c>
      <c r="H103" s="158">
        <f t="shared" si="21"/>
        <v>28</v>
      </c>
      <c r="I103" s="254">
        <f>VLOOKUP(G103,'Прогноз переменной ставки'!$B$5:$E$304,4,1)</f>
        <v>9.9000000000000005E-2</v>
      </c>
      <c r="J103" s="164">
        <f t="shared" si="18"/>
        <v>59999.999999999993</v>
      </c>
      <c r="K103" s="164">
        <f t="shared" si="19"/>
        <v>1012306.2519027411</v>
      </c>
      <c r="L103" s="164">
        <f t="shared" si="22"/>
        <v>1012306.2519027411</v>
      </c>
      <c r="M103" s="164">
        <f t="shared" si="22"/>
        <v>0</v>
      </c>
      <c r="N103" s="164">
        <f t="shared" si="20"/>
        <v>7682.7184949333296</v>
      </c>
      <c r="O103" s="164">
        <f t="shared" si="12"/>
        <v>52317.281505066661</v>
      </c>
      <c r="P103" s="164">
        <f t="shared" si="13"/>
        <v>7682.7184949333296</v>
      </c>
      <c r="Q103" s="164">
        <f t="shared" si="14"/>
        <v>0</v>
      </c>
      <c r="R103" s="164">
        <f t="shared" si="23"/>
        <v>0</v>
      </c>
      <c r="S103" s="164">
        <f t="shared" si="15"/>
        <v>959988.97039767448</v>
      </c>
      <c r="T103" s="164">
        <f t="shared" si="16"/>
        <v>0</v>
      </c>
    </row>
    <row r="104" spans="2:20" x14ac:dyDescent="0.2">
      <c r="B104" s="171"/>
      <c r="D104" s="171"/>
      <c r="F104" s="158">
        <v>93</v>
      </c>
      <c r="G104" s="249">
        <f t="shared" si="17"/>
        <v>46477</v>
      </c>
      <c r="H104" s="158">
        <f t="shared" si="21"/>
        <v>31</v>
      </c>
      <c r="I104" s="254">
        <f>VLOOKUP(G104,'Прогноз переменной ставки'!$B$5:$E$304,4,1)</f>
        <v>9.9000000000000005E-2</v>
      </c>
      <c r="J104" s="164">
        <f t="shared" si="18"/>
        <v>59999.999999999993</v>
      </c>
      <c r="K104" s="164">
        <f t="shared" si="19"/>
        <v>959988.97039767448</v>
      </c>
      <c r="L104" s="164">
        <f t="shared" si="22"/>
        <v>959988.97039767448</v>
      </c>
      <c r="M104" s="164">
        <f t="shared" si="22"/>
        <v>0</v>
      </c>
      <c r="N104" s="164">
        <f t="shared" si="20"/>
        <v>8066.2728272428831</v>
      </c>
      <c r="O104" s="164">
        <f t="shared" si="12"/>
        <v>51933.727172757106</v>
      </c>
      <c r="P104" s="164">
        <f t="shared" si="13"/>
        <v>8066.2728272428831</v>
      </c>
      <c r="Q104" s="164">
        <f t="shared" si="14"/>
        <v>0</v>
      </c>
      <c r="R104" s="164">
        <f t="shared" si="23"/>
        <v>0</v>
      </c>
      <c r="S104" s="164">
        <f t="shared" si="15"/>
        <v>908055.24322491733</v>
      </c>
      <c r="T104" s="164">
        <f t="shared" si="16"/>
        <v>0</v>
      </c>
    </row>
    <row r="105" spans="2:20" x14ac:dyDescent="0.2">
      <c r="B105" s="171"/>
      <c r="D105" s="171"/>
      <c r="F105" s="158">
        <v>94</v>
      </c>
      <c r="G105" s="249">
        <f t="shared" si="17"/>
        <v>46507</v>
      </c>
      <c r="H105" s="158">
        <f t="shared" si="21"/>
        <v>30</v>
      </c>
      <c r="I105" s="254">
        <f>VLOOKUP(G105,'Прогноз переменной ставки'!$B$5:$E$304,4,1)</f>
        <v>9.9000000000000005E-2</v>
      </c>
      <c r="J105" s="164">
        <f t="shared" si="18"/>
        <v>59999.999999999993</v>
      </c>
      <c r="K105" s="164">
        <f t="shared" si="19"/>
        <v>908055.24322491733</v>
      </c>
      <c r="L105" s="164">
        <f t="shared" si="22"/>
        <v>908055.24322491733</v>
      </c>
      <c r="M105" s="164">
        <f t="shared" si="22"/>
        <v>0</v>
      </c>
      <c r="N105" s="164">
        <f t="shared" si="20"/>
        <v>7383.7756943956319</v>
      </c>
      <c r="O105" s="164">
        <f t="shared" si="12"/>
        <v>52616.224305604359</v>
      </c>
      <c r="P105" s="164">
        <f t="shared" si="13"/>
        <v>7383.7756943956319</v>
      </c>
      <c r="Q105" s="164">
        <f t="shared" si="14"/>
        <v>0</v>
      </c>
      <c r="R105" s="164">
        <f t="shared" si="23"/>
        <v>0</v>
      </c>
      <c r="S105" s="164">
        <f t="shared" si="15"/>
        <v>855439.01891931298</v>
      </c>
      <c r="T105" s="164">
        <f t="shared" si="16"/>
        <v>0</v>
      </c>
    </row>
    <row r="106" spans="2:20" x14ac:dyDescent="0.2">
      <c r="B106" s="171"/>
      <c r="D106" s="171"/>
      <c r="F106" s="158">
        <v>95</v>
      </c>
      <c r="G106" s="249">
        <f t="shared" si="17"/>
        <v>46538</v>
      </c>
      <c r="H106" s="158">
        <f t="shared" si="21"/>
        <v>31</v>
      </c>
      <c r="I106" s="254">
        <f>VLOOKUP(G106,'Прогноз переменной ставки'!$B$5:$E$304,4,1)</f>
        <v>9.9000000000000005E-2</v>
      </c>
      <c r="J106" s="164">
        <f t="shared" si="18"/>
        <v>59999.999999999993</v>
      </c>
      <c r="K106" s="164">
        <f t="shared" si="19"/>
        <v>855439.01891931298</v>
      </c>
      <c r="L106" s="164">
        <f t="shared" si="22"/>
        <v>855439.01891931298</v>
      </c>
      <c r="M106" s="164">
        <f t="shared" si="22"/>
        <v>0</v>
      </c>
      <c r="N106" s="164">
        <f t="shared" si="20"/>
        <v>7187.7956168743913</v>
      </c>
      <c r="O106" s="164">
        <f t="shared" si="12"/>
        <v>52812.204383125601</v>
      </c>
      <c r="P106" s="164">
        <f t="shared" si="13"/>
        <v>7187.7956168743913</v>
      </c>
      <c r="Q106" s="164">
        <f t="shared" si="14"/>
        <v>0</v>
      </c>
      <c r="R106" s="164">
        <f t="shared" si="23"/>
        <v>0</v>
      </c>
      <c r="S106" s="164">
        <f t="shared" si="15"/>
        <v>802626.81453618733</v>
      </c>
      <c r="T106" s="164">
        <f t="shared" si="16"/>
        <v>0</v>
      </c>
    </row>
    <row r="107" spans="2:20" x14ac:dyDescent="0.2">
      <c r="B107" s="171"/>
      <c r="D107" s="171"/>
      <c r="F107" s="158">
        <v>96</v>
      </c>
      <c r="G107" s="249">
        <f t="shared" si="17"/>
        <v>46568</v>
      </c>
      <c r="H107" s="158">
        <f t="shared" si="21"/>
        <v>30</v>
      </c>
      <c r="I107" s="254">
        <f>VLOOKUP(G107,'Прогноз переменной ставки'!$B$5:$E$304,4,1)</f>
        <v>9.9000000000000005E-2</v>
      </c>
      <c r="J107" s="164">
        <f t="shared" si="18"/>
        <v>59999.999999999993</v>
      </c>
      <c r="K107" s="164">
        <f t="shared" si="19"/>
        <v>802626.81453618733</v>
      </c>
      <c r="L107" s="164">
        <f t="shared" si="22"/>
        <v>802626.81453618733</v>
      </c>
      <c r="M107" s="164">
        <f t="shared" si="22"/>
        <v>0</v>
      </c>
      <c r="N107" s="164">
        <f t="shared" si="20"/>
        <v>6526.4931941751574</v>
      </c>
      <c r="O107" s="164">
        <f t="shared" si="12"/>
        <v>53473.506805824836</v>
      </c>
      <c r="P107" s="164">
        <f t="shared" si="13"/>
        <v>6526.4931941751574</v>
      </c>
      <c r="Q107" s="164">
        <f t="shared" si="14"/>
        <v>0</v>
      </c>
      <c r="R107" s="164">
        <f t="shared" si="23"/>
        <v>0</v>
      </c>
      <c r="S107" s="164">
        <f t="shared" si="15"/>
        <v>749153.30773036252</v>
      </c>
      <c r="T107" s="164">
        <f t="shared" si="16"/>
        <v>0</v>
      </c>
    </row>
    <row r="108" spans="2:20" x14ac:dyDescent="0.2">
      <c r="B108" s="171"/>
      <c r="D108" s="171"/>
      <c r="F108" s="158">
        <v>97</v>
      </c>
      <c r="G108" s="249">
        <f t="shared" si="17"/>
        <v>46599</v>
      </c>
      <c r="H108" s="158">
        <f t="shared" si="21"/>
        <v>31</v>
      </c>
      <c r="I108" s="254">
        <f>VLOOKUP(G108,'Прогноз переменной ставки'!$B$5:$E$304,4,1)</f>
        <v>9.9000000000000005E-2</v>
      </c>
      <c r="J108" s="164">
        <f t="shared" si="18"/>
        <v>59999.999999999993</v>
      </c>
      <c r="K108" s="164">
        <f t="shared" si="19"/>
        <v>749153.30773036252</v>
      </c>
      <c r="L108" s="164">
        <f t="shared" si="22"/>
        <v>749153.30773036252</v>
      </c>
      <c r="M108" s="164">
        <f t="shared" si="22"/>
        <v>0</v>
      </c>
      <c r="N108" s="164">
        <f t="shared" si="20"/>
        <v>6294.7337479109729</v>
      </c>
      <c r="O108" s="164">
        <f t="shared" si="12"/>
        <v>53705.266252089023</v>
      </c>
      <c r="P108" s="164">
        <f t="shared" si="13"/>
        <v>6294.7337479109729</v>
      </c>
      <c r="Q108" s="164">
        <f t="shared" si="14"/>
        <v>0</v>
      </c>
      <c r="R108" s="164">
        <f t="shared" si="23"/>
        <v>0</v>
      </c>
      <c r="S108" s="164">
        <f t="shared" si="15"/>
        <v>695448.04147827346</v>
      </c>
      <c r="T108" s="164">
        <f t="shared" si="16"/>
        <v>0</v>
      </c>
    </row>
    <row r="109" spans="2:20" x14ac:dyDescent="0.2">
      <c r="B109" s="171"/>
      <c r="D109" s="171"/>
      <c r="F109" s="158">
        <v>98</v>
      </c>
      <c r="G109" s="249">
        <f t="shared" si="17"/>
        <v>46630</v>
      </c>
      <c r="H109" s="158">
        <f t="shared" si="21"/>
        <v>31</v>
      </c>
      <c r="I109" s="254">
        <f>VLOOKUP(G109,'Прогноз переменной ставки'!$B$5:$E$304,4,1)</f>
        <v>9.9000000000000005E-2</v>
      </c>
      <c r="J109" s="164">
        <f t="shared" si="18"/>
        <v>59999.999999999993</v>
      </c>
      <c r="K109" s="164">
        <f t="shared" si="19"/>
        <v>695448.04147827346</v>
      </c>
      <c r="L109" s="164">
        <f t="shared" si="22"/>
        <v>695448.04147827346</v>
      </c>
      <c r="M109" s="164">
        <f t="shared" si="22"/>
        <v>0</v>
      </c>
      <c r="N109" s="164">
        <f t="shared" si="20"/>
        <v>5843.4771780884912</v>
      </c>
      <c r="O109" s="164">
        <f t="shared" si="12"/>
        <v>54156.522821911502</v>
      </c>
      <c r="P109" s="164">
        <f t="shared" si="13"/>
        <v>5843.4771780884912</v>
      </c>
      <c r="Q109" s="164">
        <f t="shared" si="14"/>
        <v>0</v>
      </c>
      <c r="R109" s="164">
        <f t="shared" si="23"/>
        <v>0</v>
      </c>
      <c r="S109" s="164">
        <f t="shared" si="15"/>
        <v>641291.51865636196</v>
      </c>
      <c r="T109" s="164">
        <f t="shared" si="16"/>
        <v>0</v>
      </c>
    </row>
    <row r="110" spans="2:20" x14ac:dyDescent="0.2">
      <c r="B110" s="171"/>
      <c r="D110" s="171"/>
      <c r="F110" s="158">
        <v>99</v>
      </c>
      <c r="G110" s="249">
        <f t="shared" si="17"/>
        <v>46660</v>
      </c>
      <c r="H110" s="158">
        <f t="shared" si="21"/>
        <v>30</v>
      </c>
      <c r="I110" s="254">
        <f>VLOOKUP(G110,'Прогноз переменной ставки'!$B$5:$E$304,4,1)</f>
        <v>9.9000000000000005E-2</v>
      </c>
      <c r="J110" s="164">
        <f t="shared" si="18"/>
        <v>59999.999999999993</v>
      </c>
      <c r="K110" s="164">
        <f t="shared" si="19"/>
        <v>641291.51865636196</v>
      </c>
      <c r="L110" s="164">
        <f t="shared" si="22"/>
        <v>641291.51865636196</v>
      </c>
      <c r="M110" s="164">
        <f t="shared" si="22"/>
        <v>0</v>
      </c>
      <c r="N110" s="164">
        <f t="shared" si="20"/>
        <v>5214.6086527293501</v>
      </c>
      <c r="O110" s="164">
        <f t="shared" si="12"/>
        <v>54785.391347270641</v>
      </c>
      <c r="P110" s="164">
        <f t="shared" si="13"/>
        <v>5214.6086527293501</v>
      </c>
      <c r="Q110" s="164">
        <f t="shared" si="14"/>
        <v>0</v>
      </c>
      <c r="R110" s="164">
        <f t="shared" si="23"/>
        <v>0</v>
      </c>
      <c r="S110" s="164">
        <f t="shared" si="15"/>
        <v>586506.12730909127</v>
      </c>
      <c r="T110" s="164">
        <f t="shared" si="16"/>
        <v>0</v>
      </c>
    </row>
    <row r="111" spans="2:20" x14ac:dyDescent="0.2">
      <c r="B111" s="171"/>
      <c r="D111" s="171"/>
      <c r="F111" s="158">
        <v>100</v>
      </c>
      <c r="G111" s="249">
        <f t="shared" si="17"/>
        <v>46691</v>
      </c>
      <c r="H111" s="158">
        <f t="shared" si="21"/>
        <v>31</v>
      </c>
      <c r="I111" s="254">
        <f>VLOOKUP(G111,'Прогноз переменной ставки'!$B$5:$E$304,4,1)</f>
        <v>9.9000000000000005E-2</v>
      </c>
      <c r="J111" s="164">
        <f t="shared" si="18"/>
        <v>59999.999999999993</v>
      </c>
      <c r="K111" s="164">
        <f t="shared" si="19"/>
        <v>586506.12730909127</v>
      </c>
      <c r="L111" s="164">
        <f t="shared" si="22"/>
        <v>586506.12730909127</v>
      </c>
      <c r="M111" s="164">
        <f t="shared" si="22"/>
        <v>0</v>
      </c>
      <c r="N111" s="164">
        <f t="shared" si="20"/>
        <v>4928.096659032447</v>
      </c>
      <c r="O111" s="164">
        <f t="shared" si="12"/>
        <v>55071.903340967547</v>
      </c>
      <c r="P111" s="164">
        <f t="shared" si="13"/>
        <v>4928.096659032447</v>
      </c>
      <c r="Q111" s="164">
        <f t="shared" si="14"/>
        <v>0</v>
      </c>
      <c r="R111" s="164">
        <f t="shared" si="23"/>
        <v>0</v>
      </c>
      <c r="S111" s="164">
        <f t="shared" si="15"/>
        <v>531434.22396812378</v>
      </c>
      <c r="T111" s="164">
        <f t="shared" si="16"/>
        <v>0</v>
      </c>
    </row>
    <row r="112" spans="2:20" x14ac:dyDescent="0.2">
      <c r="B112" s="171"/>
      <c r="D112" s="171"/>
      <c r="F112" s="158">
        <v>101</v>
      </c>
      <c r="G112" s="249">
        <f t="shared" si="17"/>
        <v>46721</v>
      </c>
      <c r="H112" s="158">
        <f t="shared" si="21"/>
        <v>30</v>
      </c>
      <c r="I112" s="254">
        <f>VLOOKUP(G112,'Прогноз переменной ставки'!$B$5:$E$304,4,1)</f>
        <v>9.9000000000000005E-2</v>
      </c>
      <c r="J112" s="164">
        <f t="shared" si="18"/>
        <v>59999.999999999993</v>
      </c>
      <c r="K112" s="164">
        <f t="shared" si="19"/>
        <v>531434.22396812378</v>
      </c>
      <c r="L112" s="164">
        <f t="shared" si="22"/>
        <v>531434.22396812378</v>
      </c>
      <c r="M112" s="164">
        <f t="shared" si="22"/>
        <v>0</v>
      </c>
      <c r="N112" s="164">
        <f t="shared" si="20"/>
        <v>4321.3131969481938</v>
      </c>
      <c r="O112" s="164">
        <f t="shared" si="12"/>
        <v>55678.686803051802</v>
      </c>
      <c r="P112" s="164">
        <f t="shared" si="13"/>
        <v>4321.3131969481938</v>
      </c>
      <c r="Q112" s="164">
        <f t="shared" si="14"/>
        <v>0</v>
      </c>
      <c r="R112" s="164">
        <f t="shared" si="23"/>
        <v>0</v>
      </c>
      <c r="S112" s="164">
        <f t="shared" si="15"/>
        <v>475755.53716507199</v>
      </c>
      <c r="T112" s="164">
        <f t="shared" si="16"/>
        <v>0</v>
      </c>
    </row>
    <row r="113" spans="2:20" x14ac:dyDescent="0.2">
      <c r="B113" s="171"/>
      <c r="D113" s="171"/>
      <c r="F113" s="158">
        <v>102</v>
      </c>
      <c r="G113" s="249">
        <f t="shared" si="17"/>
        <v>46752</v>
      </c>
      <c r="H113" s="158">
        <f t="shared" si="21"/>
        <v>31</v>
      </c>
      <c r="I113" s="254">
        <f>VLOOKUP(G113,'Прогноз переменной ставки'!$B$5:$E$304,4,1)</f>
        <v>9.9000000000000005E-2</v>
      </c>
      <c r="J113" s="164">
        <f t="shared" si="18"/>
        <v>59999.999999999993</v>
      </c>
      <c r="K113" s="164">
        <f t="shared" si="19"/>
        <v>475755.53716507199</v>
      </c>
      <c r="L113" s="164">
        <f t="shared" si="22"/>
        <v>475755.53716507199</v>
      </c>
      <c r="M113" s="164">
        <f t="shared" si="22"/>
        <v>0</v>
      </c>
      <c r="N113" s="164">
        <f t="shared" si="20"/>
        <v>3997.5188050913239</v>
      </c>
      <c r="O113" s="164">
        <f t="shared" si="12"/>
        <v>56002.481194908672</v>
      </c>
      <c r="P113" s="164">
        <f t="shared" si="13"/>
        <v>3997.5188050913239</v>
      </c>
      <c r="Q113" s="164">
        <f t="shared" si="14"/>
        <v>0</v>
      </c>
      <c r="R113" s="164">
        <f t="shared" si="23"/>
        <v>0</v>
      </c>
      <c r="S113" s="164">
        <f t="shared" si="15"/>
        <v>419753.05597016332</v>
      </c>
      <c r="T113" s="164">
        <f t="shared" si="16"/>
        <v>0</v>
      </c>
    </row>
    <row r="114" spans="2:20" x14ac:dyDescent="0.2">
      <c r="B114" s="171"/>
      <c r="D114" s="171"/>
      <c r="F114" s="158">
        <v>103</v>
      </c>
      <c r="G114" s="249">
        <f t="shared" si="17"/>
        <v>46783</v>
      </c>
      <c r="H114" s="158">
        <f t="shared" si="21"/>
        <v>31</v>
      </c>
      <c r="I114" s="254">
        <f>VLOOKUP(G114,'Прогноз переменной ставки'!$B$5:$E$304,4,1)</f>
        <v>9.9000000000000005E-2</v>
      </c>
      <c r="J114" s="164">
        <f t="shared" si="18"/>
        <v>59999.999999999993</v>
      </c>
      <c r="K114" s="164">
        <f t="shared" si="19"/>
        <v>419753.05597016332</v>
      </c>
      <c r="L114" s="164">
        <f t="shared" si="22"/>
        <v>419753.05597016332</v>
      </c>
      <c r="M114" s="164">
        <f t="shared" si="22"/>
        <v>0</v>
      </c>
      <c r="N114" s="164">
        <f t="shared" si="20"/>
        <v>3526.9599692605921</v>
      </c>
      <c r="O114" s="164">
        <f t="shared" si="12"/>
        <v>56473.040030739401</v>
      </c>
      <c r="P114" s="164">
        <f t="shared" si="13"/>
        <v>3526.9599692605921</v>
      </c>
      <c r="Q114" s="164">
        <f t="shared" si="14"/>
        <v>0</v>
      </c>
      <c r="R114" s="164">
        <f t="shared" si="23"/>
        <v>0</v>
      </c>
      <c r="S114" s="164">
        <f t="shared" si="15"/>
        <v>363280.01593942393</v>
      </c>
      <c r="T114" s="164">
        <f t="shared" si="16"/>
        <v>0</v>
      </c>
    </row>
    <row r="115" spans="2:20" x14ac:dyDescent="0.2">
      <c r="B115" s="171"/>
      <c r="D115" s="171"/>
      <c r="F115" s="158">
        <v>104</v>
      </c>
      <c r="G115" s="249">
        <f t="shared" si="17"/>
        <v>46812</v>
      </c>
      <c r="H115" s="158">
        <f t="shared" si="21"/>
        <v>29</v>
      </c>
      <c r="I115" s="254">
        <f>VLOOKUP(G115,'Прогноз переменной ставки'!$B$5:$E$304,4,1)</f>
        <v>9.9000000000000005E-2</v>
      </c>
      <c r="J115" s="164">
        <f t="shared" si="18"/>
        <v>59999.999999999993</v>
      </c>
      <c r="K115" s="164">
        <f t="shared" si="19"/>
        <v>363280.01593942393</v>
      </c>
      <c r="L115" s="164">
        <f t="shared" si="22"/>
        <v>363280.01593942393</v>
      </c>
      <c r="M115" s="164">
        <f t="shared" si="22"/>
        <v>0</v>
      </c>
      <c r="N115" s="164">
        <f t="shared" si="20"/>
        <v>2855.5151971583468</v>
      </c>
      <c r="O115" s="164">
        <f t="shared" si="12"/>
        <v>57144.484802841645</v>
      </c>
      <c r="P115" s="164">
        <f t="shared" si="13"/>
        <v>2855.5151971583468</v>
      </c>
      <c r="Q115" s="164">
        <f t="shared" si="14"/>
        <v>0</v>
      </c>
      <c r="R115" s="164">
        <f t="shared" si="23"/>
        <v>0</v>
      </c>
      <c r="S115" s="164">
        <f t="shared" si="15"/>
        <v>306135.53113658226</v>
      </c>
      <c r="T115" s="164">
        <f t="shared" si="16"/>
        <v>0</v>
      </c>
    </row>
    <row r="116" spans="2:20" x14ac:dyDescent="0.2">
      <c r="B116" s="171"/>
      <c r="D116" s="171"/>
      <c r="F116" s="158">
        <v>105</v>
      </c>
      <c r="G116" s="249">
        <f t="shared" si="17"/>
        <v>46843</v>
      </c>
      <c r="H116" s="158">
        <f t="shared" si="21"/>
        <v>31</v>
      </c>
      <c r="I116" s="254">
        <f>VLOOKUP(G116,'Прогноз переменной ставки'!$B$5:$E$304,4,1)</f>
        <v>9.9000000000000005E-2</v>
      </c>
      <c r="J116" s="164">
        <f t="shared" si="18"/>
        <v>59999.999999999993</v>
      </c>
      <c r="K116" s="164">
        <f t="shared" si="19"/>
        <v>306135.53113658226</v>
      </c>
      <c r="L116" s="164">
        <f t="shared" si="22"/>
        <v>306135.53113658226</v>
      </c>
      <c r="M116" s="164">
        <f t="shared" si="22"/>
        <v>0</v>
      </c>
      <c r="N116" s="164">
        <f t="shared" si="20"/>
        <v>2572.2927996116932</v>
      </c>
      <c r="O116" s="164">
        <f t="shared" si="12"/>
        <v>57427.7072003883</v>
      </c>
      <c r="P116" s="164">
        <f t="shared" si="13"/>
        <v>2572.2927996116932</v>
      </c>
      <c r="Q116" s="164">
        <f t="shared" si="14"/>
        <v>0</v>
      </c>
      <c r="R116" s="164">
        <f t="shared" si="23"/>
        <v>0</v>
      </c>
      <c r="S116" s="164">
        <f t="shared" si="15"/>
        <v>248707.82393619395</v>
      </c>
      <c r="T116" s="164">
        <f t="shared" si="16"/>
        <v>0</v>
      </c>
    </row>
    <row r="117" spans="2:20" x14ac:dyDescent="0.2">
      <c r="B117" s="171"/>
      <c r="D117" s="171"/>
      <c r="F117" s="158">
        <v>106</v>
      </c>
      <c r="G117" s="249">
        <f t="shared" si="17"/>
        <v>46873</v>
      </c>
      <c r="H117" s="158">
        <f t="shared" si="21"/>
        <v>30</v>
      </c>
      <c r="I117" s="254">
        <f>VLOOKUP(G117,'Прогноз переменной ставки'!$B$5:$E$304,4,1)</f>
        <v>9.9000000000000005E-2</v>
      </c>
      <c r="J117" s="164">
        <f t="shared" si="18"/>
        <v>59999.999999999993</v>
      </c>
      <c r="K117" s="164">
        <f t="shared" si="19"/>
        <v>248707.82393619395</v>
      </c>
      <c r="L117" s="164">
        <f t="shared" si="22"/>
        <v>248707.82393619395</v>
      </c>
      <c r="M117" s="164">
        <f t="shared" si="22"/>
        <v>0</v>
      </c>
      <c r="N117" s="164">
        <f t="shared" si="20"/>
        <v>2022.3469872429737</v>
      </c>
      <c r="O117" s="164">
        <f t="shared" si="12"/>
        <v>57977.653012757022</v>
      </c>
      <c r="P117" s="164">
        <f t="shared" si="13"/>
        <v>2022.3469872429737</v>
      </c>
      <c r="Q117" s="164">
        <f t="shared" si="14"/>
        <v>0</v>
      </c>
      <c r="R117" s="164">
        <f t="shared" si="23"/>
        <v>0</v>
      </c>
      <c r="S117" s="164">
        <f t="shared" si="15"/>
        <v>190730.17092343693</v>
      </c>
      <c r="T117" s="164">
        <f t="shared" si="16"/>
        <v>0</v>
      </c>
    </row>
    <row r="118" spans="2:20" x14ac:dyDescent="0.2">
      <c r="B118" s="171"/>
      <c r="D118" s="171"/>
      <c r="F118" s="158">
        <v>107</v>
      </c>
      <c r="G118" s="249">
        <f t="shared" si="17"/>
        <v>46904</v>
      </c>
      <c r="H118" s="158">
        <f t="shared" si="21"/>
        <v>31</v>
      </c>
      <c r="I118" s="254">
        <f>VLOOKUP(G118,'Прогноз переменной ставки'!$B$5:$E$304,4,1)</f>
        <v>9.9000000000000005E-2</v>
      </c>
      <c r="J118" s="164">
        <f t="shared" si="18"/>
        <v>59999.999999999993</v>
      </c>
      <c r="K118" s="164">
        <f t="shared" si="19"/>
        <v>190730.17092343693</v>
      </c>
      <c r="L118" s="164">
        <f t="shared" si="22"/>
        <v>190730.17092343693</v>
      </c>
      <c r="M118" s="164">
        <f t="shared" si="22"/>
        <v>0</v>
      </c>
      <c r="N118" s="164">
        <f t="shared" si="20"/>
        <v>1602.6034074306037</v>
      </c>
      <c r="O118" s="164">
        <f t="shared" si="12"/>
        <v>58397.396592569392</v>
      </c>
      <c r="P118" s="164">
        <f t="shared" si="13"/>
        <v>1602.6034074306037</v>
      </c>
      <c r="Q118" s="164">
        <f t="shared" si="14"/>
        <v>0</v>
      </c>
      <c r="R118" s="164">
        <f t="shared" si="23"/>
        <v>0</v>
      </c>
      <c r="S118" s="164">
        <f t="shared" si="15"/>
        <v>132332.77433086754</v>
      </c>
      <c r="T118" s="164">
        <f t="shared" si="16"/>
        <v>0</v>
      </c>
    </row>
    <row r="119" spans="2:20" x14ac:dyDescent="0.2">
      <c r="B119" s="171"/>
      <c r="D119" s="171"/>
      <c r="F119" s="158">
        <v>108</v>
      </c>
      <c r="G119" s="249">
        <f t="shared" si="17"/>
        <v>46934</v>
      </c>
      <c r="H119" s="158">
        <f t="shared" si="21"/>
        <v>30</v>
      </c>
      <c r="I119" s="254">
        <f>VLOOKUP(G119,'Прогноз переменной ставки'!$B$5:$E$304,4,1)</f>
        <v>9.9000000000000005E-2</v>
      </c>
      <c r="J119" s="164">
        <f t="shared" si="18"/>
        <v>59999.999999999993</v>
      </c>
      <c r="K119" s="164">
        <f t="shared" si="19"/>
        <v>132332.77433086754</v>
      </c>
      <c r="L119" s="164">
        <f t="shared" si="22"/>
        <v>132332.77433086754</v>
      </c>
      <c r="M119" s="164">
        <f t="shared" si="22"/>
        <v>0</v>
      </c>
      <c r="N119" s="164">
        <f t="shared" si="20"/>
        <v>1076.0529493844672</v>
      </c>
      <c r="O119" s="164">
        <f t="shared" si="12"/>
        <v>58923.947050615527</v>
      </c>
      <c r="P119" s="164">
        <f t="shared" si="13"/>
        <v>1076.0529493844672</v>
      </c>
      <c r="Q119" s="164">
        <f t="shared" si="14"/>
        <v>0</v>
      </c>
      <c r="R119" s="164">
        <f t="shared" si="23"/>
        <v>0</v>
      </c>
      <c r="S119" s="164">
        <f t="shared" si="15"/>
        <v>73408.827280252008</v>
      </c>
      <c r="T119" s="164">
        <f t="shared" si="16"/>
        <v>0</v>
      </c>
    </row>
    <row r="120" spans="2:20" x14ac:dyDescent="0.2">
      <c r="B120" s="171"/>
      <c r="D120" s="171"/>
      <c r="F120" s="158">
        <v>109</v>
      </c>
      <c r="G120" s="249">
        <f t="shared" si="17"/>
        <v>46965</v>
      </c>
      <c r="H120" s="158">
        <f t="shared" si="21"/>
        <v>31</v>
      </c>
      <c r="I120" s="254">
        <f>VLOOKUP(G120,'Прогноз переменной ставки'!$B$5:$E$304,4,1)</f>
        <v>9.9000000000000005E-2</v>
      </c>
      <c r="J120" s="164">
        <f t="shared" si="18"/>
        <v>59999.999999999993</v>
      </c>
      <c r="K120" s="164">
        <f t="shared" si="19"/>
        <v>73408.827280252008</v>
      </c>
      <c r="L120" s="164">
        <f t="shared" si="22"/>
        <v>73408.827280252008</v>
      </c>
      <c r="M120" s="164">
        <f t="shared" si="22"/>
        <v>0</v>
      </c>
      <c r="N120" s="164">
        <f t="shared" si="20"/>
        <v>616.81503332811337</v>
      </c>
      <c r="O120" s="164">
        <f t="shared" si="12"/>
        <v>59383.184966671877</v>
      </c>
      <c r="P120" s="164">
        <f t="shared" si="13"/>
        <v>616.81503332811337</v>
      </c>
      <c r="Q120" s="164">
        <f t="shared" si="14"/>
        <v>0</v>
      </c>
      <c r="R120" s="164">
        <f t="shared" si="23"/>
        <v>0</v>
      </c>
      <c r="S120" s="164">
        <f t="shared" si="15"/>
        <v>14025.642313580131</v>
      </c>
      <c r="T120" s="164">
        <f t="shared" si="16"/>
        <v>0</v>
      </c>
    </row>
    <row r="121" spans="2:20" x14ac:dyDescent="0.2">
      <c r="B121" s="171"/>
      <c r="D121" s="171"/>
      <c r="F121" s="158">
        <v>110</v>
      </c>
      <c r="G121" s="249">
        <f t="shared" si="17"/>
        <v>46996</v>
      </c>
      <c r="H121" s="158">
        <f t="shared" si="21"/>
        <v>31</v>
      </c>
      <c r="I121" s="254">
        <f>VLOOKUP(G121,'Прогноз переменной ставки'!$B$5:$E$304,4,1)</f>
        <v>9.9000000000000005E-2</v>
      </c>
      <c r="J121" s="164">
        <f t="shared" si="18"/>
        <v>14143.492269118467</v>
      </c>
      <c r="K121" s="164">
        <f t="shared" si="19"/>
        <v>14025.642313580131</v>
      </c>
      <c r="L121" s="164">
        <f t="shared" si="22"/>
        <v>14025.642313580131</v>
      </c>
      <c r="M121" s="164">
        <f t="shared" si="22"/>
        <v>0</v>
      </c>
      <c r="N121" s="164">
        <f t="shared" si="20"/>
        <v>117.84995553833654</v>
      </c>
      <c r="O121" s="164">
        <f t="shared" si="12"/>
        <v>14025.642313580131</v>
      </c>
      <c r="P121" s="164">
        <f t="shared" si="13"/>
        <v>117.84995553833654</v>
      </c>
      <c r="Q121" s="164">
        <f t="shared" si="14"/>
        <v>0</v>
      </c>
      <c r="R121" s="164">
        <f t="shared" si="23"/>
        <v>0</v>
      </c>
      <c r="S121" s="164">
        <f t="shared" si="15"/>
        <v>0</v>
      </c>
      <c r="T121" s="164">
        <f t="shared" si="16"/>
        <v>0</v>
      </c>
    </row>
    <row r="122" spans="2:20" x14ac:dyDescent="0.2">
      <c r="B122" s="171"/>
      <c r="D122" s="171"/>
      <c r="F122" s="158">
        <v>111</v>
      </c>
      <c r="G122" s="249">
        <f t="shared" si="17"/>
        <v>47026</v>
      </c>
      <c r="H122" s="158">
        <f t="shared" si="21"/>
        <v>30</v>
      </c>
      <c r="I122" s="254">
        <f>VLOOKUP(G122,'Прогноз переменной ставки'!$B$5:$E$304,4,1)</f>
        <v>9.9000000000000005E-2</v>
      </c>
      <c r="J122" s="164">
        <f t="shared" si="18"/>
        <v>0</v>
      </c>
      <c r="K122" s="164">
        <f t="shared" si="19"/>
        <v>0</v>
      </c>
      <c r="L122" s="164">
        <f t="shared" si="22"/>
        <v>0</v>
      </c>
      <c r="M122" s="164">
        <f t="shared" si="22"/>
        <v>0</v>
      </c>
      <c r="N122" s="164">
        <f t="shared" si="20"/>
        <v>0</v>
      </c>
      <c r="O122" s="164">
        <f t="shared" si="12"/>
        <v>0</v>
      </c>
      <c r="P122" s="164">
        <f t="shared" si="13"/>
        <v>0</v>
      </c>
      <c r="Q122" s="164">
        <f t="shared" si="14"/>
        <v>0</v>
      </c>
      <c r="R122" s="164">
        <f t="shared" si="23"/>
        <v>0</v>
      </c>
      <c r="S122" s="164">
        <f t="shared" si="15"/>
        <v>0</v>
      </c>
      <c r="T122" s="164">
        <f t="shared" si="16"/>
        <v>0</v>
      </c>
    </row>
    <row r="123" spans="2:20" x14ac:dyDescent="0.2">
      <c r="B123" s="171"/>
      <c r="D123" s="171"/>
      <c r="F123" s="158">
        <v>112</v>
      </c>
      <c r="G123" s="249">
        <f t="shared" si="17"/>
        <v>47057</v>
      </c>
      <c r="H123" s="158">
        <f t="shared" si="21"/>
        <v>31</v>
      </c>
      <c r="I123" s="254">
        <f>VLOOKUP(G123,'Прогноз переменной ставки'!$B$5:$E$304,4,1)</f>
        <v>9.9000000000000005E-2</v>
      </c>
      <c r="J123" s="164">
        <f t="shared" si="18"/>
        <v>0</v>
      </c>
      <c r="K123" s="164">
        <f t="shared" si="19"/>
        <v>0</v>
      </c>
      <c r="L123" s="164">
        <f t="shared" si="22"/>
        <v>0</v>
      </c>
      <c r="M123" s="164">
        <f t="shared" si="22"/>
        <v>0</v>
      </c>
      <c r="N123" s="164">
        <f t="shared" si="20"/>
        <v>0</v>
      </c>
      <c r="O123" s="164">
        <f t="shared" si="12"/>
        <v>0</v>
      </c>
      <c r="P123" s="164">
        <f t="shared" si="13"/>
        <v>0</v>
      </c>
      <c r="Q123" s="164">
        <f t="shared" si="14"/>
        <v>0</v>
      </c>
      <c r="R123" s="164">
        <f t="shared" si="23"/>
        <v>0</v>
      </c>
      <c r="S123" s="164">
        <f t="shared" si="15"/>
        <v>0</v>
      </c>
      <c r="T123" s="164">
        <f t="shared" si="16"/>
        <v>0</v>
      </c>
    </row>
    <row r="124" spans="2:20" x14ac:dyDescent="0.2">
      <c r="B124" s="171"/>
      <c r="D124" s="171"/>
      <c r="F124" s="158">
        <v>113</v>
      </c>
      <c r="G124" s="249">
        <f t="shared" si="17"/>
        <v>47087</v>
      </c>
      <c r="H124" s="158">
        <f t="shared" si="21"/>
        <v>30</v>
      </c>
      <c r="I124" s="254">
        <f>VLOOKUP(G124,'Прогноз переменной ставки'!$B$5:$E$304,4,1)</f>
        <v>9.9000000000000005E-2</v>
      </c>
      <c r="J124" s="164">
        <f t="shared" si="18"/>
        <v>0</v>
      </c>
      <c r="K124" s="164">
        <f t="shared" si="19"/>
        <v>0</v>
      </c>
      <c r="L124" s="164">
        <f t="shared" si="22"/>
        <v>0</v>
      </c>
      <c r="M124" s="164">
        <f t="shared" si="22"/>
        <v>0</v>
      </c>
      <c r="N124" s="164">
        <f t="shared" si="20"/>
        <v>0</v>
      </c>
      <c r="O124" s="164">
        <f t="shared" si="12"/>
        <v>0</v>
      </c>
      <c r="P124" s="164">
        <f t="shared" si="13"/>
        <v>0</v>
      </c>
      <c r="Q124" s="164">
        <f t="shared" si="14"/>
        <v>0</v>
      </c>
      <c r="R124" s="164">
        <f t="shared" si="23"/>
        <v>0</v>
      </c>
      <c r="S124" s="164">
        <f t="shared" si="15"/>
        <v>0</v>
      </c>
      <c r="T124" s="164">
        <f t="shared" si="16"/>
        <v>0</v>
      </c>
    </row>
    <row r="125" spans="2:20" x14ac:dyDescent="0.2">
      <c r="B125" s="171"/>
      <c r="D125" s="171"/>
      <c r="F125" s="158">
        <v>114</v>
      </c>
      <c r="G125" s="249">
        <f t="shared" si="17"/>
        <v>47118</v>
      </c>
      <c r="H125" s="158">
        <f t="shared" si="21"/>
        <v>31</v>
      </c>
      <c r="I125" s="254">
        <f>VLOOKUP(G125,'Прогноз переменной ставки'!$B$5:$E$304,4,1)</f>
        <v>9.9000000000000005E-2</v>
      </c>
      <c r="J125" s="164">
        <f t="shared" si="18"/>
        <v>0</v>
      </c>
      <c r="K125" s="164">
        <f t="shared" si="19"/>
        <v>0</v>
      </c>
      <c r="L125" s="164">
        <f t="shared" si="22"/>
        <v>0</v>
      </c>
      <c r="M125" s="164">
        <f t="shared" si="22"/>
        <v>0</v>
      </c>
      <c r="N125" s="164">
        <f t="shared" si="20"/>
        <v>0</v>
      </c>
      <c r="O125" s="164">
        <f t="shared" si="12"/>
        <v>0</v>
      </c>
      <c r="P125" s="164">
        <f t="shared" si="13"/>
        <v>0</v>
      </c>
      <c r="Q125" s="164">
        <f t="shared" si="14"/>
        <v>0</v>
      </c>
      <c r="R125" s="164">
        <f t="shared" si="23"/>
        <v>0</v>
      </c>
      <c r="S125" s="164">
        <f t="shared" si="15"/>
        <v>0</v>
      </c>
      <c r="T125" s="164">
        <f t="shared" si="16"/>
        <v>0</v>
      </c>
    </row>
    <row r="126" spans="2:20" x14ac:dyDescent="0.2">
      <c r="B126" s="171"/>
      <c r="D126" s="171"/>
      <c r="F126" s="158">
        <v>115</v>
      </c>
      <c r="G126" s="249">
        <f t="shared" si="17"/>
        <v>47149</v>
      </c>
      <c r="H126" s="158">
        <f t="shared" si="21"/>
        <v>31</v>
      </c>
      <c r="I126" s="254">
        <f>VLOOKUP(G126,'Прогноз переменной ставки'!$B$5:$E$304,4,1)</f>
        <v>9.9000000000000005E-2</v>
      </c>
      <c r="J126" s="164">
        <f t="shared" si="18"/>
        <v>0</v>
      </c>
      <c r="K126" s="164">
        <f t="shared" si="19"/>
        <v>0</v>
      </c>
      <c r="L126" s="164">
        <f t="shared" si="22"/>
        <v>0</v>
      </c>
      <c r="M126" s="164">
        <f t="shared" si="22"/>
        <v>0</v>
      </c>
      <c r="N126" s="164">
        <f t="shared" si="20"/>
        <v>0</v>
      </c>
      <c r="O126" s="164">
        <f t="shared" si="12"/>
        <v>0</v>
      </c>
      <c r="P126" s="164">
        <f t="shared" si="13"/>
        <v>0</v>
      </c>
      <c r="Q126" s="164">
        <f t="shared" si="14"/>
        <v>0</v>
      </c>
      <c r="R126" s="164">
        <f t="shared" si="23"/>
        <v>0</v>
      </c>
      <c r="S126" s="164">
        <f t="shared" si="15"/>
        <v>0</v>
      </c>
      <c r="T126" s="164">
        <f t="shared" si="16"/>
        <v>0</v>
      </c>
    </row>
    <row r="127" spans="2:20" x14ac:dyDescent="0.2">
      <c r="B127" s="171"/>
      <c r="D127" s="171"/>
      <c r="F127" s="158">
        <v>116</v>
      </c>
      <c r="G127" s="249">
        <f t="shared" si="17"/>
        <v>47177</v>
      </c>
      <c r="H127" s="158">
        <f t="shared" si="21"/>
        <v>28</v>
      </c>
      <c r="I127" s="254">
        <f>VLOOKUP(G127,'Прогноз переменной ставки'!$B$5:$E$304,4,1)</f>
        <v>9.9000000000000005E-2</v>
      </c>
      <c r="J127" s="164">
        <f t="shared" si="18"/>
        <v>0</v>
      </c>
      <c r="K127" s="164">
        <f t="shared" si="19"/>
        <v>0</v>
      </c>
      <c r="L127" s="164">
        <f t="shared" si="22"/>
        <v>0</v>
      </c>
      <c r="M127" s="164">
        <f t="shared" si="22"/>
        <v>0</v>
      </c>
      <c r="N127" s="164">
        <f t="shared" si="20"/>
        <v>0</v>
      </c>
      <c r="O127" s="164">
        <f t="shared" si="12"/>
        <v>0</v>
      </c>
      <c r="P127" s="164">
        <f t="shared" si="13"/>
        <v>0</v>
      </c>
      <c r="Q127" s="164">
        <f t="shared" si="14"/>
        <v>0</v>
      </c>
      <c r="R127" s="164">
        <f t="shared" si="23"/>
        <v>0</v>
      </c>
      <c r="S127" s="164">
        <f t="shared" si="15"/>
        <v>0</v>
      </c>
      <c r="T127" s="164">
        <f t="shared" si="16"/>
        <v>0</v>
      </c>
    </row>
    <row r="128" spans="2:20" x14ac:dyDescent="0.2">
      <c r="B128" s="171"/>
      <c r="D128" s="171"/>
      <c r="F128" s="158">
        <v>117</v>
      </c>
      <c r="G128" s="249">
        <f t="shared" si="17"/>
        <v>47208</v>
      </c>
      <c r="H128" s="158">
        <f t="shared" si="21"/>
        <v>31</v>
      </c>
      <c r="I128" s="254">
        <f>VLOOKUP(G128,'Прогноз переменной ставки'!$B$5:$E$304,4,1)</f>
        <v>9.9000000000000005E-2</v>
      </c>
      <c r="J128" s="164">
        <f t="shared" si="18"/>
        <v>0</v>
      </c>
      <c r="K128" s="164">
        <f t="shared" si="19"/>
        <v>0</v>
      </c>
      <c r="L128" s="164">
        <f t="shared" si="22"/>
        <v>0</v>
      </c>
      <c r="M128" s="164">
        <f t="shared" si="22"/>
        <v>0</v>
      </c>
      <c r="N128" s="164">
        <f t="shared" si="20"/>
        <v>0</v>
      </c>
      <c r="O128" s="164">
        <f t="shared" si="12"/>
        <v>0</v>
      </c>
      <c r="P128" s="164">
        <f t="shared" si="13"/>
        <v>0</v>
      </c>
      <c r="Q128" s="164">
        <f t="shared" si="14"/>
        <v>0</v>
      </c>
      <c r="R128" s="164">
        <f t="shared" si="23"/>
        <v>0</v>
      </c>
      <c r="S128" s="164">
        <f t="shared" si="15"/>
        <v>0</v>
      </c>
      <c r="T128" s="164">
        <f t="shared" si="16"/>
        <v>0</v>
      </c>
    </row>
    <row r="129" spans="2:20" x14ac:dyDescent="0.2">
      <c r="B129" s="171"/>
      <c r="D129" s="171"/>
      <c r="F129" s="158">
        <v>118</v>
      </c>
      <c r="G129" s="249">
        <f t="shared" si="17"/>
        <v>47238</v>
      </c>
      <c r="H129" s="158">
        <f t="shared" si="21"/>
        <v>30</v>
      </c>
      <c r="I129" s="254">
        <f>VLOOKUP(G129,'Прогноз переменной ставки'!$B$5:$E$304,4,1)</f>
        <v>9.9000000000000005E-2</v>
      </c>
      <c r="J129" s="164">
        <f t="shared" si="18"/>
        <v>0</v>
      </c>
      <c r="K129" s="164">
        <f t="shared" si="19"/>
        <v>0</v>
      </c>
      <c r="L129" s="164">
        <f t="shared" si="22"/>
        <v>0</v>
      </c>
      <c r="M129" s="164">
        <f t="shared" si="22"/>
        <v>0</v>
      </c>
      <c r="N129" s="164">
        <f t="shared" si="20"/>
        <v>0</v>
      </c>
      <c r="O129" s="164">
        <f t="shared" si="12"/>
        <v>0</v>
      </c>
      <c r="P129" s="164">
        <f t="shared" si="13"/>
        <v>0</v>
      </c>
      <c r="Q129" s="164">
        <f t="shared" si="14"/>
        <v>0</v>
      </c>
      <c r="R129" s="164">
        <f t="shared" si="23"/>
        <v>0</v>
      </c>
      <c r="S129" s="164">
        <f t="shared" si="15"/>
        <v>0</v>
      </c>
      <c r="T129" s="164">
        <f t="shared" si="16"/>
        <v>0</v>
      </c>
    </row>
    <row r="130" spans="2:20" x14ac:dyDescent="0.2">
      <c r="B130" s="171"/>
      <c r="D130" s="171"/>
      <c r="F130" s="158">
        <v>119</v>
      </c>
      <c r="G130" s="249">
        <f t="shared" si="17"/>
        <v>47269</v>
      </c>
      <c r="H130" s="158">
        <f t="shared" si="21"/>
        <v>31</v>
      </c>
      <c r="I130" s="254">
        <f>VLOOKUP(G130,'Прогноз переменной ставки'!$B$5:$E$304,4,1)</f>
        <v>9.9000000000000005E-2</v>
      </c>
      <c r="J130" s="164">
        <f t="shared" si="18"/>
        <v>0</v>
      </c>
      <c r="K130" s="164">
        <f t="shared" si="19"/>
        <v>0</v>
      </c>
      <c r="L130" s="164">
        <f t="shared" si="22"/>
        <v>0</v>
      </c>
      <c r="M130" s="164">
        <f t="shared" si="22"/>
        <v>0</v>
      </c>
      <c r="N130" s="164">
        <f t="shared" si="20"/>
        <v>0</v>
      </c>
      <c r="O130" s="164">
        <f t="shared" si="12"/>
        <v>0</v>
      </c>
      <c r="P130" s="164">
        <f t="shared" si="13"/>
        <v>0</v>
      </c>
      <c r="Q130" s="164">
        <f t="shared" si="14"/>
        <v>0</v>
      </c>
      <c r="R130" s="164">
        <f t="shared" si="23"/>
        <v>0</v>
      </c>
      <c r="S130" s="164">
        <f t="shared" si="15"/>
        <v>0</v>
      </c>
      <c r="T130" s="164">
        <f t="shared" si="16"/>
        <v>0</v>
      </c>
    </row>
    <row r="131" spans="2:20" x14ac:dyDescent="0.2">
      <c r="B131" s="171"/>
      <c r="D131" s="171"/>
      <c r="F131" s="158">
        <v>120</v>
      </c>
      <c r="G131" s="249">
        <f t="shared" si="17"/>
        <v>47299</v>
      </c>
      <c r="H131" s="158">
        <f t="shared" si="21"/>
        <v>30</v>
      </c>
      <c r="I131" s="254">
        <f>VLOOKUP(G131,'Прогноз переменной ставки'!$B$5:$E$304,4,1)</f>
        <v>9.9000000000000005E-2</v>
      </c>
      <c r="J131" s="164">
        <f t="shared" si="18"/>
        <v>0</v>
      </c>
      <c r="K131" s="164">
        <f t="shared" si="19"/>
        <v>0</v>
      </c>
      <c r="L131" s="164">
        <f t="shared" si="22"/>
        <v>0</v>
      </c>
      <c r="M131" s="164">
        <f t="shared" si="22"/>
        <v>0</v>
      </c>
      <c r="N131" s="164">
        <f t="shared" si="20"/>
        <v>0</v>
      </c>
      <c r="O131" s="164">
        <f t="shared" si="12"/>
        <v>0</v>
      </c>
      <c r="P131" s="164">
        <f t="shared" si="13"/>
        <v>0</v>
      </c>
      <c r="Q131" s="164">
        <f t="shared" si="14"/>
        <v>0</v>
      </c>
      <c r="R131" s="164">
        <f t="shared" si="23"/>
        <v>0</v>
      </c>
      <c r="S131" s="164">
        <f t="shared" si="15"/>
        <v>0</v>
      </c>
      <c r="T131" s="164">
        <f t="shared" si="16"/>
        <v>0</v>
      </c>
    </row>
    <row r="132" spans="2:20" x14ac:dyDescent="0.2">
      <c r="B132" s="171"/>
      <c r="D132" s="171"/>
      <c r="F132" s="158">
        <v>121</v>
      </c>
      <c r="G132" s="249">
        <f t="shared" si="17"/>
        <v>47330</v>
      </c>
      <c r="H132" s="158">
        <f t="shared" si="21"/>
        <v>31</v>
      </c>
      <c r="I132" s="254">
        <f>VLOOKUP(G132,'Прогноз переменной ставки'!$B$5:$E$304,4,1)</f>
        <v>9.9000000000000005E-2</v>
      </c>
      <c r="J132" s="164">
        <f t="shared" si="18"/>
        <v>0</v>
      </c>
      <c r="K132" s="164">
        <f t="shared" si="19"/>
        <v>0</v>
      </c>
      <c r="L132" s="164">
        <f t="shared" si="22"/>
        <v>0</v>
      </c>
      <c r="M132" s="164">
        <f t="shared" si="22"/>
        <v>0</v>
      </c>
      <c r="N132" s="164">
        <f t="shared" si="20"/>
        <v>0</v>
      </c>
      <c r="O132" s="164">
        <f t="shared" si="12"/>
        <v>0</v>
      </c>
      <c r="P132" s="164">
        <f t="shared" si="13"/>
        <v>0</v>
      </c>
      <c r="Q132" s="164">
        <f t="shared" si="14"/>
        <v>0</v>
      </c>
      <c r="R132" s="164">
        <f t="shared" si="23"/>
        <v>0</v>
      </c>
      <c r="S132" s="164">
        <f t="shared" si="15"/>
        <v>0</v>
      </c>
      <c r="T132" s="164">
        <f t="shared" si="16"/>
        <v>0</v>
      </c>
    </row>
    <row r="133" spans="2:20" x14ac:dyDescent="0.2">
      <c r="B133" s="171"/>
      <c r="D133" s="171"/>
      <c r="F133" s="158">
        <v>122</v>
      </c>
      <c r="G133" s="249">
        <f t="shared" si="17"/>
        <v>47361</v>
      </c>
      <c r="H133" s="158">
        <f t="shared" si="21"/>
        <v>31</v>
      </c>
      <c r="I133" s="254">
        <f>VLOOKUP(G133,'Прогноз переменной ставки'!$B$5:$E$304,4,1)</f>
        <v>9.9000000000000005E-2</v>
      </c>
      <c r="J133" s="164">
        <f t="shared" si="18"/>
        <v>0</v>
      </c>
      <c r="K133" s="164">
        <f t="shared" si="19"/>
        <v>0</v>
      </c>
      <c r="L133" s="164">
        <f t="shared" si="22"/>
        <v>0</v>
      </c>
      <c r="M133" s="164">
        <f t="shared" si="22"/>
        <v>0</v>
      </c>
      <c r="N133" s="164">
        <f t="shared" si="20"/>
        <v>0</v>
      </c>
      <c r="O133" s="164">
        <f t="shared" si="12"/>
        <v>0</v>
      </c>
      <c r="P133" s="164">
        <f t="shared" si="13"/>
        <v>0</v>
      </c>
      <c r="Q133" s="164">
        <f t="shared" si="14"/>
        <v>0</v>
      </c>
      <c r="R133" s="164">
        <f t="shared" si="23"/>
        <v>0</v>
      </c>
      <c r="S133" s="164">
        <f t="shared" si="15"/>
        <v>0</v>
      </c>
      <c r="T133" s="164">
        <f t="shared" si="16"/>
        <v>0</v>
      </c>
    </row>
    <row r="134" spans="2:20" x14ac:dyDescent="0.2">
      <c r="B134" s="171"/>
      <c r="D134" s="171"/>
      <c r="F134" s="158">
        <v>123</v>
      </c>
      <c r="G134" s="249">
        <f t="shared" si="17"/>
        <v>47391</v>
      </c>
      <c r="H134" s="158">
        <f t="shared" si="21"/>
        <v>30</v>
      </c>
      <c r="I134" s="254">
        <f>VLOOKUP(G134,'Прогноз переменной ставки'!$B$5:$E$304,4,1)</f>
        <v>9.9000000000000005E-2</v>
      </c>
      <c r="J134" s="164">
        <f t="shared" si="18"/>
        <v>0</v>
      </c>
      <c r="K134" s="164">
        <f t="shared" si="19"/>
        <v>0</v>
      </c>
      <c r="L134" s="164">
        <f t="shared" si="22"/>
        <v>0</v>
      </c>
      <c r="M134" s="164">
        <f t="shared" si="22"/>
        <v>0</v>
      </c>
      <c r="N134" s="164">
        <f t="shared" si="20"/>
        <v>0</v>
      </c>
      <c r="O134" s="164">
        <f t="shared" si="12"/>
        <v>0</v>
      </c>
      <c r="P134" s="164">
        <f t="shared" si="13"/>
        <v>0</v>
      </c>
      <c r="Q134" s="164">
        <f t="shared" si="14"/>
        <v>0</v>
      </c>
      <c r="R134" s="164">
        <f t="shared" si="23"/>
        <v>0</v>
      </c>
      <c r="S134" s="164">
        <f t="shared" si="15"/>
        <v>0</v>
      </c>
      <c r="T134" s="164">
        <f t="shared" si="16"/>
        <v>0</v>
      </c>
    </row>
    <row r="135" spans="2:20" x14ac:dyDescent="0.2">
      <c r="B135" s="171"/>
      <c r="D135" s="171"/>
      <c r="F135" s="158">
        <v>124</v>
      </c>
      <c r="G135" s="249">
        <f t="shared" si="17"/>
        <v>47422</v>
      </c>
      <c r="H135" s="158">
        <f t="shared" si="21"/>
        <v>31</v>
      </c>
      <c r="I135" s="254">
        <f>VLOOKUP(G135,'Прогноз переменной ставки'!$B$5:$E$304,4,1)</f>
        <v>9.9000000000000005E-2</v>
      </c>
      <c r="J135" s="164">
        <f t="shared" si="18"/>
        <v>0</v>
      </c>
      <c r="K135" s="164">
        <f t="shared" si="19"/>
        <v>0</v>
      </c>
      <c r="L135" s="164">
        <f t="shared" si="22"/>
        <v>0</v>
      </c>
      <c r="M135" s="164">
        <f t="shared" si="22"/>
        <v>0</v>
      </c>
      <c r="N135" s="164">
        <f t="shared" si="20"/>
        <v>0</v>
      </c>
      <c r="O135" s="164">
        <f t="shared" si="12"/>
        <v>0</v>
      </c>
      <c r="P135" s="164">
        <f t="shared" si="13"/>
        <v>0</v>
      </c>
      <c r="Q135" s="164">
        <f t="shared" si="14"/>
        <v>0</v>
      </c>
      <c r="R135" s="164">
        <f t="shared" si="23"/>
        <v>0</v>
      </c>
      <c r="S135" s="164">
        <f t="shared" si="15"/>
        <v>0</v>
      </c>
      <c r="T135" s="164">
        <f t="shared" si="16"/>
        <v>0</v>
      </c>
    </row>
    <row r="136" spans="2:20" x14ac:dyDescent="0.2">
      <c r="B136" s="171"/>
      <c r="D136" s="171"/>
      <c r="F136" s="158">
        <v>125</v>
      </c>
      <c r="G136" s="249">
        <f t="shared" si="17"/>
        <v>47452</v>
      </c>
      <c r="H136" s="158">
        <f t="shared" si="21"/>
        <v>30</v>
      </c>
      <c r="I136" s="254">
        <f>VLOOKUP(G136,'Прогноз переменной ставки'!$B$5:$E$304,4,1)</f>
        <v>9.9000000000000005E-2</v>
      </c>
      <c r="J136" s="164">
        <f t="shared" si="18"/>
        <v>0</v>
      </c>
      <c r="K136" s="164">
        <f t="shared" si="19"/>
        <v>0</v>
      </c>
      <c r="L136" s="164">
        <f t="shared" si="22"/>
        <v>0</v>
      </c>
      <c r="M136" s="164">
        <f t="shared" si="22"/>
        <v>0</v>
      </c>
      <c r="N136" s="164">
        <f t="shared" si="20"/>
        <v>0</v>
      </c>
      <c r="O136" s="164">
        <f t="shared" si="12"/>
        <v>0</v>
      </c>
      <c r="P136" s="164">
        <f t="shared" si="13"/>
        <v>0</v>
      </c>
      <c r="Q136" s="164">
        <f t="shared" si="14"/>
        <v>0</v>
      </c>
      <c r="R136" s="164">
        <f t="shared" si="23"/>
        <v>0</v>
      </c>
      <c r="S136" s="164">
        <f t="shared" si="15"/>
        <v>0</v>
      </c>
      <c r="T136" s="164">
        <f t="shared" si="16"/>
        <v>0</v>
      </c>
    </row>
    <row r="137" spans="2:20" x14ac:dyDescent="0.2">
      <c r="B137" s="171"/>
      <c r="D137" s="171"/>
      <c r="F137" s="158">
        <v>126</v>
      </c>
      <c r="G137" s="249">
        <f t="shared" si="17"/>
        <v>47483</v>
      </c>
      <c r="H137" s="158">
        <f t="shared" si="21"/>
        <v>31</v>
      </c>
      <c r="I137" s="254">
        <f>VLOOKUP(G137,'Прогноз переменной ставки'!$B$5:$E$304,4,1)</f>
        <v>9.9000000000000005E-2</v>
      </c>
      <c r="J137" s="164">
        <f t="shared" si="18"/>
        <v>0</v>
      </c>
      <c r="K137" s="164">
        <f t="shared" si="19"/>
        <v>0</v>
      </c>
      <c r="L137" s="164">
        <f t="shared" si="22"/>
        <v>0</v>
      </c>
      <c r="M137" s="164">
        <f t="shared" si="22"/>
        <v>0</v>
      </c>
      <c r="N137" s="164">
        <f t="shared" si="20"/>
        <v>0</v>
      </c>
      <c r="O137" s="164">
        <f t="shared" si="12"/>
        <v>0</v>
      </c>
      <c r="P137" s="164">
        <f t="shared" si="13"/>
        <v>0</v>
      </c>
      <c r="Q137" s="164">
        <f t="shared" si="14"/>
        <v>0</v>
      </c>
      <c r="R137" s="164">
        <f t="shared" si="23"/>
        <v>0</v>
      </c>
      <c r="S137" s="164">
        <f t="shared" si="15"/>
        <v>0</v>
      </c>
      <c r="T137" s="164">
        <f t="shared" si="16"/>
        <v>0</v>
      </c>
    </row>
    <row r="138" spans="2:20" x14ac:dyDescent="0.2">
      <c r="B138" s="171"/>
      <c r="D138" s="171"/>
      <c r="F138" s="158">
        <v>127</v>
      </c>
      <c r="G138" s="249">
        <f t="shared" si="17"/>
        <v>47514</v>
      </c>
      <c r="H138" s="158">
        <f t="shared" si="21"/>
        <v>31</v>
      </c>
      <c r="I138" s="254">
        <f>VLOOKUP(G138,'Прогноз переменной ставки'!$B$5:$E$304,4,1)</f>
        <v>9.9000000000000005E-2</v>
      </c>
      <c r="J138" s="164">
        <f t="shared" si="18"/>
        <v>0</v>
      </c>
      <c r="K138" s="164">
        <f t="shared" si="19"/>
        <v>0</v>
      </c>
      <c r="L138" s="164">
        <f t="shared" si="22"/>
        <v>0</v>
      </c>
      <c r="M138" s="164">
        <f t="shared" si="22"/>
        <v>0</v>
      </c>
      <c r="N138" s="164">
        <f t="shared" si="20"/>
        <v>0</v>
      </c>
      <c r="O138" s="164">
        <f t="shared" si="12"/>
        <v>0</v>
      </c>
      <c r="P138" s="164">
        <f t="shared" si="13"/>
        <v>0</v>
      </c>
      <c r="Q138" s="164">
        <f t="shared" si="14"/>
        <v>0</v>
      </c>
      <c r="R138" s="164">
        <f t="shared" si="23"/>
        <v>0</v>
      </c>
      <c r="S138" s="164">
        <f t="shared" si="15"/>
        <v>0</v>
      </c>
      <c r="T138" s="164">
        <f t="shared" si="16"/>
        <v>0</v>
      </c>
    </row>
    <row r="139" spans="2:20" x14ac:dyDescent="0.2">
      <c r="B139" s="171"/>
      <c r="D139" s="171"/>
      <c r="F139" s="158">
        <v>128</v>
      </c>
      <c r="G139" s="249">
        <f t="shared" si="17"/>
        <v>47542</v>
      </c>
      <c r="H139" s="158">
        <f t="shared" si="21"/>
        <v>28</v>
      </c>
      <c r="I139" s="254">
        <f>VLOOKUP(G139,'Прогноз переменной ставки'!$B$5:$E$304,4,1)</f>
        <v>9.9000000000000005E-2</v>
      </c>
      <c r="J139" s="164">
        <f t="shared" si="18"/>
        <v>0</v>
      </c>
      <c r="K139" s="164">
        <f t="shared" si="19"/>
        <v>0</v>
      </c>
      <c r="L139" s="164">
        <f t="shared" si="22"/>
        <v>0</v>
      </c>
      <c r="M139" s="164">
        <f t="shared" si="22"/>
        <v>0</v>
      </c>
      <c r="N139" s="164">
        <f t="shared" si="20"/>
        <v>0</v>
      </c>
      <c r="O139" s="164">
        <f t="shared" si="12"/>
        <v>0</v>
      </c>
      <c r="P139" s="164">
        <f t="shared" si="13"/>
        <v>0</v>
      </c>
      <c r="Q139" s="164">
        <f t="shared" si="14"/>
        <v>0</v>
      </c>
      <c r="R139" s="164">
        <f t="shared" si="23"/>
        <v>0</v>
      </c>
      <c r="S139" s="164">
        <f t="shared" si="15"/>
        <v>0</v>
      </c>
      <c r="T139" s="164">
        <f t="shared" si="16"/>
        <v>0</v>
      </c>
    </row>
    <row r="140" spans="2:20" x14ac:dyDescent="0.2">
      <c r="B140" s="171"/>
      <c r="D140" s="171"/>
      <c r="F140" s="158">
        <v>129</v>
      </c>
      <c r="G140" s="249">
        <f t="shared" si="17"/>
        <v>47573</v>
      </c>
      <c r="H140" s="158">
        <f t="shared" si="21"/>
        <v>31</v>
      </c>
      <c r="I140" s="254">
        <f>VLOOKUP(G140,'Прогноз переменной ставки'!$B$5:$E$304,4,1)</f>
        <v>9.9000000000000005E-2</v>
      </c>
      <c r="J140" s="164">
        <f t="shared" si="18"/>
        <v>0</v>
      </c>
      <c r="K140" s="164">
        <f t="shared" si="19"/>
        <v>0</v>
      </c>
      <c r="L140" s="164">
        <f t="shared" si="22"/>
        <v>0</v>
      </c>
      <c r="M140" s="164">
        <f t="shared" si="22"/>
        <v>0</v>
      </c>
      <c r="N140" s="164">
        <f t="shared" si="20"/>
        <v>0</v>
      </c>
      <c r="O140" s="164">
        <f t="shared" ref="O140:O203" si="24">MIN(J140-Q140-P140,L140)</f>
        <v>0</v>
      </c>
      <c r="P140" s="164">
        <f t="shared" ref="P140:P203" si="25">MIN(J140-Q140,N140)</f>
        <v>0</v>
      </c>
      <c r="Q140" s="164">
        <f t="shared" ref="Q140:Q203" si="26">MIN(J140,M140)</f>
        <v>0</v>
      </c>
      <c r="R140" s="164">
        <f t="shared" si="23"/>
        <v>0</v>
      </c>
      <c r="S140" s="164">
        <f t="shared" ref="S140:S203" si="27">L140-O140</f>
        <v>0</v>
      </c>
      <c r="T140" s="164">
        <f t="shared" ref="T140:T203" si="28">M140+R140-Q140</f>
        <v>0</v>
      </c>
    </row>
    <row r="141" spans="2:20" x14ac:dyDescent="0.2">
      <c r="B141" s="171"/>
      <c r="D141" s="171"/>
      <c r="F141" s="158">
        <v>130</v>
      </c>
      <c r="G141" s="249">
        <f t="shared" ref="G141:G204" si="29">EOMONTH($D$9,F141-1)</f>
        <v>47603</v>
      </c>
      <c r="H141" s="158">
        <f t="shared" si="21"/>
        <v>30</v>
      </c>
      <c r="I141" s="254">
        <f>VLOOKUP(G141,'Прогноз переменной ставки'!$B$5:$E$304,4,1)</f>
        <v>9.9000000000000005E-2</v>
      </c>
      <c r="J141" s="164">
        <f t="shared" ref="J141:J204" si="30">IF(F141=$D$4,K141+N141,MIN($D$5,K141+N141))</f>
        <v>0</v>
      </c>
      <c r="K141" s="164">
        <f t="shared" ref="K141:K204" si="31">L141+M141</f>
        <v>0</v>
      </c>
      <c r="L141" s="164">
        <f t="shared" si="22"/>
        <v>0</v>
      </c>
      <c r="M141" s="164">
        <f t="shared" si="22"/>
        <v>0</v>
      </c>
      <c r="N141" s="164">
        <f t="shared" ref="N141:N204" si="32">L141*I141/365.25*H141</f>
        <v>0</v>
      </c>
      <c r="O141" s="164">
        <f t="shared" si="24"/>
        <v>0</v>
      </c>
      <c r="P141" s="164">
        <f t="shared" si="25"/>
        <v>0</v>
      </c>
      <c r="Q141" s="164">
        <f t="shared" si="26"/>
        <v>0</v>
      </c>
      <c r="R141" s="164">
        <f t="shared" si="23"/>
        <v>0</v>
      </c>
      <c r="S141" s="164">
        <f t="shared" si="27"/>
        <v>0</v>
      </c>
      <c r="T141" s="164">
        <f t="shared" si="28"/>
        <v>0</v>
      </c>
    </row>
    <row r="142" spans="2:20" x14ac:dyDescent="0.2">
      <c r="B142" s="171"/>
      <c r="D142" s="171"/>
      <c r="F142" s="158">
        <v>131</v>
      </c>
      <c r="G142" s="249">
        <f t="shared" si="29"/>
        <v>47634</v>
      </c>
      <c r="H142" s="158">
        <f t="shared" ref="H142:H205" si="33">G142-G141</f>
        <v>31</v>
      </c>
      <c r="I142" s="254">
        <f>VLOOKUP(G142,'Прогноз переменной ставки'!$B$5:$E$304,4,1)</f>
        <v>9.9000000000000005E-2</v>
      </c>
      <c r="J142" s="164">
        <f t="shared" si="30"/>
        <v>0</v>
      </c>
      <c r="K142" s="164">
        <f t="shared" si="31"/>
        <v>0</v>
      </c>
      <c r="L142" s="164">
        <f t="shared" ref="L142:M205" si="34">S141</f>
        <v>0</v>
      </c>
      <c r="M142" s="164">
        <f t="shared" si="34"/>
        <v>0</v>
      </c>
      <c r="N142" s="164">
        <f t="shared" si="32"/>
        <v>0</v>
      </c>
      <c r="O142" s="164">
        <f t="shared" si="24"/>
        <v>0</v>
      </c>
      <c r="P142" s="164">
        <f t="shared" si="25"/>
        <v>0</v>
      </c>
      <c r="Q142" s="164">
        <f t="shared" si="26"/>
        <v>0</v>
      </c>
      <c r="R142" s="164">
        <f t="shared" ref="R142:R205" si="35">MAX(N142-P142,0)</f>
        <v>0</v>
      </c>
      <c r="S142" s="164">
        <f t="shared" si="27"/>
        <v>0</v>
      </c>
      <c r="T142" s="164">
        <f t="shared" si="28"/>
        <v>0</v>
      </c>
    </row>
    <row r="143" spans="2:20" x14ac:dyDescent="0.2">
      <c r="B143" s="171"/>
      <c r="D143" s="171"/>
      <c r="F143" s="158">
        <v>132</v>
      </c>
      <c r="G143" s="249">
        <f t="shared" si="29"/>
        <v>47664</v>
      </c>
      <c r="H143" s="158">
        <f t="shared" si="33"/>
        <v>30</v>
      </c>
      <c r="I143" s="254">
        <f>VLOOKUP(G143,'Прогноз переменной ставки'!$B$5:$E$304,4,1)</f>
        <v>9.9000000000000005E-2</v>
      </c>
      <c r="J143" s="164">
        <f t="shared" si="30"/>
        <v>0</v>
      </c>
      <c r="K143" s="164">
        <f t="shared" si="31"/>
        <v>0</v>
      </c>
      <c r="L143" s="164">
        <f t="shared" si="34"/>
        <v>0</v>
      </c>
      <c r="M143" s="164">
        <f t="shared" si="34"/>
        <v>0</v>
      </c>
      <c r="N143" s="164">
        <f t="shared" si="32"/>
        <v>0</v>
      </c>
      <c r="O143" s="164">
        <f t="shared" si="24"/>
        <v>0</v>
      </c>
      <c r="P143" s="164">
        <f t="shared" si="25"/>
        <v>0</v>
      </c>
      <c r="Q143" s="164">
        <f t="shared" si="26"/>
        <v>0</v>
      </c>
      <c r="R143" s="164">
        <f t="shared" si="35"/>
        <v>0</v>
      </c>
      <c r="S143" s="164">
        <f t="shared" si="27"/>
        <v>0</v>
      </c>
      <c r="T143" s="164">
        <f t="shared" si="28"/>
        <v>0</v>
      </c>
    </row>
    <row r="144" spans="2:20" x14ac:dyDescent="0.2">
      <c r="B144" s="171"/>
      <c r="D144" s="171"/>
      <c r="F144" s="158">
        <v>133</v>
      </c>
      <c r="G144" s="249">
        <f t="shared" si="29"/>
        <v>47695</v>
      </c>
      <c r="H144" s="158">
        <f t="shared" si="33"/>
        <v>31</v>
      </c>
      <c r="I144" s="254">
        <f>VLOOKUP(G144,'Прогноз переменной ставки'!$B$5:$E$304,4,1)</f>
        <v>9.9000000000000005E-2</v>
      </c>
      <c r="J144" s="164">
        <f t="shared" si="30"/>
        <v>0</v>
      </c>
      <c r="K144" s="164">
        <f t="shared" si="31"/>
        <v>0</v>
      </c>
      <c r="L144" s="164">
        <f t="shared" si="34"/>
        <v>0</v>
      </c>
      <c r="M144" s="164">
        <f t="shared" si="34"/>
        <v>0</v>
      </c>
      <c r="N144" s="164">
        <f t="shared" si="32"/>
        <v>0</v>
      </c>
      <c r="O144" s="164">
        <f t="shared" si="24"/>
        <v>0</v>
      </c>
      <c r="P144" s="164">
        <f t="shared" si="25"/>
        <v>0</v>
      </c>
      <c r="Q144" s="164">
        <f t="shared" si="26"/>
        <v>0</v>
      </c>
      <c r="R144" s="164">
        <f t="shared" si="35"/>
        <v>0</v>
      </c>
      <c r="S144" s="164">
        <f t="shared" si="27"/>
        <v>0</v>
      </c>
      <c r="T144" s="164">
        <f t="shared" si="28"/>
        <v>0</v>
      </c>
    </row>
    <row r="145" spans="2:20" x14ac:dyDescent="0.2">
      <c r="B145" s="171"/>
      <c r="D145" s="171"/>
      <c r="F145" s="158">
        <v>134</v>
      </c>
      <c r="G145" s="249">
        <f t="shared" si="29"/>
        <v>47726</v>
      </c>
      <c r="H145" s="158">
        <f t="shared" si="33"/>
        <v>31</v>
      </c>
      <c r="I145" s="254">
        <f>VLOOKUP(G145,'Прогноз переменной ставки'!$B$5:$E$304,4,1)</f>
        <v>9.9000000000000005E-2</v>
      </c>
      <c r="J145" s="164">
        <f t="shared" si="30"/>
        <v>0</v>
      </c>
      <c r="K145" s="164">
        <f t="shared" si="31"/>
        <v>0</v>
      </c>
      <c r="L145" s="164">
        <f t="shared" si="34"/>
        <v>0</v>
      </c>
      <c r="M145" s="164">
        <f t="shared" si="34"/>
        <v>0</v>
      </c>
      <c r="N145" s="164">
        <f t="shared" si="32"/>
        <v>0</v>
      </c>
      <c r="O145" s="164">
        <f t="shared" si="24"/>
        <v>0</v>
      </c>
      <c r="P145" s="164">
        <f t="shared" si="25"/>
        <v>0</v>
      </c>
      <c r="Q145" s="164">
        <f t="shared" si="26"/>
        <v>0</v>
      </c>
      <c r="R145" s="164">
        <f t="shared" si="35"/>
        <v>0</v>
      </c>
      <c r="S145" s="164">
        <f t="shared" si="27"/>
        <v>0</v>
      </c>
      <c r="T145" s="164">
        <f t="shared" si="28"/>
        <v>0</v>
      </c>
    </row>
    <row r="146" spans="2:20" x14ac:dyDescent="0.2">
      <c r="B146" s="171"/>
      <c r="D146" s="171"/>
      <c r="F146" s="158">
        <v>135</v>
      </c>
      <c r="G146" s="249">
        <f t="shared" si="29"/>
        <v>47756</v>
      </c>
      <c r="H146" s="158">
        <f t="shared" si="33"/>
        <v>30</v>
      </c>
      <c r="I146" s="254">
        <f>VLOOKUP(G146,'Прогноз переменной ставки'!$B$5:$E$304,4,1)</f>
        <v>9.9000000000000005E-2</v>
      </c>
      <c r="J146" s="164">
        <f t="shared" si="30"/>
        <v>0</v>
      </c>
      <c r="K146" s="164">
        <f t="shared" si="31"/>
        <v>0</v>
      </c>
      <c r="L146" s="164">
        <f t="shared" si="34"/>
        <v>0</v>
      </c>
      <c r="M146" s="164">
        <f t="shared" si="34"/>
        <v>0</v>
      </c>
      <c r="N146" s="164">
        <f t="shared" si="32"/>
        <v>0</v>
      </c>
      <c r="O146" s="164">
        <f t="shared" si="24"/>
        <v>0</v>
      </c>
      <c r="P146" s="164">
        <f t="shared" si="25"/>
        <v>0</v>
      </c>
      <c r="Q146" s="164">
        <f t="shared" si="26"/>
        <v>0</v>
      </c>
      <c r="R146" s="164">
        <f t="shared" si="35"/>
        <v>0</v>
      </c>
      <c r="S146" s="164">
        <f t="shared" si="27"/>
        <v>0</v>
      </c>
      <c r="T146" s="164">
        <f t="shared" si="28"/>
        <v>0</v>
      </c>
    </row>
    <row r="147" spans="2:20" x14ac:dyDescent="0.2">
      <c r="B147" s="171"/>
      <c r="D147" s="171"/>
      <c r="F147" s="158">
        <v>136</v>
      </c>
      <c r="G147" s="249">
        <f t="shared" si="29"/>
        <v>47787</v>
      </c>
      <c r="H147" s="158">
        <f t="shared" si="33"/>
        <v>31</v>
      </c>
      <c r="I147" s="254">
        <f>VLOOKUP(G147,'Прогноз переменной ставки'!$B$5:$E$304,4,1)</f>
        <v>9.9000000000000005E-2</v>
      </c>
      <c r="J147" s="164">
        <f t="shared" si="30"/>
        <v>0</v>
      </c>
      <c r="K147" s="164">
        <f t="shared" si="31"/>
        <v>0</v>
      </c>
      <c r="L147" s="164">
        <f t="shared" si="34"/>
        <v>0</v>
      </c>
      <c r="M147" s="164">
        <f t="shared" si="34"/>
        <v>0</v>
      </c>
      <c r="N147" s="164">
        <f t="shared" si="32"/>
        <v>0</v>
      </c>
      <c r="O147" s="164">
        <f t="shared" si="24"/>
        <v>0</v>
      </c>
      <c r="P147" s="164">
        <f t="shared" si="25"/>
        <v>0</v>
      </c>
      <c r="Q147" s="164">
        <f t="shared" si="26"/>
        <v>0</v>
      </c>
      <c r="R147" s="164">
        <f t="shared" si="35"/>
        <v>0</v>
      </c>
      <c r="S147" s="164">
        <f t="shared" si="27"/>
        <v>0</v>
      </c>
      <c r="T147" s="164">
        <f t="shared" si="28"/>
        <v>0</v>
      </c>
    </row>
    <row r="148" spans="2:20" x14ac:dyDescent="0.2">
      <c r="B148" s="171"/>
      <c r="D148" s="171"/>
      <c r="F148" s="158">
        <v>137</v>
      </c>
      <c r="G148" s="249">
        <f t="shared" si="29"/>
        <v>47817</v>
      </c>
      <c r="H148" s="158">
        <f t="shared" si="33"/>
        <v>30</v>
      </c>
      <c r="I148" s="254">
        <f>VLOOKUP(G148,'Прогноз переменной ставки'!$B$5:$E$304,4,1)</f>
        <v>9.9000000000000005E-2</v>
      </c>
      <c r="J148" s="164">
        <f t="shared" si="30"/>
        <v>0</v>
      </c>
      <c r="K148" s="164">
        <f t="shared" si="31"/>
        <v>0</v>
      </c>
      <c r="L148" s="164">
        <f t="shared" si="34"/>
        <v>0</v>
      </c>
      <c r="M148" s="164">
        <f t="shared" si="34"/>
        <v>0</v>
      </c>
      <c r="N148" s="164">
        <f t="shared" si="32"/>
        <v>0</v>
      </c>
      <c r="O148" s="164">
        <f t="shared" si="24"/>
        <v>0</v>
      </c>
      <c r="P148" s="164">
        <f t="shared" si="25"/>
        <v>0</v>
      </c>
      <c r="Q148" s="164">
        <f t="shared" si="26"/>
        <v>0</v>
      </c>
      <c r="R148" s="164">
        <f t="shared" si="35"/>
        <v>0</v>
      </c>
      <c r="S148" s="164">
        <f t="shared" si="27"/>
        <v>0</v>
      </c>
      <c r="T148" s="164">
        <f t="shared" si="28"/>
        <v>0</v>
      </c>
    </row>
    <row r="149" spans="2:20" x14ac:dyDescent="0.2">
      <c r="B149" s="171"/>
      <c r="D149" s="171"/>
      <c r="F149" s="158">
        <v>138</v>
      </c>
      <c r="G149" s="249">
        <f t="shared" si="29"/>
        <v>47848</v>
      </c>
      <c r="H149" s="158">
        <f t="shared" si="33"/>
        <v>31</v>
      </c>
      <c r="I149" s="254">
        <f>VLOOKUP(G149,'Прогноз переменной ставки'!$B$5:$E$304,4,1)</f>
        <v>9.9000000000000005E-2</v>
      </c>
      <c r="J149" s="164">
        <f t="shared" si="30"/>
        <v>0</v>
      </c>
      <c r="K149" s="164">
        <f t="shared" si="31"/>
        <v>0</v>
      </c>
      <c r="L149" s="164">
        <f t="shared" si="34"/>
        <v>0</v>
      </c>
      <c r="M149" s="164">
        <f t="shared" si="34"/>
        <v>0</v>
      </c>
      <c r="N149" s="164">
        <f t="shared" si="32"/>
        <v>0</v>
      </c>
      <c r="O149" s="164">
        <f t="shared" si="24"/>
        <v>0</v>
      </c>
      <c r="P149" s="164">
        <f t="shared" si="25"/>
        <v>0</v>
      </c>
      <c r="Q149" s="164">
        <f t="shared" si="26"/>
        <v>0</v>
      </c>
      <c r="R149" s="164">
        <f t="shared" si="35"/>
        <v>0</v>
      </c>
      <c r="S149" s="164">
        <f t="shared" si="27"/>
        <v>0</v>
      </c>
      <c r="T149" s="164">
        <f t="shared" si="28"/>
        <v>0</v>
      </c>
    </row>
    <row r="150" spans="2:20" x14ac:dyDescent="0.2">
      <c r="B150" s="171"/>
      <c r="D150" s="171"/>
      <c r="F150" s="158">
        <v>139</v>
      </c>
      <c r="G150" s="249">
        <f t="shared" si="29"/>
        <v>47879</v>
      </c>
      <c r="H150" s="158">
        <f t="shared" si="33"/>
        <v>31</v>
      </c>
      <c r="I150" s="254">
        <f>VLOOKUP(G150,'Прогноз переменной ставки'!$B$5:$E$304,4,1)</f>
        <v>9.9000000000000005E-2</v>
      </c>
      <c r="J150" s="164">
        <f t="shared" si="30"/>
        <v>0</v>
      </c>
      <c r="K150" s="164">
        <f t="shared" si="31"/>
        <v>0</v>
      </c>
      <c r="L150" s="164">
        <f t="shared" si="34"/>
        <v>0</v>
      </c>
      <c r="M150" s="164">
        <f t="shared" si="34"/>
        <v>0</v>
      </c>
      <c r="N150" s="164">
        <f t="shared" si="32"/>
        <v>0</v>
      </c>
      <c r="O150" s="164">
        <f t="shared" si="24"/>
        <v>0</v>
      </c>
      <c r="P150" s="164">
        <f t="shared" si="25"/>
        <v>0</v>
      </c>
      <c r="Q150" s="164">
        <f t="shared" si="26"/>
        <v>0</v>
      </c>
      <c r="R150" s="164">
        <f t="shared" si="35"/>
        <v>0</v>
      </c>
      <c r="S150" s="164">
        <f t="shared" si="27"/>
        <v>0</v>
      </c>
      <c r="T150" s="164">
        <f t="shared" si="28"/>
        <v>0</v>
      </c>
    </row>
    <row r="151" spans="2:20" x14ac:dyDescent="0.2">
      <c r="B151" s="171"/>
      <c r="D151" s="171"/>
      <c r="F151" s="158">
        <v>140</v>
      </c>
      <c r="G151" s="249">
        <f t="shared" si="29"/>
        <v>47907</v>
      </c>
      <c r="H151" s="158">
        <f t="shared" si="33"/>
        <v>28</v>
      </c>
      <c r="I151" s="254">
        <f>VLOOKUP(G151,'Прогноз переменной ставки'!$B$5:$E$304,4,1)</f>
        <v>9.9000000000000005E-2</v>
      </c>
      <c r="J151" s="164">
        <f t="shared" si="30"/>
        <v>0</v>
      </c>
      <c r="K151" s="164">
        <f t="shared" si="31"/>
        <v>0</v>
      </c>
      <c r="L151" s="164">
        <f t="shared" si="34"/>
        <v>0</v>
      </c>
      <c r="M151" s="164">
        <f t="shared" si="34"/>
        <v>0</v>
      </c>
      <c r="N151" s="164">
        <f t="shared" si="32"/>
        <v>0</v>
      </c>
      <c r="O151" s="164">
        <f t="shared" si="24"/>
        <v>0</v>
      </c>
      <c r="P151" s="164">
        <f t="shared" si="25"/>
        <v>0</v>
      </c>
      <c r="Q151" s="164">
        <f t="shared" si="26"/>
        <v>0</v>
      </c>
      <c r="R151" s="164">
        <f t="shared" si="35"/>
        <v>0</v>
      </c>
      <c r="S151" s="164">
        <f t="shared" si="27"/>
        <v>0</v>
      </c>
      <c r="T151" s="164">
        <f t="shared" si="28"/>
        <v>0</v>
      </c>
    </row>
    <row r="152" spans="2:20" x14ac:dyDescent="0.2">
      <c r="B152" s="171"/>
      <c r="D152" s="171"/>
      <c r="F152" s="158">
        <v>141</v>
      </c>
      <c r="G152" s="249">
        <f t="shared" si="29"/>
        <v>47938</v>
      </c>
      <c r="H152" s="158">
        <f t="shared" si="33"/>
        <v>31</v>
      </c>
      <c r="I152" s="254">
        <f>VLOOKUP(G152,'Прогноз переменной ставки'!$B$5:$E$304,4,1)</f>
        <v>9.9000000000000005E-2</v>
      </c>
      <c r="J152" s="164">
        <f t="shared" si="30"/>
        <v>0</v>
      </c>
      <c r="K152" s="164">
        <f t="shared" si="31"/>
        <v>0</v>
      </c>
      <c r="L152" s="164">
        <f t="shared" si="34"/>
        <v>0</v>
      </c>
      <c r="M152" s="164">
        <f t="shared" si="34"/>
        <v>0</v>
      </c>
      <c r="N152" s="164">
        <f t="shared" si="32"/>
        <v>0</v>
      </c>
      <c r="O152" s="164">
        <f t="shared" si="24"/>
        <v>0</v>
      </c>
      <c r="P152" s="164">
        <f t="shared" si="25"/>
        <v>0</v>
      </c>
      <c r="Q152" s="164">
        <f t="shared" si="26"/>
        <v>0</v>
      </c>
      <c r="R152" s="164">
        <f t="shared" si="35"/>
        <v>0</v>
      </c>
      <c r="S152" s="164">
        <f t="shared" si="27"/>
        <v>0</v>
      </c>
      <c r="T152" s="164">
        <f t="shared" si="28"/>
        <v>0</v>
      </c>
    </row>
    <row r="153" spans="2:20" x14ac:dyDescent="0.2">
      <c r="B153" s="171"/>
      <c r="D153" s="171"/>
      <c r="F153" s="158">
        <v>142</v>
      </c>
      <c r="G153" s="249">
        <f t="shared" si="29"/>
        <v>47968</v>
      </c>
      <c r="H153" s="158">
        <f t="shared" si="33"/>
        <v>30</v>
      </c>
      <c r="I153" s="254">
        <f>VLOOKUP(G153,'Прогноз переменной ставки'!$B$5:$E$304,4,1)</f>
        <v>9.9000000000000005E-2</v>
      </c>
      <c r="J153" s="164">
        <f t="shared" si="30"/>
        <v>0</v>
      </c>
      <c r="K153" s="164">
        <f t="shared" si="31"/>
        <v>0</v>
      </c>
      <c r="L153" s="164">
        <f t="shared" si="34"/>
        <v>0</v>
      </c>
      <c r="M153" s="164">
        <f t="shared" si="34"/>
        <v>0</v>
      </c>
      <c r="N153" s="164">
        <f t="shared" si="32"/>
        <v>0</v>
      </c>
      <c r="O153" s="164">
        <f t="shared" si="24"/>
        <v>0</v>
      </c>
      <c r="P153" s="164">
        <f t="shared" si="25"/>
        <v>0</v>
      </c>
      <c r="Q153" s="164">
        <f t="shared" si="26"/>
        <v>0</v>
      </c>
      <c r="R153" s="164">
        <f t="shared" si="35"/>
        <v>0</v>
      </c>
      <c r="S153" s="164">
        <f t="shared" si="27"/>
        <v>0</v>
      </c>
      <c r="T153" s="164">
        <f t="shared" si="28"/>
        <v>0</v>
      </c>
    </row>
    <row r="154" spans="2:20" x14ac:dyDescent="0.2">
      <c r="B154" s="171"/>
      <c r="D154" s="171"/>
      <c r="F154" s="158">
        <v>143</v>
      </c>
      <c r="G154" s="249">
        <f t="shared" si="29"/>
        <v>47999</v>
      </c>
      <c r="H154" s="158">
        <f t="shared" si="33"/>
        <v>31</v>
      </c>
      <c r="I154" s="254">
        <f>VLOOKUP(G154,'Прогноз переменной ставки'!$B$5:$E$304,4,1)</f>
        <v>9.9000000000000005E-2</v>
      </c>
      <c r="J154" s="164">
        <f t="shared" si="30"/>
        <v>0</v>
      </c>
      <c r="K154" s="164">
        <f t="shared" si="31"/>
        <v>0</v>
      </c>
      <c r="L154" s="164">
        <f t="shared" si="34"/>
        <v>0</v>
      </c>
      <c r="M154" s="164">
        <f t="shared" si="34"/>
        <v>0</v>
      </c>
      <c r="N154" s="164">
        <f t="shared" si="32"/>
        <v>0</v>
      </c>
      <c r="O154" s="164">
        <f t="shared" si="24"/>
        <v>0</v>
      </c>
      <c r="P154" s="164">
        <f t="shared" si="25"/>
        <v>0</v>
      </c>
      <c r="Q154" s="164">
        <f t="shared" si="26"/>
        <v>0</v>
      </c>
      <c r="R154" s="164">
        <f t="shared" si="35"/>
        <v>0</v>
      </c>
      <c r="S154" s="164">
        <f t="shared" si="27"/>
        <v>0</v>
      </c>
      <c r="T154" s="164">
        <f t="shared" si="28"/>
        <v>0</v>
      </c>
    </row>
    <row r="155" spans="2:20" x14ac:dyDescent="0.2">
      <c r="B155" s="171"/>
      <c r="D155" s="171"/>
      <c r="F155" s="158">
        <v>144</v>
      </c>
      <c r="G155" s="249">
        <f t="shared" si="29"/>
        <v>48029</v>
      </c>
      <c r="H155" s="158">
        <f t="shared" si="33"/>
        <v>30</v>
      </c>
      <c r="I155" s="254">
        <f>VLOOKUP(G155,'Прогноз переменной ставки'!$B$5:$E$304,4,1)</f>
        <v>9.9000000000000005E-2</v>
      </c>
      <c r="J155" s="164">
        <f t="shared" si="30"/>
        <v>0</v>
      </c>
      <c r="K155" s="164">
        <f t="shared" si="31"/>
        <v>0</v>
      </c>
      <c r="L155" s="164">
        <f t="shared" si="34"/>
        <v>0</v>
      </c>
      <c r="M155" s="164">
        <f t="shared" si="34"/>
        <v>0</v>
      </c>
      <c r="N155" s="164">
        <f t="shared" si="32"/>
        <v>0</v>
      </c>
      <c r="O155" s="164">
        <f t="shared" si="24"/>
        <v>0</v>
      </c>
      <c r="P155" s="164">
        <f t="shared" si="25"/>
        <v>0</v>
      </c>
      <c r="Q155" s="164">
        <f t="shared" si="26"/>
        <v>0</v>
      </c>
      <c r="R155" s="164">
        <f t="shared" si="35"/>
        <v>0</v>
      </c>
      <c r="S155" s="164">
        <f t="shared" si="27"/>
        <v>0</v>
      </c>
      <c r="T155" s="164">
        <f t="shared" si="28"/>
        <v>0</v>
      </c>
    </row>
    <row r="156" spans="2:20" x14ac:dyDescent="0.2">
      <c r="B156" s="171"/>
      <c r="D156" s="171"/>
      <c r="F156" s="158">
        <v>145</v>
      </c>
      <c r="G156" s="249">
        <f t="shared" si="29"/>
        <v>48060</v>
      </c>
      <c r="H156" s="158">
        <f t="shared" si="33"/>
        <v>31</v>
      </c>
      <c r="I156" s="254">
        <f>VLOOKUP(G156,'Прогноз переменной ставки'!$B$5:$E$304,4,1)</f>
        <v>9.9000000000000005E-2</v>
      </c>
      <c r="J156" s="164">
        <f t="shared" si="30"/>
        <v>0</v>
      </c>
      <c r="K156" s="164">
        <f t="shared" si="31"/>
        <v>0</v>
      </c>
      <c r="L156" s="164">
        <f t="shared" si="34"/>
        <v>0</v>
      </c>
      <c r="M156" s="164">
        <f t="shared" si="34"/>
        <v>0</v>
      </c>
      <c r="N156" s="164">
        <f t="shared" si="32"/>
        <v>0</v>
      </c>
      <c r="O156" s="164">
        <f t="shared" si="24"/>
        <v>0</v>
      </c>
      <c r="P156" s="164">
        <f t="shared" si="25"/>
        <v>0</v>
      </c>
      <c r="Q156" s="164">
        <f t="shared" si="26"/>
        <v>0</v>
      </c>
      <c r="R156" s="164">
        <f t="shared" si="35"/>
        <v>0</v>
      </c>
      <c r="S156" s="164">
        <f t="shared" si="27"/>
        <v>0</v>
      </c>
      <c r="T156" s="164">
        <f t="shared" si="28"/>
        <v>0</v>
      </c>
    </row>
    <row r="157" spans="2:20" x14ac:dyDescent="0.2">
      <c r="B157" s="171"/>
      <c r="D157" s="171"/>
      <c r="F157" s="158">
        <v>146</v>
      </c>
      <c r="G157" s="249">
        <f t="shared" si="29"/>
        <v>48091</v>
      </c>
      <c r="H157" s="158">
        <f t="shared" si="33"/>
        <v>31</v>
      </c>
      <c r="I157" s="254">
        <f>VLOOKUP(G157,'Прогноз переменной ставки'!$B$5:$E$304,4,1)</f>
        <v>9.9000000000000005E-2</v>
      </c>
      <c r="J157" s="164">
        <f t="shared" si="30"/>
        <v>0</v>
      </c>
      <c r="K157" s="164">
        <f t="shared" si="31"/>
        <v>0</v>
      </c>
      <c r="L157" s="164">
        <f t="shared" si="34"/>
        <v>0</v>
      </c>
      <c r="M157" s="164">
        <f t="shared" si="34"/>
        <v>0</v>
      </c>
      <c r="N157" s="164">
        <f t="shared" si="32"/>
        <v>0</v>
      </c>
      <c r="O157" s="164">
        <f t="shared" si="24"/>
        <v>0</v>
      </c>
      <c r="P157" s="164">
        <f t="shared" si="25"/>
        <v>0</v>
      </c>
      <c r="Q157" s="164">
        <f t="shared" si="26"/>
        <v>0</v>
      </c>
      <c r="R157" s="164">
        <f t="shared" si="35"/>
        <v>0</v>
      </c>
      <c r="S157" s="164">
        <f t="shared" si="27"/>
        <v>0</v>
      </c>
      <c r="T157" s="164">
        <f t="shared" si="28"/>
        <v>0</v>
      </c>
    </row>
    <row r="158" spans="2:20" x14ac:dyDescent="0.2">
      <c r="B158" s="171"/>
      <c r="D158" s="171"/>
      <c r="F158" s="158">
        <v>147</v>
      </c>
      <c r="G158" s="249">
        <f t="shared" si="29"/>
        <v>48121</v>
      </c>
      <c r="H158" s="158">
        <f t="shared" si="33"/>
        <v>30</v>
      </c>
      <c r="I158" s="254">
        <f>VLOOKUP(G158,'Прогноз переменной ставки'!$B$5:$E$304,4,1)</f>
        <v>9.9000000000000005E-2</v>
      </c>
      <c r="J158" s="164">
        <f t="shared" si="30"/>
        <v>0</v>
      </c>
      <c r="K158" s="164">
        <f t="shared" si="31"/>
        <v>0</v>
      </c>
      <c r="L158" s="164">
        <f t="shared" si="34"/>
        <v>0</v>
      </c>
      <c r="M158" s="164">
        <f t="shared" si="34"/>
        <v>0</v>
      </c>
      <c r="N158" s="164">
        <f t="shared" si="32"/>
        <v>0</v>
      </c>
      <c r="O158" s="164">
        <f t="shared" si="24"/>
        <v>0</v>
      </c>
      <c r="P158" s="164">
        <f t="shared" si="25"/>
        <v>0</v>
      </c>
      <c r="Q158" s="164">
        <f t="shared" si="26"/>
        <v>0</v>
      </c>
      <c r="R158" s="164">
        <f t="shared" si="35"/>
        <v>0</v>
      </c>
      <c r="S158" s="164">
        <f t="shared" si="27"/>
        <v>0</v>
      </c>
      <c r="T158" s="164">
        <f t="shared" si="28"/>
        <v>0</v>
      </c>
    </row>
    <row r="159" spans="2:20" x14ac:dyDescent="0.2">
      <c r="B159" s="171"/>
      <c r="D159" s="171"/>
      <c r="F159" s="158">
        <v>148</v>
      </c>
      <c r="G159" s="249">
        <f t="shared" si="29"/>
        <v>48152</v>
      </c>
      <c r="H159" s="158">
        <f t="shared" si="33"/>
        <v>31</v>
      </c>
      <c r="I159" s="254">
        <f>VLOOKUP(G159,'Прогноз переменной ставки'!$B$5:$E$304,4,1)</f>
        <v>9.9000000000000005E-2</v>
      </c>
      <c r="J159" s="164">
        <f t="shared" si="30"/>
        <v>0</v>
      </c>
      <c r="K159" s="164">
        <f t="shared" si="31"/>
        <v>0</v>
      </c>
      <c r="L159" s="164">
        <f t="shared" si="34"/>
        <v>0</v>
      </c>
      <c r="M159" s="164">
        <f t="shared" si="34"/>
        <v>0</v>
      </c>
      <c r="N159" s="164">
        <f t="shared" si="32"/>
        <v>0</v>
      </c>
      <c r="O159" s="164">
        <f t="shared" si="24"/>
        <v>0</v>
      </c>
      <c r="P159" s="164">
        <f t="shared" si="25"/>
        <v>0</v>
      </c>
      <c r="Q159" s="164">
        <f t="shared" si="26"/>
        <v>0</v>
      </c>
      <c r="R159" s="164">
        <f t="shared" si="35"/>
        <v>0</v>
      </c>
      <c r="S159" s="164">
        <f t="shared" si="27"/>
        <v>0</v>
      </c>
      <c r="T159" s="164">
        <f t="shared" si="28"/>
        <v>0</v>
      </c>
    </row>
    <row r="160" spans="2:20" x14ac:dyDescent="0.2">
      <c r="B160" s="171"/>
      <c r="D160" s="171"/>
      <c r="F160" s="158">
        <v>149</v>
      </c>
      <c r="G160" s="249">
        <f t="shared" si="29"/>
        <v>48182</v>
      </c>
      <c r="H160" s="158">
        <f t="shared" si="33"/>
        <v>30</v>
      </c>
      <c r="I160" s="254">
        <f>VLOOKUP(G160,'Прогноз переменной ставки'!$B$5:$E$304,4,1)</f>
        <v>9.9000000000000005E-2</v>
      </c>
      <c r="J160" s="164">
        <f t="shared" si="30"/>
        <v>0</v>
      </c>
      <c r="K160" s="164">
        <f t="shared" si="31"/>
        <v>0</v>
      </c>
      <c r="L160" s="164">
        <f t="shared" si="34"/>
        <v>0</v>
      </c>
      <c r="M160" s="164">
        <f t="shared" si="34"/>
        <v>0</v>
      </c>
      <c r="N160" s="164">
        <f t="shared" si="32"/>
        <v>0</v>
      </c>
      <c r="O160" s="164">
        <f t="shared" si="24"/>
        <v>0</v>
      </c>
      <c r="P160" s="164">
        <f t="shared" si="25"/>
        <v>0</v>
      </c>
      <c r="Q160" s="164">
        <f t="shared" si="26"/>
        <v>0</v>
      </c>
      <c r="R160" s="164">
        <f t="shared" si="35"/>
        <v>0</v>
      </c>
      <c r="S160" s="164">
        <f t="shared" si="27"/>
        <v>0</v>
      </c>
      <c r="T160" s="164">
        <f t="shared" si="28"/>
        <v>0</v>
      </c>
    </row>
    <row r="161" spans="2:20" x14ac:dyDescent="0.2">
      <c r="B161" s="171"/>
      <c r="D161" s="171"/>
      <c r="F161" s="158">
        <v>150</v>
      </c>
      <c r="G161" s="249">
        <f t="shared" si="29"/>
        <v>48213</v>
      </c>
      <c r="H161" s="158">
        <f t="shared" si="33"/>
        <v>31</v>
      </c>
      <c r="I161" s="254">
        <f>VLOOKUP(G161,'Прогноз переменной ставки'!$B$5:$E$304,4,1)</f>
        <v>9.9000000000000005E-2</v>
      </c>
      <c r="J161" s="164">
        <f t="shared" si="30"/>
        <v>0</v>
      </c>
      <c r="K161" s="164">
        <f t="shared" si="31"/>
        <v>0</v>
      </c>
      <c r="L161" s="164">
        <f t="shared" si="34"/>
        <v>0</v>
      </c>
      <c r="M161" s="164">
        <f t="shared" si="34"/>
        <v>0</v>
      </c>
      <c r="N161" s="164">
        <f t="shared" si="32"/>
        <v>0</v>
      </c>
      <c r="O161" s="164">
        <f t="shared" si="24"/>
        <v>0</v>
      </c>
      <c r="P161" s="164">
        <f t="shared" si="25"/>
        <v>0</v>
      </c>
      <c r="Q161" s="164">
        <f t="shared" si="26"/>
        <v>0</v>
      </c>
      <c r="R161" s="164">
        <f t="shared" si="35"/>
        <v>0</v>
      </c>
      <c r="S161" s="164">
        <f t="shared" si="27"/>
        <v>0</v>
      </c>
      <c r="T161" s="164">
        <f t="shared" si="28"/>
        <v>0</v>
      </c>
    </row>
    <row r="162" spans="2:20" x14ac:dyDescent="0.2">
      <c r="B162" s="171"/>
      <c r="D162" s="171"/>
      <c r="F162" s="158">
        <v>151</v>
      </c>
      <c r="G162" s="249">
        <f t="shared" si="29"/>
        <v>48244</v>
      </c>
      <c r="H162" s="158">
        <f t="shared" si="33"/>
        <v>31</v>
      </c>
      <c r="I162" s="254">
        <f>VLOOKUP(G162,'Прогноз переменной ставки'!$B$5:$E$304,4,1)</f>
        <v>9.9000000000000005E-2</v>
      </c>
      <c r="J162" s="164">
        <f t="shared" si="30"/>
        <v>0</v>
      </c>
      <c r="K162" s="164">
        <f t="shared" si="31"/>
        <v>0</v>
      </c>
      <c r="L162" s="164">
        <f t="shared" si="34"/>
        <v>0</v>
      </c>
      <c r="M162" s="164">
        <f t="shared" si="34"/>
        <v>0</v>
      </c>
      <c r="N162" s="164">
        <f t="shared" si="32"/>
        <v>0</v>
      </c>
      <c r="O162" s="164">
        <f t="shared" si="24"/>
        <v>0</v>
      </c>
      <c r="P162" s="164">
        <f t="shared" si="25"/>
        <v>0</v>
      </c>
      <c r="Q162" s="164">
        <f t="shared" si="26"/>
        <v>0</v>
      </c>
      <c r="R162" s="164">
        <f t="shared" si="35"/>
        <v>0</v>
      </c>
      <c r="S162" s="164">
        <f t="shared" si="27"/>
        <v>0</v>
      </c>
      <c r="T162" s="164">
        <f t="shared" si="28"/>
        <v>0</v>
      </c>
    </row>
    <row r="163" spans="2:20" x14ac:dyDescent="0.2">
      <c r="B163" s="171"/>
      <c r="D163" s="171"/>
      <c r="F163" s="158">
        <v>152</v>
      </c>
      <c r="G163" s="249">
        <f t="shared" si="29"/>
        <v>48273</v>
      </c>
      <c r="H163" s="158">
        <f t="shared" si="33"/>
        <v>29</v>
      </c>
      <c r="I163" s="254">
        <f>VLOOKUP(G163,'Прогноз переменной ставки'!$B$5:$E$304,4,1)</f>
        <v>9.9000000000000005E-2</v>
      </c>
      <c r="J163" s="164">
        <f t="shared" si="30"/>
        <v>0</v>
      </c>
      <c r="K163" s="164">
        <f t="shared" si="31"/>
        <v>0</v>
      </c>
      <c r="L163" s="164">
        <f t="shared" si="34"/>
        <v>0</v>
      </c>
      <c r="M163" s="164">
        <f t="shared" si="34"/>
        <v>0</v>
      </c>
      <c r="N163" s="164">
        <f t="shared" si="32"/>
        <v>0</v>
      </c>
      <c r="O163" s="164">
        <f t="shared" si="24"/>
        <v>0</v>
      </c>
      <c r="P163" s="164">
        <f t="shared" si="25"/>
        <v>0</v>
      </c>
      <c r="Q163" s="164">
        <f t="shared" si="26"/>
        <v>0</v>
      </c>
      <c r="R163" s="164">
        <f t="shared" si="35"/>
        <v>0</v>
      </c>
      <c r="S163" s="164">
        <f t="shared" si="27"/>
        <v>0</v>
      </c>
      <c r="T163" s="164">
        <f t="shared" si="28"/>
        <v>0</v>
      </c>
    </row>
    <row r="164" spans="2:20" x14ac:dyDescent="0.2">
      <c r="B164" s="171"/>
      <c r="D164" s="171"/>
      <c r="F164" s="158">
        <v>153</v>
      </c>
      <c r="G164" s="249">
        <f t="shared" si="29"/>
        <v>48304</v>
      </c>
      <c r="H164" s="158">
        <f t="shared" si="33"/>
        <v>31</v>
      </c>
      <c r="I164" s="254">
        <f>VLOOKUP(G164,'Прогноз переменной ставки'!$B$5:$E$304,4,1)</f>
        <v>9.9000000000000005E-2</v>
      </c>
      <c r="J164" s="164">
        <f t="shared" si="30"/>
        <v>0</v>
      </c>
      <c r="K164" s="164">
        <f t="shared" si="31"/>
        <v>0</v>
      </c>
      <c r="L164" s="164">
        <f t="shared" si="34"/>
        <v>0</v>
      </c>
      <c r="M164" s="164">
        <f t="shared" si="34"/>
        <v>0</v>
      </c>
      <c r="N164" s="164">
        <f t="shared" si="32"/>
        <v>0</v>
      </c>
      <c r="O164" s="164">
        <f t="shared" si="24"/>
        <v>0</v>
      </c>
      <c r="P164" s="164">
        <f t="shared" si="25"/>
        <v>0</v>
      </c>
      <c r="Q164" s="164">
        <f t="shared" si="26"/>
        <v>0</v>
      </c>
      <c r="R164" s="164">
        <f t="shared" si="35"/>
        <v>0</v>
      </c>
      <c r="S164" s="164">
        <f t="shared" si="27"/>
        <v>0</v>
      </c>
      <c r="T164" s="164">
        <f t="shared" si="28"/>
        <v>0</v>
      </c>
    </row>
    <row r="165" spans="2:20" x14ac:dyDescent="0.2">
      <c r="B165" s="171"/>
      <c r="D165" s="171"/>
      <c r="F165" s="158">
        <v>154</v>
      </c>
      <c r="G165" s="249">
        <f t="shared" si="29"/>
        <v>48334</v>
      </c>
      <c r="H165" s="158">
        <f t="shared" si="33"/>
        <v>30</v>
      </c>
      <c r="I165" s="254">
        <f>VLOOKUP(G165,'Прогноз переменной ставки'!$B$5:$E$304,4,1)</f>
        <v>9.9000000000000005E-2</v>
      </c>
      <c r="J165" s="164">
        <f t="shared" si="30"/>
        <v>0</v>
      </c>
      <c r="K165" s="164">
        <f t="shared" si="31"/>
        <v>0</v>
      </c>
      <c r="L165" s="164">
        <f t="shared" si="34"/>
        <v>0</v>
      </c>
      <c r="M165" s="164">
        <f t="shared" si="34"/>
        <v>0</v>
      </c>
      <c r="N165" s="164">
        <f t="shared" si="32"/>
        <v>0</v>
      </c>
      <c r="O165" s="164">
        <f t="shared" si="24"/>
        <v>0</v>
      </c>
      <c r="P165" s="164">
        <f t="shared" si="25"/>
        <v>0</v>
      </c>
      <c r="Q165" s="164">
        <f t="shared" si="26"/>
        <v>0</v>
      </c>
      <c r="R165" s="164">
        <f t="shared" si="35"/>
        <v>0</v>
      </c>
      <c r="S165" s="164">
        <f t="shared" si="27"/>
        <v>0</v>
      </c>
      <c r="T165" s="164">
        <f t="shared" si="28"/>
        <v>0</v>
      </c>
    </row>
    <row r="166" spans="2:20" x14ac:dyDescent="0.2">
      <c r="B166" s="171"/>
      <c r="D166" s="171"/>
      <c r="F166" s="158">
        <v>155</v>
      </c>
      <c r="G166" s="249">
        <f t="shared" si="29"/>
        <v>48365</v>
      </c>
      <c r="H166" s="158">
        <f t="shared" si="33"/>
        <v>31</v>
      </c>
      <c r="I166" s="254">
        <f>VLOOKUP(G166,'Прогноз переменной ставки'!$B$5:$E$304,4,1)</f>
        <v>9.9000000000000005E-2</v>
      </c>
      <c r="J166" s="164">
        <f t="shared" si="30"/>
        <v>0</v>
      </c>
      <c r="K166" s="164">
        <f t="shared" si="31"/>
        <v>0</v>
      </c>
      <c r="L166" s="164">
        <f t="shared" si="34"/>
        <v>0</v>
      </c>
      <c r="M166" s="164">
        <f t="shared" si="34"/>
        <v>0</v>
      </c>
      <c r="N166" s="164">
        <f t="shared" si="32"/>
        <v>0</v>
      </c>
      <c r="O166" s="164">
        <f t="shared" si="24"/>
        <v>0</v>
      </c>
      <c r="P166" s="164">
        <f t="shared" si="25"/>
        <v>0</v>
      </c>
      <c r="Q166" s="164">
        <f t="shared" si="26"/>
        <v>0</v>
      </c>
      <c r="R166" s="164">
        <f t="shared" si="35"/>
        <v>0</v>
      </c>
      <c r="S166" s="164">
        <f t="shared" si="27"/>
        <v>0</v>
      </c>
      <c r="T166" s="164">
        <f t="shared" si="28"/>
        <v>0</v>
      </c>
    </row>
    <row r="167" spans="2:20" x14ac:dyDescent="0.2">
      <c r="B167" s="171"/>
      <c r="D167" s="171"/>
      <c r="F167" s="158">
        <v>156</v>
      </c>
      <c r="G167" s="249">
        <f t="shared" si="29"/>
        <v>48395</v>
      </c>
      <c r="H167" s="158">
        <f t="shared" si="33"/>
        <v>30</v>
      </c>
      <c r="I167" s="254">
        <f>VLOOKUP(G167,'Прогноз переменной ставки'!$B$5:$E$304,4,1)</f>
        <v>9.9000000000000005E-2</v>
      </c>
      <c r="J167" s="164">
        <f t="shared" si="30"/>
        <v>0</v>
      </c>
      <c r="K167" s="164">
        <f t="shared" si="31"/>
        <v>0</v>
      </c>
      <c r="L167" s="164">
        <f t="shared" si="34"/>
        <v>0</v>
      </c>
      <c r="M167" s="164">
        <f t="shared" si="34"/>
        <v>0</v>
      </c>
      <c r="N167" s="164">
        <f t="shared" si="32"/>
        <v>0</v>
      </c>
      <c r="O167" s="164">
        <f t="shared" si="24"/>
        <v>0</v>
      </c>
      <c r="P167" s="164">
        <f t="shared" si="25"/>
        <v>0</v>
      </c>
      <c r="Q167" s="164">
        <f t="shared" si="26"/>
        <v>0</v>
      </c>
      <c r="R167" s="164">
        <f t="shared" si="35"/>
        <v>0</v>
      </c>
      <c r="S167" s="164">
        <f t="shared" si="27"/>
        <v>0</v>
      </c>
      <c r="T167" s="164">
        <f t="shared" si="28"/>
        <v>0</v>
      </c>
    </row>
    <row r="168" spans="2:20" x14ac:dyDescent="0.2">
      <c r="B168" s="171"/>
      <c r="D168" s="171"/>
      <c r="F168" s="158">
        <v>157</v>
      </c>
      <c r="G168" s="249">
        <f t="shared" si="29"/>
        <v>48426</v>
      </c>
      <c r="H168" s="158">
        <f t="shared" si="33"/>
        <v>31</v>
      </c>
      <c r="I168" s="254">
        <f>VLOOKUP(G168,'Прогноз переменной ставки'!$B$5:$E$304,4,1)</f>
        <v>9.9000000000000005E-2</v>
      </c>
      <c r="J168" s="164">
        <f t="shared" si="30"/>
        <v>0</v>
      </c>
      <c r="K168" s="164">
        <f t="shared" si="31"/>
        <v>0</v>
      </c>
      <c r="L168" s="164">
        <f t="shared" si="34"/>
        <v>0</v>
      </c>
      <c r="M168" s="164">
        <f t="shared" si="34"/>
        <v>0</v>
      </c>
      <c r="N168" s="164">
        <f t="shared" si="32"/>
        <v>0</v>
      </c>
      <c r="O168" s="164">
        <f t="shared" si="24"/>
        <v>0</v>
      </c>
      <c r="P168" s="164">
        <f t="shared" si="25"/>
        <v>0</v>
      </c>
      <c r="Q168" s="164">
        <f t="shared" si="26"/>
        <v>0</v>
      </c>
      <c r="R168" s="164">
        <f t="shared" si="35"/>
        <v>0</v>
      </c>
      <c r="S168" s="164">
        <f t="shared" si="27"/>
        <v>0</v>
      </c>
      <c r="T168" s="164">
        <f t="shared" si="28"/>
        <v>0</v>
      </c>
    </row>
    <row r="169" spans="2:20" x14ac:dyDescent="0.2">
      <c r="B169" s="171"/>
      <c r="D169" s="171"/>
      <c r="F169" s="158">
        <v>158</v>
      </c>
      <c r="G169" s="249">
        <f t="shared" si="29"/>
        <v>48457</v>
      </c>
      <c r="H169" s="158">
        <f t="shared" si="33"/>
        <v>31</v>
      </c>
      <c r="I169" s="254">
        <f>VLOOKUP(G169,'Прогноз переменной ставки'!$B$5:$E$304,4,1)</f>
        <v>9.9000000000000005E-2</v>
      </c>
      <c r="J169" s="164">
        <f t="shared" si="30"/>
        <v>0</v>
      </c>
      <c r="K169" s="164">
        <f t="shared" si="31"/>
        <v>0</v>
      </c>
      <c r="L169" s="164">
        <f t="shared" si="34"/>
        <v>0</v>
      </c>
      <c r="M169" s="164">
        <f t="shared" si="34"/>
        <v>0</v>
      </c>
      <c r="N169" s="164">
        <f t="shared" si="32"/>
        <v>0</v>
      </c>
      <c r="O169" s="164">
        <f t="shared" si="24"/>
        <v>0</v>
      </c>
      <c r="P169" s="164">
        <f t="shared" si="25"/>
        <v>0</v>
      </c>
      <c r="Q169" s="164">
        <f t="shared" si="26"/>
        <v>0</v>
      </c>
      <c r="R169" s="164">
        <f t="shared" si="35"/>
        <v>0</v>
      </c>
      <c r="S169" s="164">
        <f t="shared" si="27"/>
        <v>0</v>
      </c>
      <c r="T169" s="164">
        <f t="shared" si="28"/>
        <v>0</v>
      </c>
    </row>
    <row r="170" spans="2:20" x14ac:dyDescent="0.2">
      <c r="B170" s="171"/>
      <c r="D170" s="171"/>
      <c r="F170" s="158">
        <v>159</v>
      </c>
      <c r="G170" s="249">
        <f t="shared" si="29"/>
        <v>48487</v>
      </c>
      <c r="H170" s="158">
        <f t="shared" si="33"/>
        <v>30</v>
      </c>
      <c r="I170" s="254">
        <f>VLOOKUP(G170,'Прогноз переменной ставки'!$B$5:$E$304,4,1)</f>
        <v>9.9000000000000005E-2</v>
      </c>
      <c r="J170" s="164">
        <f t="shared" si="30"/>
        <v>0</v>
      </c>
      <c r="K170" s="164">
        <f t="shared" si="31"/>
        <v>0</v>
      </c>
      <c r="L170" s="164">
        <f t="shared" si="34"/>
        <v>0</v>
      </c>
      <c r="M170" s="164">
        <f t="shared" si="34"/>
        <v>0</v>
      </c>
      <c r="N170" s="164">
        <f t="shared" si="32"/>
        <v>0</v>
      </c>
      <c r="O170" s="164">
        <f t="shared" si="24"/>
        <v>0</v>
      </c>
      <c r="P170" s="164">
        <f t="shared" si="25"/>
        <v>0</v>
      </c>
      <c r="Q170" s="164">
        <f t="shared" si="26"/>
        <v>0</v>
      </c>
      <c r="R170" s="164">
        <f t="shared" si="35"/>
        <v>0</v>
      </c>
      <c r="S170" s="164">
        <f t="shared" si="27"/>
        <v>0</v>
      </c>
      <c r="T170" s="164">
        <f t="shared" si="28"/>
        <v>0</v>
      </c>
    </row>
    <row r="171" spans="2:20" x14ac:dyDescent="0.2">
      <c r="B171" s="171"/>
      <c r="D171" s="171"/>
      <c r="F171" s="158">
        <v>160</v>
      </c>
      <c r="G171" s="249">
        <f t="shared" si="29"/>
        <v>48518</v>
      </c>
      <c r="H171" s="158">
        <f t="shared" si="33"/>
        <v>31</v>
      </c>
      <c r="I171" s="254">
        <f>VLOOKUP(G171,'Прогноз переменной ставки'!$B$5:$E$304,4,1)</f>
        <v>9.9000000000000005E-2</v>
      </c>
      <c r="J171" s="164">
        <f t="shared" si="30"/>
        <v>0</v>
      </c>
      <c r="K171" s="164">
        <f t="shared" si="31"/>
        <v>0</v>
      </c>
      <c r="L171" s="164">
        <f t="shared" si="34"/>
        <v>0</v>
      </c>
      <c r="M171" s="164">
        <f t="shared" si="34"/>
        <v>0</v>
      </c>
      <c r="N171" s="164">
        <f t="shared" si="32"/>
        <v>0</v>
      </c>
      <c r="O171" s="164">
        <f t="shared" si="24"/>
        <v>0</v>
      </c>
      <c r="P171" s="164">
        <f t="shared" si="25"/>
        <v>0</v>
      </c>
      <c r="Q171" s="164">
        <f t="shared" si="26"/>
        <v>0</v>
      </c>
      <c r="R171" s="164">
        <f t="shared" si="35"/>
        <v>0</v>
      </c>
      <c r="S171" s="164">
        <f t="shared" si="27"/>
        <v>0</v>
      </c>
      <c r="T171" s="164">
        <f t="shared" si="28"/>
        <v>0</v>
      </c>
    </row>
    <row r="172" spans="2:20" x14ac:dyDescent="0.2">
      <c r="B172" s="171"/>
      <c r="D172" s="171"/>
      <c r="F172" s="158">
        <v>161</v>
      </c>
      <c r="G172" s="249">
        <f t="shared" si="29"/>
        <v>48548</v>
      </c>
      <c r="H172" s="158">
        <f t="shared" si="33"/>
        <v>30</v>
      </c>
      <c r="I172" s="254">
        <f>VLOOKUP(G172,'Прогноз переменной ставки'!$B$5:$E$304,4,1)</f>
        <v>9.9000000000000005E-2</v>
      </c>
      <c r="J172" s="164">
        <f t="shared" si="30"/>
        <v>0</v>
      </c>
      <c r="K172" s="164">
        <f t="shared" si="31"/>
        <v>0</v>
      </c>
      <c r="L172" s="164">
        <f t="shared" si="34"/>
        <v>0</v>
      </c>
      <c r="M172" s="164">
        <f t="shared" si="34"/>
        <v>0</v>
      </c>
      <c r="N172" s="164">
        <f t="shared" si="32"/>
        <v>0</v>
      </c>
      <c r="O172" s="164">
        <f t="shared" si="24"/>
        <v>0</v>
      </c>
      <c r="P172" s="164">
        <f t="shared" si="25"/>
        <v>0</v>
      </c>
      <c r="Q172" s="164">
        <f t="shared" si="26"/>
        <v>0</v>
      </c>
      <c r="R172" s="164">
        <f t="shared" si="35"/>
        <v>0</v>
      </c>
      <c r="S172" s="164">
        <f t="shared" si="27"/>
        <v>0</v>
      </c>
      <c r="T172" s="164">
        <f t="shared" si="28"/>
        <v>0</v>
      </c>
    </row>
    <row r="173" spans="2:20" x14ac:dyDescent="0.2">
      <c r="B173" s="171"/>
      <c r="D173" s="171"/>
      <c r="F173" s="158">
        <v>162</v>
      </c>
      <c r="G173" s="249">
        <f t="shared" si="29"/>
        <v>48579</v>
      </c>
      <c r="H173" s="158">
        <f t="shared" si="33"/>
        <v>31</v>
      </c>
      <c r="I173" s="254">
        <f>VLOOKUP(G173,'Прогноз переменной ставки'!$B$5:$E$304,4,1)</f>
        <v>9.9000000000000005E-2</v>
      </c>
      <c r="J173" s="164">
        <f t="shared" si="30"/>
        <v>0</v>
      </c>
      <c r="K173" s="164">
        <f t="shared" si="31"/>
        <v>0</v>
      </c>
      <c r="L173" s="164">
        <f t="shared" si="34"/>
        <v>0</v>
      </c>
      <c r="M173" s="164">
        <f t="shared" si="34"/>
        <v>0</v>
      </c>
      <c r="N173" s="164">
        <f t="shared" si="32"/>
        <v>0</v>
      </c>
      <c r="O173" s="164">
        <f t="shared" si="24"/>
        <v>0</v>
      </c>
      <c r="P173" s="164">
        <f t="shared" si="25"/>
        <v>0</v>
      </c>
      <c r="Q173" s="164">
        <f t="shared" si="26"/>
        <v>0</v>
      </c>
      <c r="R173" s="164">
        <f t="shared" si="35"/>
        <v>0</v>
      </c>
      <c r="S173" s="164">
        <f t="shared" si="27"/>
        <v>0</v>
      </c>
      <c r="T173" s="164">
        <f t="shared" si="28"/>
        <v>0</v>
      </c>
    </row>
    <row r="174" spans="2:20" x14ac:dyDescent="0.2">
      <c r="B174" s="171"/>
      <c r="D174" s="171"/>
      <c r="F174" s="158">
        <v>163</v>
      </c>
      <c r="G174" s="249">
        <f t="shared" si="29"/>
        <v>48610</v>
      </c>
      <c r="H174" s="158">
        <f t="shared" si="33"/>
        <v>31</v>
      </c>
      <c r="I174" s="254">
        <f>VLOOKUP(G174,'Прогноз переменной ставки'!$B$5:$E$304,4,1)</f>
        <v>9.9000000000000005E-2</v>
      </c>
      <c r="J174" s="164">
        <f t="shared" si="30"/>
        <v>0</v>
      </c>
      <c r="K174" s="164">
        <f t="shared" si="31"/>
        <v>0</v>
      </c>
      <c r="L174" s="164">
        <f t="shared" si="34"/>
        <v>0</v>
      </c>
      <c r="M174" s="164">
        <f t="shared" si="34"/>
        <v>0</v>
      </c>
      <c r="N174" s="164">
        <f t="shared" si="32"/>
        <v>0</v>
      </c>
      <c r="O174" s="164">
        <f t="shared" si="24"/>
        <v>0</v>
      </c>
      <c r="P174" s="164">
        <f t="shared" si="25"/>
        <v>0</v>
      </c>
      <c r="Q174" s="164">
        <f t="shared" si="26"/>
        <v>0</v>
      </c>
      <c r="R174" s="164">
        <f t="shared" si="35"/>
        <v>0</v>
      </c>
      <c r="S174" s="164">
        <f t="shared" si="27"/>
        <v>0</v>
      </c>
      <c r="T174" s="164">
        <f t="shared" si="28"/>
        <v>0</v>
      </c>
    </row>
    <row r="175" spans="2:20" x14ac:dyDescent="0.2">
      <c r="B175" s="171"/>
      <c r="D175" s="171"/>
      <c r="F175" s="158">
        <v>164</v>
      </c>
      <c r="G175" s="249">
        <f t="shared" si="29"/>
        <v>48638</v>
      </c>
      <c r="H175" s="158">
        <f t="shared" si="33"/>
        <v>28</v>
      </c>
      <c r="I175" s="254">
        <f>VLOOKUP(G175,'Прогноз переменной ставки'!$B$5:$E$304,4,1)</f>
        <v>9.9000000000000005E-2</v>
      </c>
      <c r="J175" s="164">
        <f t="shared" si="30"/>
        <v>0</v>
      </c>
      <c r="K175" s="164">
        <f t="shared" si="31"/>
        <v>0</v>
      </c>
      <c r="L175" s="164">
        <f t="shared" si="34"/>
        <v>0</v>
      </c>
      <c r="M175" s="164">
        <f t="shared" si="34"/>
        <v>0</v>
      </c>
      <c r="N175" s="164">
        <f t="shared" si="32"/>
        <v>0</v>
      </c>
      <c r="O175" s="164">
        <f t="shared" si="24"/>
        <v>0</v>
      </c>
      <c r="P175" s="164">
        <f t="shared" si="25"/>
        <v>0</v>
      </c>
      <c r="Q175" s="164">
        <f t="shared" si="26"/>
        <v>0</v>
      </c>
      <c r="R175" s="164">
        <f t="shared" si="35"/>
        <v>0</v>
      </c>
      <c r="S175" s="164">
        <f t="shared" si="27"/>
        <v>0</v>
      </c>
      <c r="T175" s="164">
        <f t="shared" si="28"/>
        <v>0</v>
      </c>
    </row>
    <row r="176" spans="2:20" x14ac:dyDescent="0.2">
      <c r="B176" s="171"/>
      <c r="D176" s="171"/>
      <c r="F176" s="158">
        <v>165</v>
      </c>
      <c r="G176" s="249">
        <f t="shared" si="29"/>
        <v>48669</v>
      </c>
      <c r="H176" s="158">
        <f t="shared" si="33"/>
        <v>31</v>
      </c>
      <c r="I176" s="254">
        <f>VLOOKUP(G176,'Прогноз переменной ставки'!$B$5:$E$304,4,1)</f>
        <v>9.9000000000000005E-2</v>
      </c>
      <c r="J176" s="164">
        <f t="shared" si="30"/>
        <v>0</v>
      </c>
      <c r="K176" s="164">
        <f t="shared" si="31"/>
        <v>0</v>
      </c>
      <c r="L176" s="164">
        <f t="shared" si="34"/>
        <v>0</v>
      </c>
      <c r="M176" s="164">
        <f t="shared" si="34"/>
        <v>0</v>
      </c>
      <c r="N176" s="164">
        <f t="shared" si="32"/>
        <v>0</v>
      </c>
      <c r="O176" s="164">
        <f t="shared" si="24"/>
        <v>0</v>
      </c>
      <c r="P176" s="164">
        <f t="shared" si="25"/>
        <v>0</v>
      </c>
      <c r="Q176" s="164">
        <f t="shared" si="26"/>
        <v>0</v>
      </c>
      <c r="R176" s="164">
        <f t="shared" si="35"/>
        <v>0</v>
      </c>
      <c r="S176" s="164">
        <f t="shared" si="27"/>
        <v>0</v>
      </c>
      <c r="T176" s="164">
        <f t="shared" si="28"/>
        <v>0</v>
      </c>
    </row>
    <row r="177" spans="2:20" x14ac:dyDescent="0.2">
      <c r="B177" s="171"/>
      <c r="D177" s="171"/>
      <c r="F177" s="158">
        <v>166</v>
      </c>
      <c r="G177" s="249">
        <f t="shared" si="29"/>
        <v>48699</v>
      </c>
      <c r="H177" s="158">
        <f t="shared" si="33"/>
        <v>30</v>
      </c>
      <c r="I177" s="254">
        <f>VLOOKUP(G177,'Прогноз переменной ставки'!$B$5:$E$304,4,1)</f>
        <v>9.9000000000000005E-2</v>
      </c>
      <c r="J177" s="164">
        <f t="shared" si="30"/>
        <v>0</v>
      </c>
      <c r="K177" s="164">
        <f t="shared" si="31"/>
        <v>0</v>
      </c>
      <c r="L177" s="164">
        <f t="shared" si="34"/>
        <v>0</v>
      </c>
      <c r="M177" s="164">
        <f t="shared" si="34"/>
        <v>0</v>
      </c>
      <c r="N177" s="164">
        <f t="shared" si="32"/>
        <v>0</v>
      </c>
      <c r="O177" s="164">
        <f t="shared" si="24"/>
        <v>0</v>
      </c>
      <c r="P177" s="164">
        <f t="shared" si="25"/>
        <v>0</v>
      </c>
      <c r="Q177" s="164">
        <f t="shared" si="26"/>
        <v>0</v>
      </c>
      <c r="R177" s="164">
        <f t="shared" si="35"/>
        <v>0</v>
      </c>
      <c r="S177" s="164">
        <f t="shared" si="27"/>
        <v>0</v>
      </c>
      <c r="T177" s="164">
        <f t="shared" si="28"/>
        <v>0</v>
      </c>
    </row>
    <row r="178" spans="2:20" x14ac:dyDescent="0.2">
      <c r="B178" s="171"/>
      <c r="D178" s="171"/>
      <c r="F178" s="158">
        <v>167</v>
      </c>
      <c r="G178" s="249">
        <f t="shared" si="29"/>
        <v>48730</v>
      </c>
      <c r="H178" s="158">
        <f t="shared" si="33"/>
        <v>31</v>
      </c>
      <c r="I178" s="254">
        <f>VLOOKUP(G178,'Прогноз переменной ставки'!$B$5:$E$304,4,1)</f>
        <v>9.9000000000000005E-2</v>
      </c>
      <c r="J178" s="164">
        <f t="shared" si="30"/>
        <v>0</v>
      </c>
      <c r="K178" s="164">
        <f t="shared" si="31"/>
        <v>0</v>
      </c>
      <c r="L178" s="164">
        <f t="shared" si="34"/>
        <v>0</v>
      </c>
      <c r="M178" s="164">
        <f t="shared" si="34"/>
        <v>0</v>
      </c>
      <c r="N178" s="164">
        <f t="shared" si="32"/>
        <v>0</v>
      </c>
      <c r="O178" s="164">
        <f t="shared" si="24"/>
        <v>0</v>
      </c>
      <c r="P178" s="164">
        <f t="shared" si="25"/>
        <v>0</v>
      </c>
      <c r="Q178" s="164">
        <f t="shared" si="26"/>
        <v>0</v>
      </c>
      <c r="R178" s="164">
        <f t="shared" si="35"/>
        <v>0</v>
      </c>
      <c r="S178" s="164">
        <f t="shared" si="27"/>
        <v>0</v>
      </c>
      <c r="T178" s="164">
        <f t="shared" si="28"/>
        <v>0</v>
      </c>
    </row>
    <row r="179" spans="2:20" x14ac:dyDescent="0.2">
      <c r="B179" s="171"/>
      <c r="D179" s="171"/>
      <c r="F179" s="158">
        <v>168</v>
      </c>
      <c r="G179" s="249">
        <f t="shared" si="29"/>
        <v>48760</v>
      </c>
      <c r="H179" s="158">
        <f t="shared" si="33"/>
        <v>30</v>
      </c>
      <c r="I179" s="254">
        <f>VLOOKUP(G179,'Прогноз переменной ставки'!$B$5:$E$304,4,1)</f>
        <v>9.9000000000000005E-2</v>
      </c>
      <c r="J179" s="164">
        <f t="shared" si="30"/>
        <v>0</v>
      </c>
      <c r="K179" s="164">
        <f t="shared" si="31"/>
        <v>0</v>
      </c>
      <c r="L179" s="164">
        <f t="shared" si="34"/>
        <v>0</v>
      </c>
      <c r="M179" s="164">
        <f t="shared" si="34"/>
        <v>0</v>
      </c>
      <c r="N179" s="164">
        <f t="shared" si="32"/>
        <v>0</v>
      </c>
      <c r="O179" s="164">
        <f t="shared" si="24"/>
        <v>0</v>
      </c>
      <c r="P179" s="164">
        <f t="shared" si="25"/>
        <v>0</v>
      </c>
      <c r="Q179" s="164">
        <f t="shared" si="26"/>
        <v>0</v>
      </c>
      <c r="R179" s="164">
        <f t="shared" si="35"/>
        <v>0</v>
      </c>
      <c r="S179" s="164">
        <f t="shared" si="27"/>
        <v>0</v>
      </c>
      <c r="T179" s="164">
        <f t="shared" si="28"/>
        <v>0</v>
      </c>
    </row>
    <row r="180" spans="2:20" x14ac:dyDescent="0.2">
      <c r="B180" s="171"/>
      <c r="D180" s="171"/>
      <c r="F180" s="158">
        <v>169</v>
      </c>
      <c r="G180" s="249">
        <f t="shared" si="29"/>
        <v>48791</v>
      </c>
      <c r="H180" s="158">
        <f t="shared" si="33"/>
        <v>31</v>
      </c>
      <c r="I180" s="254">
        <f>VLOOKUP(G180,'Прогноз переменной ставки'!$B$5:$E$304,4,1)</f>
        <v>9.9000000000000005E-2</v>
      </c>
      <c r="J180" s="164">
        <f t="shared" si="30"/>
        <v>0</v>
      </c>
      <c r="K180" s="164">
        <f t="shared" si="31"/>
        <v>0</v>
      </c>
      <c r="L180" s="164">
        <f t="shared" si="34"/>
        <v>0</v>
      </c>
      <c r="M180" s="164">
        <f t="shared" si="34"/>
        <v>0</v>
      </c>
      <c r="N180" s="164">
        <f t="shared" si="32"/>
        <v>0</v>
      </c>
      <c r="O180" s="164">
        <f t="shared" si="24"/>
        <v>0</v>
      </c>
      <c r="P180" s="164">
        <f t="shared" si="25"/>
        <v>0</v>
      </c>
      <c r="Q180" s="164">
        <f t="shared" si="26"/>
        <v>0</v>
      </c>
      <c r="R180" s="164">
        <f t="shared" si="35"/>
        <v>0</v>
      </c>
      <c r="S180" s="164">
        <f t="shared" si="27"/>
        <v>0</v>
      </c>
      <c r="T180" s="164">
        <f t="shared" si="28"/>
        <v>0</v>
      </c>
    </row>
    <row r="181" spans="2:20" x14ac:dyDescent="0.2">
      <c r="B181" s="171"/>
      <c r="D181" s="171"/>
      <c r="F181" s="158">
        <v>170</v>
      </c>
      <c r="G181" s="249">
        <f t="shared" si="29"/>
        <v>48822</v>
      </c>
      <c r="H181" s="158">
        <f t="shared" si="33"/>
        <v>31</v>
      </c>
      <c r="I181" s="254">
        <f>VLOOKUP(G181,'Прогноз переменной ставки'!$B$5:$E$304,4,1)</f>
        <v>9.9000000000000005E-2</v>
      </c>
      <c r="J181" s="164">
        <f t="shared" si="30"/>
        <v>0</v>
      </c>
      <c r="K181" s="164">
        <f t="shared" si="31"/>
        <v>0</v>
      </c>
      <c r="L181" s="164">
        <f t="shared" si="34"/>
        <v>0</v>
      </c>
      <c r="M181" s="164">
        <f t="shared" si="34"/>
        <v>0</v>
      </c>
      <c r="N181" s="164">
        <f t="shared" si="32"/>
        <v>0</v>
      </c>
      <c r="O181" s="164">
        <f t="shared" si="24"/>
        <v>0</v>
      </c>
      <c r="P181" s="164">
        <f t="shared" si="25"/>
        <v>0</v>
      </c>
      <c r="Q181" s="164">
        <f t="shared" si="26"/>
        <v>0</v>
      </c>
      <c r="R181" s="164">
        <f t="shared" si="35"/>
        <v>0</v>
      </c>
      <c r="S181" s="164">
        <f t="shared" si="27"/>
        <v>0</v>
      </c>
      <c r="T181" s="164">
        <f t="shared" si="28"/>
        <v>0</v>
      </c>
    </row>
    <row r="182" spans="2:20" x14ac:dyDescent="0.2">
      <c r="B182" s="171"/>
      <c r="D182" s="171"/>
      <c r="F182" s="158">
        <v>171</v>
      </c>
      <c r="G182" s="249">
        <f t="shared" si="29"/>
        <v>48852</v>
      </c>
      <c r="H182" s="158">
        <f t="shared" si="33"/>
        <v>30</v>
      </c>
      <c r="I182" s="254">
        <f>VLOOKUP(G182,'Прогноз переменной ставки'!$B$5:$E$304,4,1)</f>
        <v>9.9000000000000005E-2</v>
      </c>
      <c r="J182" s="164">
        <f t="shared" si="30"/>
        <v>0</v>
      </c>
      <c r="K182" s="164">
        <f t="shared" si="31"/>
        <v>0</v>
      </c>
      <c r="L182" s="164">
        <f t="shared" si="34"/>
        <v>0</v>
      </c>
      <c r="M182" s="164">
        <f t="shared" si="34"/>
        <v>0</v>
      </c>
      <c r="N182" s="164">
        <f t="shared" si="32"/>
        <v>0</v>
      </c>
      <c r="O182" s="164">
        <f t="shared" si="24"/>
        <v>0</v>
      </c>
      <c r="P182" s="164">
        <f t="shared" si="25"/>
        <v>0</v>
      </c>
      <c r="Q182" s="164">
        <f t="shared" si="26"/>
        <v>0</v>
      </c>
      <c r="R182" s="164">
        <f t="shared" si="35"/>
        <v>0</v>
      </c>
      <c r="S182" s="164">
        <f t="shared" si="27"/>
        <v>0</v>
      </c>
      <c r="T182" s="164">
        <f t="shared" si="28"/>
        <v>0</v>
      </c>
    </row>
    <row r="183" spans="2:20" x14ac:dyDescent="0.2">
      <c r="B183" s="171"/>
      <c r="D183" s="171"/>
      <c r="F183" s="158">
        <v>172</v>
      </c>
      <c r="G183" s="249">
        <f t="shared" si="29"/>
        <v>48883</v>
      </c>
      <c r="H183" s="158">
        <f t="shared" si="33"/>
        <v>31</v>
      </c>
      <c r="I183" s="254">
        <f>VLOOKUP(G183,'Прогноз переменной ставки'!$B$5:$E$304,4,1)</f>
        <v>9.9000000000000005E-2</v>
      </c>
      <c r="J183" s="164">
        <f t="shared" si="30"/>
        <v>0</v>
      </c>
      <c r="K183" s="164">
        <f t="shared" si="31"/>
        <v>0</v>
      </c>
      <c r="L183" s="164">
        <f t="shared" si="34"/>
        <v>0</v>
      </c>
      <c r="M183" s="164">
        <f t="shared" si="34"/>
        <v>0</v>
      </c>
      <c r="N183" s="164">
        <f t="shared" si="32"/>
        <v>0</v>
      </c>
      <c r="O183" s="164">
        <f t="shared" si="24"/>
        <v>0</v>
      </c>
      <c r="P183" s="164">
        <f t="shared" si="25"/>
        <v>0</v>
      </c>
      <c r="Q183" s="164">
        <f t="shared" si="26"/>
        <v>0</v>
      </c>
      <c r="R183" s="164">
        <f t="shared" si="35"/>
        <v>0</v>
      </c>
      <c r="S183" s="164">
        <f t="shared" si="27"/>
        <v>0</v>
      </c>
      <c r="T183" s="164">
        <f t="shared" si="28"/>
        <v>0</v>
      </c>
    </row>
    <row r="184" spans="2:20" x14ac:dyDescent="0.2">
      <c r="B184" s="171"/>
      <c r="D184" s="171"/>
      <c r="F184" s="158">
        <v>173</v>
      </c>
      <c r="G184" s="249">
        <f t="shared" si="29"/>
        <v>48913</v>
      </c>
      <c r="H184" s="158">
        <f t="shared" si="33"/>
        <v>30</v>
      </c>
      <c r="I184" s="254">
        <f>VLOOKUP(G184,'Прогноз переменной ставки'!$B$5:$E$304,4,1)</f>
        <v>9.9000000000000005E-2</v>
      </c>
      <c r="J184" s="164">
        <f t="shared" si="30"/>
        <v>0</v>
      </c>
      <c r="K184" s="164">
        <f t="shared" si="31"/>
        <v>0</v>
      </c>
      <c r="L184" s="164">
        <f t="shared" si="34"/>
        <v>0</v>
      </c>
      <c r="M184" s="164">
        <f t="shared" si="34"/>
        <v>0</v>
      </c>
      <c r="N184" s="164">
        <f t="shared" si="32"/>
        <v>0</v>
      </c>
      <c r="O184" s="164">
        <f t="shared" si="24"/>
        <v>0</v>
      </c>
      <c r="P184" s="164">
        <f t="shared" si="25"/>
        <v>0</v>
      </c>
      <c r="Q184" s="164">
        <f t="shared" si="26"/>
        <v>0</v>
      </c>
      <c r="R184" s="164">
        <f t="shared" si="35"/>
        <v>0</v>
      </c>
      <c r="S184" s="164">
        <f t="shared" si="27"/>
        <v>0</v>
      </c>
      <c r="T184" s="164">
        <f t="shared" si="28"/>
        <v>0</v>
      </c>
    </row>
    <row r="185" spans="2:20" x14ac:dyDescent="0.2">
      <c r="B185" s="171"/>
      <c r="D185" s="171"/>
      <c r="F185" s="158">
        <v>174</v>
      </c>
      <c r="G185" s="249">
        <f t="shared" si="29"/>
        <v>48944</v>
      </c>
      <c r="H185" s="158">
        <f t="shared" si="33"/>
        <v>31</v>
      </c>
      <c r="I185" s="254">
        <f>VLOOKUP(G185,'Прогноз переменной ставки'!$B$5:$E$304,4,1)</f>
        <v>9.9000000000000005E-2</v>
      </c>
      <c r="J185" s="164">
        <f t="shared" si="30"/>
        <v>0</v>
      </c>
      <c r="K185" s="164">
        <f t="shared" si="31"/>
        <v>0</v>
      </c>
      <c r="L185" s="164">
        <f t="shared" si="34"/>
        <v>0</v>
      </c>
      <c r="M185" s="164">
        <f t="shared" si="34"/>
        <v>0</v>
      </c>
      <c r="N185" s="164">
        <f t="shared" si="32"/>
        <v>0</v>
      </c>
      <c r="O185" s="164">
        <f t="shared" si="24"/>
        <v>0</v>
      </c>
      <c r="P185" s="164">
        <f t="shared" si="25"/>
        <v>0</v>
      </c>
      <c r="Q185" s="164">
        <f t="shared" si="26"/>
        <v>0</v>
      </c>
      <c r="R185" s="164">
        <f t="shared" si="35"/>
        <v>0</v>
      </c>
      <c r="S185" s="164">
        <f t="shared" si="27"/>
        <v>0</v>
      </c>
      <c r="T185" s="164">
        <f t="shared" si="28"/>
        <v>0</v>
      </c>
    </row>
    <row r="186" spans="2:20" x14ac:dyDescent="0.2">
      <c r="B186" s="171"/>
      <c r="D186" s="171"/>
      <c r="F186" s="158">
        <v>175</v>
      </c>
      <c r="G186" s="249">
        <f t="shared" si="29"/>
        <v>48975</v>
      </c>
      <c r="H186" s="158">
        <f t="shared" si="33"/>
        <v>31</v>
      </c>
      <c r="I186" s="254">
        <f>VLOOKUP(G186,'Прогноз переменной ставки'!$B$5:$E$304,4,1)</f>
        <v>9.9000000000000005E-2</v>
      </c>
      <c r="J186" s="164">
        <f t="shared" si="30"/>
        <v>0</v>
      </c>
      <c r="K186" s="164">
        <f t="shared" si="31"/>
        <v>0</v>
      </c>
      <c r="L186" s="164">
        <f t="shared" si="34"/>
        <v>0</v>
      </c>
      <c r="M186" s="164">
        <f t="shared" si="34"/>
        <v>0</v>
      </c>
      <c r="N186" s="164">
        <f t="shared" si="32"/>
        <v>0</v>
      </c>
      <c r="O186" s="164">
        <f t="shared" si="24"/>
        <v>0</v>
      </c>
      <c r="P186" s="164">
        <f t="shared" si="25"/>
        <v>0</v>
      </c>
      <c r="Q186" s="164">
        <f t="shared" si="26"/>
        <v>0</v>
      </c>
      <c r="R186" s="164">
        <f t="shared" si="35"/>
        <v>0</v>
      </c>
      <c r="S186" s="164">
        <f t="shared" si="27"/>
        <v>0</v>
      </c>
      <c r="T186" s="164">
        <f t="shared" si="28"/>
        <v>0</v>
      </c>
    </row>
    <row r="187" spans="2:20" x14ac:dyDescent="0.2">
      <c r="B187" s="171"/>
      <c r="D187" s="171"/>
      <c r="F187" s="158">
        <v>176</v>
      </c>
      <c r="G187" s="249">
        <f t="shared" si="29"/>
        <v>49003</v>
      </c>
      <c r="H187" s="158">
        <f t="shared" si="33"/>
        <v>28</v>
      </c>
      <c r="I187" s="254">
        <f>VLOOKUP(G187,'Прогноз переменной ставки'!$B$5:$E$304,4,1)</f>
        <v>9.9000000000000005E-2</v>
      </c>
      <c r="J187" s="164">
        <f t="shared" si="30"/>
        <v>0</v>
      </c>
      <c r="K187" s="164">
        <f t="shared" si="31"/>
        <v>0</v>
      </c>
      <c r="L187" s="164">
        <f t="shared" si="34"/>
        <v>0</v>
      </c>
      <c r="M187" s="164">
        <f t="shared" si="34"/>
        <v>0</v>
      </c>
      <c r="N187" s="164">
        <f t="shared" si="32"/>
        <v>0</v>
      </c>
      <c r="O187" s="164">
        <f t="shared" si="24"/>
        <v>0</v>
      </c>
      <c r="P187" s="164">
        <f t="shared" si="25"/>
        <v>0</v>
      </c>
      <c r="Q187" s="164">
        <f t="shared" si="26"/>
        <v>0</v>
      </c>
      <c r="R187" s="164">
        <f t="shared" si="35"/>
        <v>0</v>
      </c>
      <c r="S187" s="164">
        <f t="shared" si="27"/>
        <v>0</v>
      </c>
      <c r="T187" s="164">
        <f t="shared" si="28"/>
        <v>0</v>
      </c>
    </row>
    <row r="188" spans="2:20" x14ac:dyDescent="0.2">
      <c r="B188" s="171"/>
      <c r="D188" s="171"/>
      <c r="F188" s="158">
        <v>177</v>
      </c>
      <c r="G188" s="249">
        <f t="shared" si="29"/>
        <v>49034</v>
      </c>
      <c r="H188" s="158">
        <f t="shared" si="33"/>
        <v>31</v>
      </c>
      <c r="I188" s="254">
        <f>VLOOKUP(G188,'Прогноз переменной ставки'!$B$5:$E$304,4,1)</f>
        <v>9.9000000000000005E-2</v>
      </c>
      <c r="J188" s="164">
        <f t="shared" si="30"/>
        <v>0</v>
      </c>
      <c r="K188" s="164">
        <f t="shared" si="31"/>
        <v>0</v>
      </c>
      <c r="L188" s="164">
        <f t="shared" si="34"/>
        <v>0</v>
      </c>
      <c r="M188" s="164">
        <f t="shared" si="34"/>
        <v>0</v>
      </c>
      <c r="N188" s="164">
        <f t="shared" si="32"/>
        <v>0</v>
      </c>
      <c r="O188" s="164">
        <f t="shared" si="24"/>
        <v>0</v>
      </c>
      <c r="P188" s="164">
        <f t="shared" si="25"/>
        <v>0</v>
      </c>
      <c r="Q188" s="164">
        <f t="shared" si="26"/>
        <v>0</v>
      </c>
      <c r="R188" s="164">
        <f t="shared" si="35"/>
        <v>0</v>
      </c>
      <c r="S188" s="164">
        <f t="shared" si="27"/>
        <v>0</v>
      </c>
      <c r="T188" s="164">
        <f t="shared" si="28"/>
        <v>0</v>
      </c>
    </row>
    <row r="189" spans="2:20" x14ac:dyDescent="0.2">
      <c r="B189" s="171"/>
      <c r="D189" s="171"/>
      <c r="F189" s="158">
        <v>178</v>
      </c>
      <c r="G189" s="249">
        <f t="shared" si="29"/>
        <v>49064</v>
      </c>
      <c r="H189" s="158">
        <f t="shared" si="33"/>
        <v>30</v>
      </c>
      <c r="I189" s="254">
        <f>VLOOKUP(G189,'Прогноз переменной ставки'!$B$5:$E$304,4,1)</f>
        <v>9.9000000000000005E-2</v>
      </c>
      <c r="J189" s="164">
        <f t="shared" si="30"/>
        <v>0</v>
      </c>
      <c r="K189" s="164">
        <f t="shared" si="31"/>
        <v>0</v>
      </c>
      <c r="L189" s="164">
        <f t="shared" si="34"/>
        <v>0</v>
      </c>
      <c r="M189" s="164">
        <f t="shared" si="34"/>
        <v>0</v>
      </c>
      <c r="N189" s="164">
        <f t="shared" si="32"/>
        <v>0</v>
      </c>
      <c r="O189" s="164">
        <f t="shared" si="24"/>
        <v>0</v>
      </c>
      <c r="P189" s="164">
        <f t="shared" si="25"/>
        <v>0</v>
      </c>
      <c r="Q189" s="164">
        <f t="shared" si="26"/>
        <v>0</v>
      </c>
      <c r="R189" s="164">
        <f t="shared" si="35"/>
        <v>0</v>
      </c>
      <c r="S189" s="164">
        <f t="shared" si="27"/>
        <v>0</v>
      </c>
      <c r="T189" s="164">
        <f t="shared" si="28"/>
        <v>0</v>
      </c>
    </row>
    <row r="190" spans="2:20" x14ac:dyDescent="0.2">
      <c r="B190" s="171"/>
      <c r="D190" s="171"/>
      <c r="F190" s="158">
        <v>179</v>
      </c>
      <c r="G190" s="249">
        <f t="shared" si="29"/>
        <v>49095</v>
      </c>
      <c r="H190" s="158">
        <f t="shared" si="33"/>
        <v>31</v>
      </c>
      <c r="I190" s="254">
        <f>VLOOKUP(G190,'Прогноз переменной ставки'!$B$5:$E$304,4,1)</f>
        <v>9.9000000000000005E-2</v>
      </c>
      <c r="J190" s="164">
        <f t="shared" si="30"/>
        <v>0</v>
      </c>
      <c r="K190" s="164">
        <f t="shared" si="31"/>
        <v>0</v>
      </c>
      <c r="L190" s="164">
        <f t="shared" si="34"/>
        <v>0</v>
      </c>
      <c r="M190" s="164">
        <f t="shared" si="34"/>
        <v>0</v>
      </c>
      <c r="N190" s="164">
        <f t="shared" si="32"/>
        <v>0</v>
      </c>
      <c r="O190" s="164">
        <f t="shared" si="24"/>
        <v>0</v>
      </c>
      <c r="P190" s="164">
        <f t="shared" si="25"/>
        <v>0</v>
      </c>
      <c r="Q190" s="164">
        <f t="shared" si="26"/>
        <v>0</v>
      </c>
      <c r="R190" s="164">
        <f t="shared" si="35"/>
        <v>0</v>
      </c>
      <c r="S190" s="164">
        <f t="shared" si="27"/>
        <v>0</v>
      </c>
      <c r="T190" s="164">
        <f t="shared" si="28"/>
        <v>0</v>
      </c>
    </row>
    <row r="191" spans="2:20" x14ac:dyDescent="0.2">
      <c r="B191" s="171"/>
      <c r="D191" s="171"/>
      <c r="F191" s="158">
        <v>180</v>
      </c>
      <c r="G191" s="249">
        <f t="shared" si="29"/>
        <v>49125</v>
      </c>
      <c r="H191" s="158">
        <f t="shared" si="33"/>
        <v>30</v>
      </c>
      <c r="I191" s="254">
        <f>VLOOKUP(G191,'Прогноз переменной ставки'!$B$5:$E$304,4,1)</f>
        <v>9.9000000000000005E-2</v>
      </c>
      <c r="J191" s="164">
        <f t="shared" si="30"/>
        <v>0</v>
      </c>
      <c r="K191" s="164">
        <f t="shared" si="31"/>
        <v>0</v>
      </c>
      <c r="L191" s="164">
        <f t="shared" si="34"/>
        <v>0</v>
      </c>
      <c r="M191" s="164">
        <f t="shared" si="34"/>
        <v>0</v>
      </c>
      <c r="N191" s="164">
        <f t="shared" si="32"/>
        <v>0</v>
      </c>
      <c r="O191" s="164">
        <f t="shared" si="24"/>
        <v>0</v>
      </c>
      <c r="P191" s="164">
        <f t="shared" si="25"/>
        <v>0</v>
      </c>
      <c r="Q191" s="164">
        <f t="shared" si="26"/>
        <v>0</v>
      </c>
      <c r="R191" s="164">
        <f t="shared" si="35"/>
        <v>0</v>
      </c>
      <c r="S191" s="164">
        <f t="shared" si="27"/>
        <v>0</v>
      </c>
      <c r="T191" s="164">
        <f t="shared" si="28"/>
        <v>0</v>
      </c>
    </row>
    <row r="192" spans="2:20" x14ac:dyDescent="0.2">
      <c r="B192" s="171"/>
      <c r="D192" s="171"/>
      <c r="F192" s="158">
        <v>181</v>
      </c>
      <c r="G192" s="249">
        <f t="shared" si="29"/>
        <v>49156</v>
      </c>
      <c r="H192" s="158">
        <f t="shared" si="33"/>
        <v>31</v>
      </c>
      <c r="I192" s="254">
        <f>VLOOKUP(G192,'Прогноз переменной ставки'!$B$5:$E$304,4,1)</f>
        <v>9.9000000000000005E-2</v>
      </c>
      <c r="J192" s="164">
        <f t="shared" si="30"/>
        <v>0</v>
      </c>
      <c r="K192" s="164">
        <f t="shared" si="31"/>
        <v>0</v>
      </c>
      <c r="L192" s="164">
        <f t="shared" si="34"/>
        <v>0</v>
      </c>
      <c r="M192" s="164">
        <f t="shared" si="34"/>
        <v>0</v>
      </c>
      <c r="N192" s="164">
        <f t="shared" si="32"/>
        <v>0</v>
      </c>
      <c r="O192" s="164">
        <f t="shared" si="24"/>
        <v>0</v>
      </c>
      <c r="P192" s="164">
        <f t="shared" si="25"/>
        <v>0</v>
      </c>
      <c r="Q192" s="164">
        <f t="shared" si="26"/>
        <v>0</v>
      </c>
      <c r="R192" s="164">
        <f t="shared" si="35"/>
        <v>0</v>
      </c>
      <c r="S192" s="164">
        <f t="shared" si="27"/>
        <v>0</v>
      </c>
      <c r="T192" s="164">
        <f t="shared" si="28"/>
        <v>0</v>
      </c>
    </row>
    <row r="193" spans="2:20" x14ac:dyDescent="0.2">
      <c r="B193" s="171"/>
      <c r="D193" s="171"/>
      <c r="F193" s="158">
        <v>182</v>
      </c>
      <c r="G193" s="249">
        <f t="shared" si="29"/>
        <v>49187</v>
      </c>
      <c r="H193" s="158">
        <f t="shared" si="33"/>
        <v>31</v>
      </c>
      <c r="I193" s="254">
        <f>VLOOKUP(G193,'Прогноз переменной ставки'!$B$5:$E$304,4,1)</f>
        <v>9.9000000000000005E-2</v>
      </c>
      <c r="J193" s="164">
        <f t="shared" si="30"/>
        <v>0</v>
      </c>
      <c r="K193" s="164">
        <f t="shared" si="31"/>
        <v>0</v>
      </c>
      <c r="L193" s="164">
        <f t="shared" si="34"/>
        <v>0</v>
      </c>
      <c r="M193" s="164">
        <f t="shared" si="34"/>
        <v>0</v>
      </c>
      <c r="N193" s="164">
        <f t="shared" si="32"/>
        <v>0</v>
      </c>
      <c r="O193" s="164">
        <f t="shared" si="24"/>
        <v>0</v>
      </c>
      <c r="P193" s="164">
        <f t="shared" si="25"/>
        <v>0</v>
      </c>
      <c r="Q193" s="164">
        <f t="shared" si="26"/>
        <v>0</v>
      </c>
      <c r="R193" s="164">
        <f t="shared" si="35"/>
        <v>0</v>
      </c>
      <c r="S193" s="164">
        <f t="shared" si="27"/>
        <v>0</v>
      </c>
      <c r="T193" s="164">
        <f t="shared" si="28"/>
        <v>0</v>
      </c>
    </row>
    <row r="194" spans="2:20" x14ac:dyDescent="0.2">
      <c r="B194" s="171"/>
      <c r="D194" s="171"/>
      <c r="F194" s="158">
        <v>183</v>
      </c>
      <c r="G194" s="249">
        <f t="shared" si="29"/>
        <v>49217</v>
      </c>
      <c r="H194" s="158">
        <f t="shared" si="33"/>
        <v>30</v>
      </c>
      <c r="I194" s="254">
        <f>VLOOKUP(G194,'Прогноз переменной ставки'!$B$5:$E$304,4,1)</f>
        <v>9.9000000000000005E-2</v>
      </c>
      <c r="J194" s="164">
        <f t="shared" si="30"/>
        <v>0</v>
      </c>
      <c r="K194" s="164">
        <f t="shared" si="31"/>
        <v>0</v>
      </c>
      <c r="L194" s="164">
        <f t="shared" si="34"/>
        <v>0</v>
      </c>
      <c r="M194" s="164">
        <f t="shared" si="34"/>
        <v>0</v>
      </c>
      <c r="N194" s="164">
        <f t="shared" si="32"/>
        <v>0</v>
      </c>
      <c r="O194" s="164">
        <f t="shared" si="24"/>
        <v>0</v>
      </c>
      <c r="P194" s="164">
        <f t="shared" si="25"/>
        <v>0</v>
      </c>
      <c r="Q194" s="164">
        <f t="shared" si="26"/>
        <v>0</v>
      </c>
      <c r="R194" s="164">
        <f t="shared" si="35"/>
        <v>0</v>
      </c>
      <c r="S194" s="164">
        <f t="shared" si="27"/>
        <v>0</v>
      </c>
      <c r="T194" s="164">
        <f t="shared" si="28"/>
        <v>0</v>
      </c>
    </row>
    <row r="195" spans="2:20" x14ac:dyDescent="0.2">
      <c r="B195" s="171"/>
      <c r="D195" s="171"/>
      <c r="F195" s="158">
        <v>184</v>
      </c>
      <c r="G195" s="249">
        <f t="shared" si="29"/>
        <v>49248</v>
      </c>
      <c r="H195" s="158">
        <f t="shared" si="33"/>
        <v>31</v>
      </c>
      <c r="I195" s="254">
        <f>VLOOKUP(G195,'Прогноз переменной ставки'!$B$5:$E$304,4,1)</f>
        <v>9.9000000000000005E-2</v>
      </c>
      <c r="J195" s="164">
        <f t="shared" si="30"/>
        <v>0</v>
      </c>
      <c r="K195" s="164">
        <f t="shared" si="31"/>
        <v>0</v>
      </c>
      <c r="L195" s="164">
        <f t="shared" si="34"/>
        <v>0</v>
      </c>
      <c r="M195" s="164">
        <f t="shared" si="34"/>
        <v>0</v>
      </c>
      <c r="N195" s="164">
        <f t="shared" si="32"/>
        <v>0</v>
      </c>
      <c r="O195" s="164">
        <f t="shared" si="24"/>
        <v>0</v>
      </c>
      <c r="P195" s="164">
        <f t="shared" si="25"/>
        <v>0</v>
      </c>
      <c r="Q195" s="164">
        <f t="shared" si="26"/>
        <v>0</v>
      </c>
      <c r="R195" s="164">
        <f t="shared" si="35"/>
        <v>0</v>
      </c>
      <c r="S195" s="164">
        <f t="shared" si="27"/>
        <v>0</v>
      </c>
      <c r="T195" s="164">
        <f t="shared" si="28"/>
        <v>0</v>
      </c>
    </row>
    <row r="196" spans="2:20" x14ac:dyDescent="0.2">
      <c r="B196" s="171"/>
      <c r="D196" s="171"/>
      <c r="F196" s="158">
        <v>185</v>
      </c>
      <c r="G196" s="249">
        <f t="shared" si="29"/>
        <v>49278</v>
      </c>
      <c r="H196" s="158">
        <f t="shared" si="33"/>
        <v>30</v>
      </c>
      <c r="I196" s="254">
        <f>VLOOKUP(G196,'Прогноз переменной ставки'!$B$5:$E$304,4,1)</f>
        <v>9.9000000000000005E-2</v>
      </c>
      <c r="J196" s="164">
        <f t="shared" si="30"/>
        <v>0</v>
      </c>
      <c r="K196" s="164">
        <f t="shared" si="31"/>
        <v>0</v>
      </c>
      <c r="L196" s="164">
        <f t="shared" si="34"/>
        <v>0</v>
      </c>
      <c r="M196" s="164">
        <f t="shared" si="34"/>
        <v>0</v>
      </c>
      <c r="N196" s="164">
        <f t="shared" si="32"/>
        <v>0</v>
      </c>
      <c r="O196" s="164">
        <f t="shared" si="24"/>
        <v>0</v>
      </c>
      <c r="P196" s="164">
        <f t="shared" si="25"/>
        <v>0</v>
      </c>
      <c r="Q196" s="164">
        <f t="shared" si="26"/>
        <v>0</v>
      </c>
      <c r="R196" s="164">
        <f t="shared" si="35"/>
        <v>0</v>
      </c>
      <c r="S196" s="164">
        <f t="shared" si="27"/>
        <v>0</v>
      </c>
      <c r="T196" s="164">
        <f t="shared" si="28"/>
        <v>0</v>
      </c>
    </row>
    <row r="197" spans="2:20" x14ac:dyDescent="0.2">
      <c r="B197" s="171"/>
      <c r="D197" s="171"/>
      <c r="F197" s="158">
        <v>186</v>
      </c>
      <c r="G197" s="249">
        <f t="shared" si="29"/>
        <v>49309</v>
      </c>
      <c r="H197" s="158">
        <f t="shared" si="33"/>
        <v>31</v>
      </c>
      <c r="I197" s="254">
        <f>VLOOKUP(G197,'Прогноз переменной ставки'!$B$5:$E$304,4,1)</f>
        <v>9.9000000000000005E-2</v>
      </c>
      <c r="J197" s="164">
        <f t="shared" si="30"/>
        <v>0</v>
      </c>
      <c r="K197" s="164">
        <f t="shared" si="31"/>
        <v>0</v>
      </c>
      <c r="L197" s="164">
        <f t="shared" si="34"/>
        <v>0</v>
      </c>
      <c r="M197" s="164">
        <f t="shared" si="34"/>
        <v>0</v>
      </c>
      <c r="N197" s="164">
        <f t="shared" si="32"/>
        <v>0</v>
      </c>
      <c r="O197" s="164">
        <f t="shared" si="24"/>
        <v>0</v>
      </c>
      <c r="P197" s="164">
        <f t="shared" si="25"/>
        <v>0</v>
      </c>
      <c r="Q197" s="164">
        <f t="shared" si="26"/>
        <v>0</v>
      </c>
      <c r="R197" s="164">
        <f t="shared" si="35"/>
        <v>0</v>
      </c>
      <c r="S197" s="164">
        <f t="shared" si="27"/>
        <v>0</v>
      </c>
      <c r="T197" s="164">
        <f t="shared" si="28"/>
        <v>0</v>
      </c>
    </row>
    <row r="198" spans="2:20" x14ac:dyDescent="0.2">
      <c r="B198" s="171"/>
      <c r="D198" s="171"/>
      <c r="F198" s="158">
        <v>187</v>
      </c>
      <c r="G198" s="249">
        <f t="shared" si="29"/>
        <v>49340</v>
      </c>
      <c r="H198" s="158">
        <f t="shared" si="33"/>
        <v>31</v>
      </c>
      <c r="I198" s="254">
        <f>VLOOKUP(G198,'Прогноз переменной ставки'!$B$5:$E$304,4,1)</f>
        <v>9.9000000000000005E-2</v>
      </c>
      <c r="J198" s="164">
        <f t="shared" si="30"/>
        <v>0</v>
      </c>
      <c r="K198" s="164">
        <f t="shared" si="31"/>
        <v>0</v>
      </c>
      <c r="L198" s="164">
        <f t="shared" si="34"/>
        <v>0</v>
      </c>
      <c r="M198" s="164">
        <f t="shared" si="34"/>
        <v>0</v>
      </c>
      <c r="N198" s="164">
        <f t="shared" si="32"/>
        <v>0</v>
      </c>
      <c r="O198" s="164">
        <f t="shared" si="24"/>
        <v>0</v>
      </c>
      <c r="P198" s="164">
        <f t="shared" si="25"/>
        <v>0</v>
      </c>
      <c r="Q198" s="164">
        <f t="shared" si="26"/>
        <v>0</v>
      </c>
      <c r="R198" s="164">
        <f t="shared" si="35"/>
        <v>0</v>
      </c>
      <c r="S198" s="164">
        <f t="shared" si="27"/>
        <v>0</v>
      </c>
      <c r="T198" s="164">
        <f t="shared" si="28"/>
        <v>0</v>
      </c>
    </row>
    <row r="199" spans="2:20" x14ac:dyDescent="0.2">
      <c r="B199" s="171"/>
      <c r="D199" s="171"/>
      <c r="F199" s="158">
        <v>188</v>
      </c>
      <c r="G199" s="249">
        <f t="shared" si="29"/>
        <v>49368</v>
      </c>
      <c r="H199" s="158">
        <f t="shared" si="33"/>
        <v>28</v>
      </c>
      <c r="I199" s="254">
        <f>VLOOKUP(G199,'Прогноз переменной ставки'!$B$5:$E$304,4,1)</f>
        <v>9.9000000000000005E-2</v>
      </c>
      <c r="J199" s="164">
        <f t="shared" si="30"/>
        <v>0</v>
      </c>
      <c r="K199" s="164">
        <f t="shared" si="31"/>
        <v>0</v>
      </c>
      <c r="L199" s="164">
        <f t="shared" si="34"/>
        <v>0</v>
      </c>
      <c r="M199" s="164">
        <f t="shared" si="34"/>
        <v>0</v>
      </c>
      <c r="N199" s="164">
        <f t="shared" si="32"/>
        <v>0</v>
      </c>
      <c r="O199" s="164">
        <f t="shared" si="24"/>
        <v>0</v>
      </c>
      <c r="P199" s="164">
        <f t="shared" si="25"/>
        <v>0</v>
      </c>
      <c r="Q199" s="164">
        <f t="shared" si="26"/>
        <v>0</v>
      </c>
      <c r="R199" s="164">
        <f t="shared" si="35"/>
        <v>0</v>
      </c>
      <c r="S199" s="164">
        <f t="shared" si="27"/>
        <v>0</v>
      </c>
      <c r="T199" s="164">
        <f t="shared" si="28"/>
        <v>0</v>
      </c>
    </row>
    <row r="200" spans="2:20" x14ac:dyDescent="0.2">
      <c r="B200" s="171"/>
      <c r="D200" s="171"/>
      <c r="F200" s="158">
        <v>189</v>
      </c>
      <c r="G200" s="249">
        <f t="shared" si="29"/>
        <v>49399</v>
      </c>
      <c r="H200" s="158">
        <f t="shared" si="33"/>
        <v>31</v>
      </c>
      <c r="I200" s="254">
        <f>VLOOKUP(G200,'Прогноз переменной ставки'!$B$5:$E$304,4,1)</f>
        <v>9.9000000000000005E-2</v>
      </c>
      <c r="J200" s="164">
        <f t="shared" si="30"/>
        <v>0</v>
      </c>
      <c r="K200" s="164">
        <f t="shared" si="31"/>
        <v>0</v>
      </c>
      <c r="L200" s="164">
        <f t="shared" si="34"/>
        <v>0</v>
      </c>
      <c r="M200" s="164">
        <f t="shared" si="34"/>
        <v>0</v>
      </c>
      <c r="N200" s="164">
        <f t="shared" si="32"/>
        <v>0</v>
      </c>
      <c r="O200" s="164">
        <f t="shared" si="24"/>
        <v>0</v>
      </c>
      <c r="P200" s="164">
        <f t="shared" si="25"/>
        <v>0</v>
      </c>
      <c r="Q200" s="164">
        <f t="shared" si="26"/>
        <v>0</v>
      </c>
      <c r="R200" s="164">
        <f t="shared" si="35"/>
        <v>0</v>
      </c>
      <c r="S200" s="164">
        <f t="shared" si="27"/>
        <v>0</v>
      </c>
      <c r="T200" s="164">
        <f t="shared" si="28"/>
        <v>0</v>
      </c>
    </row>
    <row r="201" spans="2:20" x14ac:dyDescent="0.2">
      <c r="B201" s="171"/>
      <c r="D201" s="171"/>
      <c r="F201" s="158">
        <v>190</v>
      </c>
      <c r="G201" s="249">
        <f t="shared" si="29"/>
        <v>49429</v>
      </c>
      <c r="H201" s="158">
        <f t="shared" si="33"/>
        <v>30</v>
      </c>
      <c r="I201" s="254">
        <f>VLOOKUP(G201,'Прогноз переменной ставки'!$B$5:$E$304,4,1)</f>
        <v>9.9000000000000005E-2</v>
      </c>
      <c r="J201" s="164">
        <f t="shared" si="30"/>
        <v>0</v>
      </c>
      <c r="K201" s="164">
        <f t="shared" si="31"/>
        <v>0</v>
      </c>
      <c r="L201" s="164">
        <f t="shared" si="34"/>
        <v>0</v>
      </c>
      <c r="M201" s="164">
        <f t="shared" si="34"/>
        <v>0</v>
      </c>
      <c r="N201" s="164">
        <f t="shared" si="32"/>
        <v>0</v>
      </c>
      <c r="O201" s="164">
        <f t="shared" si="24"/>
        <v>0</v>
      </c>
      <c r="P201" s="164">
        <f t="shared" si="25"/>
        <v>0</v>
      </c>
      <c r="Q201" s="164">
        <f t="shared" si="26"/>
        <v>0</v>
      </c>
      <c r="R201" s="164">
        <f t="shared" si="35"/>
        <v>0</v>
      </c>
      <c r="S201" s="164">
        <f t="shared" si="27"/>
        <v>0</v>
      </c>
      <c r="T201" s="164">
        <f t="shared" si="28"/>
        <v>0</v>
      </c>
    </row>
    <row r="202" spans="2:20" x14ac:dyDescent="0.2">
      <c r="B202" s="171"/>
      <c r="D202" s="171"/>
      <c r="F202" s="158">
        <v>191</v>
      </c>
      <c r="G202" s="249">
        <f t="shared" si="29"/>
        <v>49460</v>
      </c>
      <c r="H202" s="158">
        <f t="shared" si="33"/>
        <v>31</v>
      </c>
      <c r="I202" s="254">
        <f>VLOOKUP(G202,'Прогноз переменной ставки'!$B$5:$E$304,4,1)</f>
        <v>9.9000000000000005E-2</v>
      </c>
      <c r="J202" s="164">
        <f t="shared" si="30"/>
        <v>0</v>
      </c>
      <c r="K202" s="164">
        <f t="shared" si="31"/>
        <v>0</v>
      </c>
      <c r="L202" s="164">
        <f t="shared" si="34"/>
        <v>0</v>
      </c>
      <c r="M202" s="164">
        <f t="shared" si="34"/>
        <v>0</v>
      </c>
      <c r="N202" s="164">
        <f t="shared" si="32"/>
        <v>0</v>
      </c>
      <c r="O202" s="164">
        <f t="shared" si="24"/>
        <v>0</v>
      </c>
      <c r="P202" s="164">
        <f t="shared" si="25"/>
        <v>0</v>
      </c>
      <c r="Q202" s="164">
        <f t="shared" si="26"/>
        <v>0</v>
      </c>
      <c r="R202" s="164">
        <f t="shared" si="35"/>
        <v>0</v>
      </c>
      <c r="S202" s="164">
        <f t="shared" si="27"/>
        <v>0</v>
      </c>
      <c r="T202" s="164">
        <f t="shared" si="28"/>
        <v>0</v>
      </c>
    </row>
    <row r="203" spans="2:20" x14ac:dyDescent="0.2">
      <c r="B203" s="171"/>
      <c r="D203" s="171"/>
      <c r="F203" s="158">
        <v>192</v>
      </c>
      <c r="G203" s="249">
        <f t="shared" si="29"/>
        <v>49490</v>
      </c>
      <c r="H203" s="158">
        <f t="shared" si="33"/>
        <v>30</v>
      </c>
      <c r="I203" s="254">
        <f>VLOOKUP(G203,'Прогноз переменной ставки'!$B$5:$E$304,4,1)</f>
        <v>9.9000000000000005E-2</v>
      </c>
      <c r="J203" s="164">
        <f t="shared" si="30"/>
        <v>0</v>
      </c>
      <c r="K203" s="164">
        <f t="shared" si="31"/>
        <v>0</v>
      </c>
      <c r="L203" s="164">
        <f t="shared" si="34"/>
        <v>0</v>
      </c>
      <c r="M203" s="164">
        <f t="shared" si="34"/>
        <v>0</v>
      </c>
      <c r="N203" s="164">
        <f t="shared" si="32"/>
        <v>0</v>
      </c>
      <c r="O203" s="164">
        <f t="shared" si="24"/>
        <v>0</v>
      </c>
      <c r="P203" s="164">
        <f t="shared" si="25"/>
        <v>0</v>
      </c>
      <c r="Q203" s="164">
        <f t="shared" si="26"/>
        <v>0</v>
      </c>
      <c r="R203" s="164">
        <f t="shared" si="35"/>
        <v>0</v>
      </c>
      <c r="S203" s="164">
        <f t="shared" si="27"/>
        <v>0</v>
      </c>
      <c r="T203" s="164">
        <f t="shared" si="28"/>
        <v>0</v>
      </c>
    </row>
    <row r="204" spans="2:20" x14ac:dyDescent="0.2">
      <c r="B204" s="171"/>
      <c r="D204" s="171"/>
      <c r="F204" s="158">
        <v>193</v>
      </c>
      <c r="G204" s="249">
        <f t="shared" si="29"/>
        <v>49521</v>
      </c>
      <c r="H204" s="158">
        <f t="shared" si="33"/>
        <v>31</v>
      </c>
      <c r="I204" s="254">
        <f>VLOOKUP(G204,'Прогноз переменной ставки'!$B$5:$E$304,4,1)</f>
        <v>9.9000000000000005E-2</v>
      </c>
      <c r="J204" s="164">
        <f t="shared" si="30"/>
        <v>0</v>
      </c>
      <c r="K204" s="164">
        <f t="shared" si="31"/>
        <v>0</v>
      </c>
      <c r="L204" s="164">
        <f t="shared" si="34"/>
        <v>0</v>
      </c>
      <c r="M204" s="164">
        <f t="shared" si="34"/>
        <v>0</v>
      </c>
      <c r="N204" s="164">
        <f t="shared" si="32"/>
        <v>0</v>
      </c>
      <c r="O204" s="164">
        <f t="shared" ref="O204:O267" si="36">MIN(J204-Q204-P204,L204)</f>
        <v>0</v>
      </c>
      <c r="P204" s="164">
        <f t="shared" ref="P204:P267" si="37">MIN(J204-Q204,N204)</f>
        <v>0</v>
      </c>
      <c r="Q204" s="164">
        <f t="shared" ref="Q204:Q267" si="38">MIN(J204,M204)</f>
        <v>0</v>
      </c>
      <c r="R204" s="164">
        <f t="shared" si="35"/>
        <v>0</v>
      </c>
      <c r="S204" s="164">
        <f t="shared" ref="S204:S267" si="39">L204-O204</f>
        <v>0</v>
      </c>
      <c r="T204" s="164">
        <f t="shared" ref="T204:T267" si="40">M204+R204-Q204</f>
        <v>0</v>
      </c>
    </row>
    <row r="205" spans="2:20" x14ac:dyDescent="0.2">
      <c r="B205" s="171"/>
      <c r="D205" s="171"/>
      <c r="F205" s="158">
        <v>194</v>
      </c>
      <c r="G205" s="249">
        <f t="shared" ref="G205:G268" si="41">EOMONTH($D$9,F205-1)</f>
        <v>49552</v>
      </c>
      <c r="H205" s="158">
        <f t="shared" si="33"/>
        <v>31</v>
      </c>
      <c r="I205" s="254">
        <f>VLOOKUP(G205,'Прогноз переменной ставки'!$B$5:$E$304,4,1)</f>
        <v>9.9000000000000005E-2</v>
      </c>
      <c r="J205" s="164">
        <f t="shared" ref="J205:J268" si="42">IF(F205=$D$4,K205+N205,MIN($D$5,K205+N205))</f>
        <v>0</v>
      </c>
      <c r="K205" s="164">
        <f t="shared" ref="K205:K268" si="43">L205+M205</f>
        <v>0</v>
      </c>
      <c r="L205" s="164">
        <f t="shared" si="34"/>
        <v>0</v>
      </c>
      <c r="M205" s="164">
        <f t="shared" si="34"/>
        <v>0</v>
      </c>
      <c r="N205" s="164">
        <f t="shared" ref="N205:N268" si="44">L205*I205/365.25*H205</f>
        <v>0</v>
      </c>
      <c r="O205" s="164">
        <f t="shared" si="36"/>
        <v>0</v>
      </c>
      <c r="P205" s="164">
        <f t="shared" si="37"/>
        <v>0</v>
      </c>
      <c r="Q205" s="164">
        <f t="shared" si="38"/>
        <v>0</v>
      </c>
      <c r="R205" s="164">
        <f t="shared" si="35"/>
        <v>0</v>
      </c>
      <c r="S205" s="164">
        <f t="shared" si="39"/>
        <v>0</v>
      </c>
      <c r="T205" s="164">
        <f t="shared" si="40"/>
        <v>0</v>
      </c>
    </row>
    <row r="206" spans="2:20" x14ac:dyDescent="0.2">
      <c r="B206" s="171"/>
      <c r="D206" s="171"/>
      <c r="F206" s="158">
        <v>195</v>
      </c>
      <c r="G206" s="249">
        <f t="shared" si="41"/>
        <v>49582</v>
      </c>
      <c r="H206" s="158">
        <f t="shared" ref="H206:H269" si="45">G206-G205</f>
        <v>30</v>
      </c>
      <c r="I206" s="254">
        <f>VLOOKUP(G206,'Прогноз переменной ставки'!$B$5:$E$304,4,1)</f>
        <v>9.9000000000000005E-2</v>
      </c>
      <c r="J206" s="164">
        <f t="shared" si="42"/>
        <v>0</v>
      </c>
      <c r="K206" s="164">
        <f t="shared" si="43"/>
        <v>0</v>
      </c>
      <c r="L206" s="164">
        <f t="shared" ref="L206:M221" si="46">S205</f>
        <v>0</v>
      </c>
      <c r="M206" s="164">
        <f t="shared" si="46"/>
        <v>0</v>
      </c>
      <c r="N206" s="164">
        <f t="shared" si="44"/>
        <v>0</v>
      </c>
      <c r="O206" s="164">
        <f t="shared" si="36"/>
        <v>0</v>
      </c>
      <c r="P206" s="164">
        <f t="shared" si="37"/>
        <v>0</v>
      </c>
      <c r="Q206" s="164">
        <f t="shared" si="38"/>
        <v>0</v>
      </c>
      <c r="R206" s="164">
        <f t="shared" ref="R206:R269" si="47">MAX(N206-P206,0)</f>
        <v>0</v>
      </c>
      <c r="S206" s="164">
        <f t="shared" si="39"/>
        <v>0</v>
      </c>
      <c r="T206" s="164">
        <f t="shared" si="40"/>
        <v>0</v>
      </c>
    </row>
    <row r="207" spans="2:20" x14ac:dyDescent="0.2">
      <c r="B207" s="171"/>
      <c r="D207" s="171"/>
      <c r="F207" s="158">
        <v>196</v>
      </c>
      <c r="G207" s="249">
        <f t="shared" si="41"/>
        <v>49613</v>
      </c>
      <c r="H207" s="158">
        <f t="shared" si="45"/>
        <v>31</v>
      </c>
      <c r="I207" s="254">
        <f>VLOOKUP(G207,'Прогноз переменной ставки'!$B$5:$E$304,4,1)</f>
        <v>9.9000000000000005E-2</v>
      </c>
      <c r="J207" s="164">
        <f t="shared" si="42"/>
        <v>0</v>
      </c>
      <c r="K207" s="164">
        <f t="shared" si="43"/>
        <v>0</v>
      </c>
      <c r="L207" s="164">
        <f t="shared" si="46"/>
        <v>0</v>
      </c>
      <c r="M207" s="164">
        <f t="shared" si="46"/>
        <v>0</v>
      </c>
      <c r="N207" s="164">
        <f t="shared" si="44"/>
        <v>0</v>
      </c>
      <c r="O207" s="164">
        <f t="shared" si="36"/>
        <v>0</v>
      </c>
      <c r="P207" s="164">
        <f t="shared" si="37"/>
        <v>0</v>
      </c>
      <c r="Q207" s="164">
        <f t="shared" si="38"/>
        <v>0</v>
      </c>
      <c r="R207" s="164">
        <f t="shared" si="47"/>
        <v>0</v>
      </c>
      <c r="S207" s="164">
        <f t="shared" si="39"/>
        <v>0</v>
      </c>
      <c r="T207" s="164">
        <f t="shared" si="40"/>
        <v>0</v>
      </c>
    </row>
    <row r="208" spans="2:20" x14ac:dyDescent="0.2">
      <c r="B208" s="171"/>
      <c r="D208" s="171"/>
      <c r="E208" s="171"/>
      <c r="F208" s="158">
        <v>197</v>
      </c>
      <c r="G208" s="249">
        <f t="shared" si="41"/>
        <v>49643</v>
      </c>
      <c r="H208" s="158">
        <f t="shared" si="45"/>
        <v>30</v>
      </c>
      <c r="I208" s="254">
        <f>VLOOKUP(G208,'Прогноз переменной ставки'!$B$5:$E$304,4,1)</f>
        <v>9.9000000000000005E-2</v>
      </c>
      <c r="J208" s="164">
        <f t="shared" si="42"/>
        <v>0</v>
      </c>
      <c r="K208" s="164">
        <f t="shared" si="43"/>
        <v>0</v>
      </c>
      <c r="L208" s="164">
        <f t="shared" si="46"/>
        <v>0</v>
      </c>
      <c r="M208" s="164">
        <f t="shared" si="46"/>
        <v>0</v>
      </c>
      <c r="N208" s="164">
        <f t="shared" si="44"/>
        <v>0</v>
      </c>
      <c r="O208" s="164">
        <f t="shared" si="36"/>
        <v>0</v>
      </c>
      <c r="P208" s="164">
        <f t="shared" si="37"/>
        <v>0</v>
      </c>
      <c r="Q208" s="164">
        <f t="shared" si="38"/>
        <v>0</v>
      </c>
      <c r="R208" s="164">
        <f t="shared" si="47"/>
        <v>0</v>
      </c>
      <c r="S208" s="164">
        <f t="shared" si="39"/>
        <v>0</v>
      </c>
      <c r="T208" s="164">
        <f t="shared" si="40"/>
        <v>0</v>
      </c>
    </row>
    <row r="209" spans="2:20" x14ac:dyDescent="0.2">
      <c r="B209" s="171"/>
      <c r="D209" s="171"/>
      <c r="E209" s="171"/>
      <c r="F209" s="158">
        <v>198</v>
      </c>
      <c r="G209" s="249">
        <f t="shared" si="41"/>
        <v>49674</v>
      </c>
      <c r="H209" s="158">
        <f t="shared" si="45"/>
        <v>31</v>
      </c>
      <c r="I209" s="254">
        <f>VLOOKUP(G209,'Прогноз переменной ставки'!$B$5:$E$304,4,1)</f>
        <v>9.9000000000000005E-2</v>
      </c>
      <c r="J209" s="164">
        <f t="shared" si="42"/>
        <v>0</v>
      </c>
      <c r="K209" s="164">
        <f t="shared" si="43"/>
        <v>0</v>
      </c>
      <c r="L209" s="164">
        <f t="shared" si="46"/>
        <v>0</v>
      </c>
      <c r="M209" s="164">
        <f t="shared" si="46"/>
        <v>0</v>
      </c>
      <c r="N209" s="164">
        <f t="shared" si="44"/>
        <v>0</v>
      </c>
      <c r="O209" s="164">
        <f t="shared" si="36"/>
        <v>0</v>
      </c>
      <c r="P209" s="164">
        <f t="shared" si="37"/>
        <v>0</v>
      </c>
      <c r="Q209" s="164">
        <f t="shared" si="38"/>
        <v>0</v>
      </c>
      <c r="R209" s="164">
        <f t="shared" si="47"/>
        <v>0</v>
      </c>
      <c r="S209" s="164">
        <f t="shared" si="39"/>
        <v>0</v>
      </c>
      <c r="T209" s="164">
        <f t="shared" si="40"/>
        <v>0</v>
      </c>
    </row>
    <row r="210" spans="2:20" x14ac:dyDescent="0.2">
      <c r="B210" s="171"/>
      <c r="D210" s="171"/>
      <c r="E210" s="171"/>
      <c r="F210" s="158">
        <v>199</v>
      </c>
      <c r="G210" s="249">
        <f t="shared" si="41"/>
        <v>49705</v>
      </c>
      <c r="H210" s="158">
        <f t="shared" si="45"/>
        <v>31</v>
      </c>
      <c r="I210" s="254">
        <f>VLOOKUP(G210,'Прогноз переменной ставки'!$B$5:$E$304,4,1)</f>
        <v>9.9000000000000005E-2</v>
      </c>
      <c r="J210" s="164">
        <f t="shared" si="42"/>
        <v>0</v>
      </c>
      <c r="K210" s="164">
        <f t="shared" si="43"/>
        <v>0</v>
      </c>
      <c r="L210" s="164">
        <f t="shared" si="46"/>
        <v>0</v>
      </c>
      <c r="M210" s="164">
        <f t="shared" si="46"/>
        <v>0</v>
      </c>
      <c r="N210" s="164">
        <f t="shared" si="44"/>
        <v>0</v>
      </c>
      <c r="O210" s="164">
        <f t="shared" si="36"/>
        <v>0</v>
      </c>
      <c r="P210" s="164">
        <f t="shared" si="37"/>
        <v>0</v>
      </c>
      <c r="Q210" s="164">
        <f t="shared" si="38"/>
        <v>0</v>
      </c>
      <c r="R210" s="164">
        <f t="shared" si="47"/>
        <v>0</v>
      </c>
      <c r="S210" s="164">
        <f t="shared" si="39"/>
        <v>0</v>
      </c>
      <c r="T210" s="164">
        <f t="shared" si="40"/>
        <v>0</v>
      </c>
    </row>
    <row r="211" spans="2:20" x14ac:dyDescent="0.2">
      <c r="B211" s="171"/>
      <c r="D211" s="171"/>
      <c r="E211" s="171"/>
      <c r="F211" s="158">
        <v>200</v>
      </c>
      <c r="G211" s="249">
        <f t="shared" si="41"/>
        <v>49734</v>
      </c>
      <c r="H211" s="158">
        <f t="shared" si="45"/>
        <v>29</v>
      </c>
      <c r="I211" s="254">
        <f>VLOOKUP(G211,'Прогноз переменной ставки'!$B$5:$E$304,4,1)</f>
        <v>9.9000000000000005E-2</v>
      </c>
      <c r="J211" s="164">
        <f t="shared" si="42"/>
        <v>0</v>
      </c>
      <c r="K211" s="164">
        <f t="shared" si="43"/>
        <v>0</v>
      </c>
      <c r="L211" s="164">
        <f t="shared" si="46"/>
        <v>0</v>
      </c>
      <c r="M211" s="164">
        <f t="shared" si="46"/>
        <v>0</v>
      </c>
      <c r="N211" s="164">
        <f t="shared" si="44"/>
        <v>0</v>
      </c>
      <c r="O211" s="164">
        <f t="shared" si="36"/>
        <v>0</v>
      </c>
      <c r="P211" s="164">
        <f t="shared" si="37"/>
        <v>0</v>
      </c>
      <c r="Q211" s="164">
        <f t="shared" si="38"/>
        <v>0</v>
      </c>
      <c r="R211" s="164">
        <f t="shared" si="47"/>
        <v>0</v>
      </c>
      <c r="S211" s="164">
        <f t="shared" si="39"/>
        <v>0</v>
      </c>
      <c r="T211" s="164">
        <f t="shared" si="40"/>
        <v>0</v>
      </c>
    </row>
    <row r="212" spans="2:20" x14ac:dyDescent="0.2">
      <c r="B212" s="171"/>
      <c r="D212" s="171"/>
      <c r="E212" s="171"/>
      <c r="F212" s="158">
        <v>201</v>
      </c>
      <c r="G212" s="249">
        <f t="shared" si="41"/>
        <v>49765</v>
      </c>
      <c r="H212" s="158">
        <f t="shared" si="45"/>
        <v>31</v>
      </c>
      <c r="I212" s="254">
        <f>VLOOKUP(G212,'Прогноз переменной ставки'!$B$5:$E$304,4,1)</f>
        <v>9.9000000000000005E-2</v>
      </c>
      <c r="J212" s="164">
        <f t="shared" si="42"/>
        <v>0</v>
      </c>
      <c r="K212" s="164">
        <f t="shared" si="43"/>
        <v>0</v>
      </c>
      <c r="L212" s="164">
        <f t="shared" si="46"/>
        <v>0</v>
      </c>
      <c r="M212" s="164">
        <f t="shared" si="46"/>
        <v>0</v>
      </c>
      <c r="N212" s="164">
        <f t="shared" si="44"/>
        <v>0</v>
      </c>
      <c r="O212" s="164">
        <f t="shared" si="36"/>
        <v>0</v>
      </c>
      <c r="P212" s="164">
        <f t="shared" si="37"/>
        <v>0</v>
      </c>
      <c r="Q212" s="164">
        <f t="shared" si="38"/>
        <v>0</v>
      </c>
      <c r="R212" s="164">
        <f t="shared" si="47"/>
        <v>0</v>
      </c>
      <c r="S212" s="164">
        <f t="shared" si="39"/>
        <v>0</v>
      </c>
      <c r="T212" s="164">
        <f t="shared" si="40"/>
        <v>0</v>
      </c>
    </row>
    <row r="213" spans="2:20" x14ac:dyDescent="0.2">
      <c r="B213" s="171"/>
      <c r="D213" s="171"/>
      <c r="E213" s="171"/>
      <c r="F213" s="158">
        <v>202</v>
      </c>
      <c r="G213" s="249">
        <f t="shared" si="41"/>
        <v>49795</v>
      </c>
      <c r="H213" s="158">
        <f t="shared" si="45"/>
        <v>30</v>
      </c>
      <c r="I213" s="254">
        <f>VLOOKUP(G213,'Прогноз переменной ставки'!$B$5:$E$304,4,1)</f>
        <v>9.9000000000000005E-2</v>
      </c>
      <c r="J213" s="164">
        <f t="shared" si="42"/>
        <v>0</v>
      </c>
      <c r="K213" s="164">
        <f t="shared" si="43"/>
        <v>0</v>
      </c>
      <c r="L213" s="164">
        <f t="shared" si="46"/>
        <v>0</v>
      </c>
      <c r="M213" s="164">
        <f t="shared" si="46"/>
        <v>0</v>
      </c>
      <c r="N213" s="164">
        <f t="shared" si="44"/>
        <v>0</v>
      </c>
      <c r="O213" s="164">
        <f t="shared" si="36"/>
        <v>0</v>
      </c>
      <c r="P213" s="164">
        <f t="shared" si="37"/>
        <v>0</v>
      </c>
      <c r="Q213" s="164">
        <f t="shared" si="38"/>
        <v>0</v>
      </c>
      <c r="R213" s="164">
        <f t="shared" si="47"/>
        <v>0</v>
      </c>
      <c r="S213" s="164">
        <f t="shared" si="39"/>
        <v>0</v>
      </c>
      <c r="T213" s="164">
        <f t="shared" si="40"/>
        <v>0</v>
      </c>
    </row>
    <row r="214" spans="2:20" x14ac:dyDescent="0.2">
      <c r="B214" s="171"/>
      <c r="D214" s="171"/>
      <c r="E214" s="171"/>
      <c r="F214" s="158">
        <v>203</v>
      </c>
      <c r="G214" s="249">
        <f t="shared" si="41"/>
        <v>49826</v>
      </c>
      <c r="H214" s="158">
        <f t="shared" si="45"/>
        <v>31</v>
      </c>
      <c r="I214" s="254">
        <f>VLOOKUP(G214,'Прогноз переменной ставки'!$B$5:$E$304,4,1)</f>
        <v>9.9000000000000005E-2</v>
      </c>
      <c r="J214" s="164">
        <f t="shared" si="42"/>
        <v>0</v>
      </c>
      <c r="K214" s="164">
        <f t="shared" si="43"/>
        <v>0</v>
      </c>
      <c r="L214" s="164">
        <f t="shared" si="46"/>
        <v>0</v>
      </c>
      <c r="M214" s="164">
        <f t="shared" si="46"/>
        <v>0</v>
      </c>
      <c r="N214" s="164">
        <f t="shared" si="44"/>
        <v>0</v>
      </c>
      <c r="O214" s="164">
        <f t="shared" si="36"/>
        <v>0</v>
      </c>
      <c r="P214" s="164">
        <f t="shared" si="37"/>
        <v>0</v>
      </c>
      <c r="Q214" s="164">
        <f t="shared" si="38"/>
        <v>0</v>
      </c>
      <c r="R214" s="164">
        <f t="shared" si="47"/>
        <v>0</v>
      </c>
      <c r="S214" s="164">
        <f t="shared" si="39"/>
        <v>0</v>
      </c>
      <c r="T214" s="164">
        <f t="shared" si="40"/>
        <v>0</v>
      </c>
    </row>
    <row r="215" spans="2:20" x14ac:dyDescent="0.2">
      <c r="B215" s="171"/>
      <c r="D215" s="171"/>
      <c r="E215" s="171"/>
      <c r="F215" s="158">
        <v>204</v>
      </c>
      <c r="G215" s="249">
        <f t="shared" si="41"/>
        <v>49856</v>
      </c>
      <c r="H215" s="158">
        <f t="shared" si="45"/>
        <v>30</v>
      </c>
      <c r="I215" s="254">
        <f>VLOOKUP(G215,'Прогноз переменной ставки'!$B$5:$E$304,4,1)</f>
        <v>9.9000000000000005E-2</v>
      </c>
      <c r="J215" s="164">
        <f t="shared" si="42"/>
        <v>0</v>
      </c>
      <c r="K215" s="164">
        <f t="shared" si="43"/>
        <v>0</v>
      </c>
      <c r="L215" s="164">
        <f t="shared" si="46"/>
        <v>0</v>
      </c>
      <c r="M215" s="164">
        <f t="shared" si="46"/>
        <v>0</v>
      </c>
      <c r="N215" s="164">
        <f t="shared" si="44"/>
        <v>0</v>
      </c>
      <c r="O215" s="164">
        <f t="shared" si="36"/>
        <v>0</v>
      </c>
      <c r="P215" s="164">
        <f t="shared" si="37"/>
        <v>0</v>
      </c>
      <c r="Q215" s="164">
        <f t="shared" si="38"/>
        <v>0</v>
      </c>
      <c r="R215" s="164">
        <f t="shared" si="47"/>
        <v>0</v>
      </c>
      <c r="S215" s="164">
        <f t="shared" si="39"/>
        <v>0</v>
      </c>
      <c r="T215" s="164">
        <f t="shared" si="40"/>
        <v>0</v>
      </c>
    </row>
    <row r="216" spans="2:20" x14ac:dyDescent="0.2">
      <c r="B216" s="171"/>
      <c r="D216" s="171"/>
      <c r="E216" s="171"/>
      <c r="F216" s="158">
        <v>205</v>
      </c>
      <c r="G216" s="249">
        <f t="shared" si="41"/>
        <v>49887</v>
      </c>
      <c r="H216" s="158">
        <f t="shared" si="45"/>
        <v>31</v>
      </c>
      <c r="I216" s="254">
        <f>VLOOKUP(G216,'Прогноз переменной ставки'!$B$5:$E$304,4,1)</f>
        <v>9.9000000000000005E-2</v>
      </c>
      <c r="J216" s="164">
        <f t="shared" si="42"/>
        <v>0</v>
      </c>
      <c r="K216" s="164">
        <f t="shared" si="43"/>
        <v>0</v>
      </c>
      <c r="L216" s="164">
        <f t="shared" si="46"/>
        <v>0</v>
      </c>
      <c r="M216" s="164">
        <f t="shared" si="46"/>
        <v>0</v>
      </c>
      <c r="N216" s="164">
        <f t="shared" si="44"/>
        <v>0</v>
      </c>
      <c r="O216" s="164">
        <f t="shared" si="36"/>
        <v>0</v>
      </c>
      <c r="P216" s="164">
        <f t="shared" si="37"/>
        <v>0</v>
      </c>
      <c r="Q216" s="164">
        <f t="shared" si="38"/>
        <v>0</v>
      </c>
      <c r="R216" s="164">
        <f t="shared" si="47"/>
        <v>0</v>
      </c>
      <c r="S216" s="164">
        <f t="shared" si="39"/>
        <v>0</v>
      </c>
      <c r="T216" s="164">
        <f t="shared" si="40"/>
        <v>0</v>
      </c>
    </row>
    <row r="217" spans="2:20" x14ac:dyDescent="0.2">
      <c r="B217" s="171"/>
      <c r="D217" s="171"/>
      <c r="E217" s="171"/>
      <c r="F217" s="158">
        <v>206</v>
      </c>
      <c r="G217" s="249">
        <f t="shared" si="41"/>
        <v>49918</v>
      </c>
      <c r="H217" s="158">
        <f t="shared" si="45"/>
        <v>31</v>
      </c>
      <c r="I217" s="254">
        <f>VLOOKUP(G217,'Прогноз переменной ставки'!$B$5:$E$304,4,1)</f>
        <v>9.9000000000000005E-2</v>
      </c>
      <c r="J217" s="164">
        <f t="shared" si="42"/>
        <v>0</v>
      </c>
      <c r="K217" s="164">
        <f t="shared" si="43"/>
        <v>0</v>
      </c>
      <c r="L217" s="164">
        <f t="shared" si="46"/>
        <v>0</v>
      </c>
      <c r="M217" s="164">
        <f t="shared" si="46"/>
        <v>0</v>
      </c>
      <c r="N217" s="164">
        <f t="shared" si="44"/>
        <v>0</v>
      </c>
      <c r="O217" s="164">
        <f t="shared" si="36"/>
        <v>0</v>
      </c>
      <c r="P217" s="164">
        <f t="shared" si="37"/>
        <v>0</v>
      </c>
      <c r="Q217" s="164">
        <f t="shared" si="38"/>
        <v>0</v>
      </c>
      <c r="R217" s="164">
        <f t="shared" si="47"/>
        <v>0</v>
      </c>
      <c r="S217" s="164">
        <f t="shared" si="39"/>
        <v>0</v>
      </c>
      <c r="T217" s="164">
        <f t="shared" si="40"/>
        <v>0</v>
      </c>
    </row>
    <row r="218" spans="2:20" x14ac:dyDescent="0.2">
      <c r="B218" s="171"/>
      <c r="D218" s="171"/>
      <c r="E218" s="171"/>
      <c r="F218" s="158">
        <v>207</v>
      </c>
      <c r="G218" s="249">
        <f t="shared" si="41"/>
        <v>49948</v>
      </c>
      <c r="H218" s="158">
        <f t="shared" si="45"/>
        <v>30</v>
      </c>
      <c r="I218" s="254">
        <f>VLOOKUP(G218,'Прогноз переменной ставки'!$B$5:$E$304,4,1)</f>
        <v>9.9000000000000005E-2</v>
      </c>
      <c r="J218" s="164">
        <f t="shared" si="42"/>
        <v>0</v>
      </c>
      <c r="K218" s="164">
        <f t="shared" si="43"/>
        <v>0</v>
      </c>
      <c r="L218" s="164">
        <f t="shared" si="46"/>
        <v>0</v>
      </c>
      <c r="M218" s="164">
        <f t="shared" si="46"/>
        <v>0</v>
      </c>
      <c r="N218" s="164">
        <f t="shared" si="44"/>
        <v>0</v>
      </c>
      <c r="O218" s="164">
        <f t="shared" si="36"/>
        <v>0</v>
      </c>
      <c r="P218" s="164">
        <f t="shared" si="37"/>
        <v>0</v>
      </c>
      <c r="Q218" s="164">
        <f t="shared" si="38"/>
        <v>0</v>
      </c>
      <c r="R218" s="164">
        <f t="shared" si="47"/>
        <v>0</v>
      </c>
      <c r="S218" s="164">
        <f t="shared" si="39"/>
        <v>0</v>
      </c>
      <c r="T218" s="164">
        <f t="shared" si="40"/>
        <v>0</v>
      </c>
    </row>
    <row r="219" spans="2:20" x14ac:dyDescent="0.2">
      <c r="B219" s="171"/>
      <c r="D219" s="171"/>
      <c r="E219" s="171"/>
      <c r="F219" s="158">
        <v>208</v>
      </c>
      <c r="G219" s="249">
        <f t="shared" si="41"/>
        <v>49979</v>
      </c>
      <c r="H219" s="158">
        <f t="shared" si="45"/>
        <v>31</v>
      </c>
      <c r="I219" s="254">
        <f>VLOOKUP(G219,'Прогноз переменной ставки'!$B$5:$E$304,4,1)</f>
        <v>9.9000000000000005E-2</v>
      </c>
      <c r="J219" s="164">
        <f t="shared" si="42"/>
        <v>0</v>
      </c>
      <c r="K219" s="164">
        <f t="shared" si="43"/>
        <v>0</v>
      </c>
      <c r="L219" s="164">
        <f t="shared" si="46"/>
        <v>0</v>
      </c>
      <c r="M219" s="164">
        <f t="shared" si="46"/>
        <v>0</v>
      </c>
      <c r="N219" s="164">
        <f t="shared" si="44"/>
        <v>0</v>
      </c>
      <c r="O219" s="164">
        <f t="shared" si="36"/>
        <v>0</v>
      </c>
      <c r="P219" s="164">
        <f t="shared" si="37"/>
        <v>0</v>
      </c>
      <c r="Q219" s="164">
        <f t="shared" si="38"/>
        <v>0</v>
      </c>
      <c r="R219" s="164">
        <f t="shared" si="47"/>
        <v>0</v>
      </c>
      <c r="S219" s="164">
        <f t="shared" si="39"/>
        <v>0</v>
      </c>
      <c r="T219" s="164">
        <f t="shared" si="40"/>
        <v>0</v>
      </c>
    </row>
    <row r="220" spans="2:20" x14ac:dyDescent="0.2">
      <c r="B220" s="171"/>
      <c r="D220" s="171"/>
      <c r="E220" s="171"/>
      <c r="F220" s="158">
        <v>209</v>
      </c>
      <c r="G220" s="249">
        <f t="shared" si="41"/>
        <v>50009</v>
      </c>
      <c r="H220" s="158">
        <f t="shared" si="45"/>
        <v>30</v>
      </c>
      <c r="I220" s="254">
        <f>VLOOKUP(G220,'Прогноз переменной ставки'!$B$5:$E$304,4,1)</f>
        <v>9.9000000000000005E-2</v>
      </c>
      <c r="J220" s="164">
        <f t="shared" si="42"/>
        <v>0</v>
      </c>
      <c r="K220" s="164">
        <f t="shared" si="43"/>
        <v>0</v>
      </c>
      <c r="L220" s="164">
        <f t="shared" si="46"/>
        <v>0</v>
      </c>
      <c r="M220" s="164">
        <f t="shared" si="46"/>
        <v>0</v>
      </c>
      <c r="N220" s="164">
        <f t="shared" si="44"/>
        <v>0</v>
      </c>
      <c r="O220" s="164">
        <f t="shared" si="36"/>
        <v>0</v>
      </c>
      <c r="P220" s="164">
        <f t="shared" si="37"/>
        <v>0</v>
      </c>
      <c r="Q220" s="164">
        <f t="shared" si="38"/>
        <v>0</v>
      </c>
      <c r="R220" s="164">
        <f t="shared" si="47"/>
        <v>0</v>
      </c>
      <c r="S220" s="164">
        <f t="shared" si="39"/>
        <v>0</v>
      </c>
      <c r="T220" s="164">
        <f t="shared" si="40"/>
        <v>0</v>
      </c>
    </row>
    <row r="221" spans="2:20" x14ac:dyDescent="0.2">
      <c r="B221" s="171"/>
      <c r="D221" s="171"/>
      <c r="F221" s="158">
        <v>210</v>
      </c>
      <c r="G221" s="249">
        <f t="shared" si="41"/>
        <v>50040</v>
      </c>
      <c r="H221" s="158">
        <f t="shared" si="45"/>
        <v>31</v>
      </c>
      <c r="I221" s="254">
        <f>VLOOKUP(G221,'Прогноз переменной ставки'!$B$5:$E$304,4,1)</f>
        <v>9.9000000000000005E-2</v>
      </c>
      <c r="J221" s="164">
        <f t="shared" si="42"/>
        <v>0</v>
      </c>
      <c r="K221" s="164">
        <f t="shared" si="43"/>
        <v>0</v>
      </c>
      <c r="L221" s="164">
        <f t="shared" si="46"/>
        <v>0</v>
      </c>
      <c r="M221" s="164">
        <f t="shared" si="46"/>
        <v>0</v>
      </c>
      <c r="N221" s="164">
        <f t="shared" si="44"/>
        <v>0</v>
      </c>
      <c r="O221" s="164">
        <f t="shared" si="36"/>
        <v>0</v>
      </c>
      <c r="P221" s="164">
        <f t="shared" si="37"/>
        <v>0</v>
      </c>
      <c r="Q221" s="164">
        <f t="shared" si="38"/>
        <v>0</v>
      </c>
      <c r="R221" s="164">
        <f t="shared" si="47"/>
        <v>0</v>
      </c>
      <c r="S221" s="164">
        <f t="shared" si="39"/>
        <v>0</v>
      </c>
      <c r="T221" s="164">
        <f t="shared" si="40"/>
        <v>0</v>
      </c>
    </row>
    <row r="222" spans="2:20" x14ac:dyDescent="0.2">
      <c r="B222" s="171"/>
      <c r="D222" s="171"/>
      <c r="F222" s="158">
        <v>211</v>
      </c>
      <c r="G222" s="249">
        <f t="shared" si="41"/>
        <v>50071</v>
      </c>
      <c r="H222" s="158">
        <f t="shared" si="45"/>
        <v>31</v>
      </c>
      <c r="I222" s="254">
        <f>VLOOKUP(G222,'Прогноз переменной ставки'!$B$5:$E$304,4,1)</f>
        <v>9.9000000000000005E-2</v>
      </c>
      <c r="J222" s="164">
        <f t="shared" si="42"/>
        <v>0</v>
      </c>
      <c r="K222" s="164">
        <f t="shared" si="43"/>
        <v>0</v>
      </c>
      <c r="L222" s="164">
        <f t="shared" ref="L222:M277" si="48">S221</f>
        <v>0</v>
      </c>
      <c r="M222" s="164">
        <f t="shared" si="48"/>
        <v>0</v>
      </c>
      <c r="N222" s="164">
        <f t="shared" si="44"/>
        <v>0</v>
      </c>
      <c r="O222" s="164">
        <f t="shared" si="36"/>
        <v>0</v>
      </c>
      <c r="P222" s="164">
        <f t="shared" si="37"/>
        <v>0</v>
      </c>
      <c r="Q222" s="164">
        <f t="shared" si="38"/>
        <v>0</v>
      </c>
      <c r="R222" s="164">
        <f t="shared" si="47"/>
        <v>0</v>
      </c>
      <c r="S222" s="164">
        <f t="shared" si="39"/>
        <v>0</v>
      </c>
      <c r="T222" s="164">
        <f t="shared" si="40"/>
        <v>0</v>
      </c>
    </row>
    <row r="223" spans="2:20" x14ac:dyDescent="0.2">
      <c r="B223" s="171"/>
      <c r="D223" s="171"/>
      <c r="F223" s="158">
        <v>212</v>
      </c>
      <c r="G223" s="249">
        <f t="shared" si="41"/>
        <v>50099</v>
      </c>
      <c r="H223" s="158">
        <f t="shared" si="45"/>
        <v>28</v>
      </c>
      <c r="I223" s="254">
        <f>VLOOKUP(G223,'Прогноз переменной ставки'!$B$5:$E$304,4,1)</f>
        <v>9.9000000000000005E-2</v>
      </c>
      <c r="J223" s="164">
        <f t="shared" si="42"/>
        <v>0</v>
      </c>
      <c r="K223" s="164">
        <f t="shared" si="43"/>
        <v>0</v>
      </c>
      <c r="L223" s="164">
        <f t="shared" si="48"/>
        <v>0</v>
      </c>
      <c r="M223" s="164">
        <f t="shared" si="48"/>
        <v>0</v>
      </c>
      <c r="N223" s="164">
        <f t="shared" si="44"/>
        <v>0</v>
      </c>
      <c r="O223" s="164">
        <f t="shared" si="36"/>
        <v>0</v>
      </c>
      <c r="P223" s="164">
        <f t="shared" si="37"/>
        <v>0</v>
      </c>
      <c r="Q223" s="164">
        <f t="shared" si="38"/>
        <v>0</v>
      </c>
      <c r="R223" s="164">
        <f t="shared" si="47"/>
        <v>0</v>
      </c>
      <c r="S223" s="164">
        <f t="shared" si="39"/>
        <v>0</v>
      </c>
      <c r="T223" s="164">
        <f t="shared" si="40"/>
        <v>0</v>
      </c>
    </row>
    <row r="224" spans="2:20" x14ac:dyDescent="0.2">
      <c r="B224" s="171"/>
      <c r="D224" s="171"/>
      <c r="F224" s="158">
        <v>213</v>
      </c>
      <c r="G224" s="249">
        <f t="shared" si="41"/>
        <v>50130</v>
      </c>
      <c r="H224" s="158">
        <f t="shared" si="45"/>
        <v>31</v>
      </c>
      <c r="I224" s="254">
        <f>VLOOKUP(G224,'Прогноз переменной ставки'!$B$5:$E$304,4,1)</f>
        <v>9.9000000000000005E-2</v>
      </c>
      <c r="J224" s="164">
        <f t="shared" si="42"/>
        <v>0</v>
      </c>
      <c r="K224" s="164">
        <f t="shared" si="43"/>
        <v>0</v>
      </c>
      <c r="L224" s="164">
        <f t="shared" si="48"/>
        <v>0</v>
      </c>
      <c r="M224" s="164">
        <f t="shared" si="48"/>
        <v>0</v>
      </c>
      <c r="N224" s="164">
        <f t="shared" si="44"/>
        <v>0</v>
      </c>
      <c r="O224" s="164">
        <f t="shared" si="36"/>
        <v>0</v>
      </c>
      <c r="P224" s="164">
        <f t="shared" si="37"/>
        <v>0</v>
      </c>
      <c r="Q224" s="164">
        <f t="shared" si="38"/>
        <v>0</v>
      </c>
      <c r="R224" s="164">
        <f t="shared" si="47"/>
        <v>0</v>
      </c>
      <c r="S224" s="164">
        <f t="shared" si="39"/>
        <v>0</v>
      </c>
      <c r="T224" s="164">
        <f t="shared" si="40"/>
        <v>0</v>
      </c>
    </row>
    <row r="225" spans="2:20" x14ac:dyDescent="0.2">
      <c r="B225" s="171"/>
      <c r="D225" s="171"/>
      <c r="F225" s="158">
        <v>214</v>
      </c>
      <c r="G225" s="249">
        <f t="shared" si="41"/>
        <v>50160</v>
      </c>
      <c r="H225" s="158">
        <f t="shared" si="45"/>
        <v>30</v>
      </c>
      <c r="I225" s="254">
        <f>VLOOKUP(G225,'Прогноз переменной ставки'!$B$5:$E$304,4,1)</f>
        <v>9.9000000000000005E-2</v>
      </c>
      <c r="J225" s="164">
        <f t="shared" si="42"/>
        <v>0</v>
      </c>
      <c r="K225" s="164">
        <f t="shared" si="43"/>
        <v>0</v>
      </c>
      <c r="L225" s="164">
        <f t="shared" si="48"/>
        <v>0</v>
      </c>
      <c r="M225" s="164">
        <f t="shared" si="48"/>
        <v>0</v>
      </c>
      <c r="N225" s="164">
        <f t="shared" si="44"/>
        <v>0</v>
      </c>
      <c r="O225" s="164">
        <f t="shared" si="36"/>
        <v>0</v>
      </c>
      <c r="P225" s="164">
        <f t="shared" si="37"/>
        <v>0</v>
      </c>
      <c r="Q225" s="164">
        <f t="shared" si="38"/>
        <v>0</v>
      </c>
      <c r="R225" s="164">
        <f t="shared" si="47"/>
        <v>0</v>
      </c>
      <c r="S225" s="164">
        <f t="shared" si="39"/>
        <v>0</v>
      </c>
      <c r="T225" s="164">
        <f t="shared" si="40"/>
        <v>0</v>
      </c>
    </row>
    <row r="226" spans="2:20" x14ac:dyDescent="0.2">
      <c r="B226" s="171"/>
      <c r="D226" s="171"/>
      <c r="F226" s="158">
        <v>215</v>
      </c>
      <c r="G226" s="249">
        <f t="shared" si="41"/>
        <v>50191</v>
      </c>
      <c r="H226" s="158">
        <f t="shared" si="45"/>
        <v>31</v>
      </c>
      <c r="I226" s="254">
        <f>VLOOKUP(G226,'Прогноз переменной ставки'!$B$5:$E$304,4,1)</f>
        <v>9.9000000000000005E-2</v>
      </c>
      <c r="J226" s="164">
        <f t="shared" si="42"/>
        <v>0</v>
      </c>
      <c r="K226" s="164">
        <f t="shared" si="43"/>
        <v>0</v>
      </c>
      <c r="L226" s="164">
        <f t="shared" si="48"/>
        <v>0</v>
      </c>
      <c r="M226" s="164">
        <f t="shared" si="48"/>
        <v>0</v>
      </c>
      <c r="N226" s="164">
        <f t="shared" si="44"/>
        <v>0</v>
      </c>
      <c r="O226" s="164">
        <f t="shared" si="36"/>
        <v>0</v>
      </c>
      <c r="P226" s="164">
        <f t="shared" si="37"/>
        <v>0</v>
      </c>
      <c r="Q226" s="164">
        <f t="shared" si="38"/>
        <v>0</v>
      </c>
      <c r="R226" s="164">
        <f t="shared" si="47"/>
        <v>0</v>
      </c>
      <c r="S226" s="164">
        <f t="shared" si="39"/>
        <v>0</v>
      </c>
      <c r="T226" s="164">
        <f t="shared" si="40"/>
        <v>0</v>
      </c>
    </row>
    <row r="227" spans="2:20" x14ac:dyDescent="0.2">
      <c r="B227" s="171"/>
      <c r="D227" s="171"/>
      <c r="F227" s="158">
        <v>216</v>
      </c>
      <c r="G227" s="249">
        <f t="shared" si="41"/>
        <v>50221</v>
      </c>
      <c r="H227" s="158">
        <f t="shared" si="45"/>
        <v>30</v>
      </c>
      <c r="I227" s="254">
        <f>VLOOKUP(G227,'Прогноз переменной ставки'!$B$5:$E$304,4,1)</f>
        <v>9.9000000000000005E-2</v>
      </c>
      <c r="J227" s="164">
        <f t="shared" si="42"/>
        <v>0</v>
      </c>
      <c r="K227" s="164">
        <f t="shared" si="43"/>
        <v>0</v>
      </c>
      <c r="L227" s="164">
        <f t="shared" si="48"/>
        <v>0</v>
      </c>
      <c r="M227" s="164">
        <f t="shared" si="48"/>
        <v>0</v>
      </c>
      <c r="N227" s="164">
        <f t="shared" si="44"/>
        <v>0</v>
      </c>
      <c r="O227" s="164">
        <f t="shared" si="36"/>
        <v>0</v>
      </c>
      <c r="P227" s="164">
        <f t="shared" si="37"/>
        <v>0</v>
      </c>
      <c r="Q227" s="164">
        <f t="shared" si="38"/>
        <v>0</v>
      </c>
      <c r="R227" s="164">
        <f t="shared" si="47"/>
        <v>0</v>
      </c>
      <c r="S227" s="164">
        <f t="shared" si="39"/>
        <v>0</v>
      </c>
      <c r="T227" s="164">
        <f t="shared" si="40"/>
        <v>0</v>
      </c>
    </row>
    <row r="228" spans="2:20" x14ac:dyDescent="0.2">
      <c r="B228" s="171"/>
      <c r="D228" s="171"/>
      <c r="F228" s="158">
        <v>217</v>
      </c>
      <c r="G228" s="249">
        <f t="shared" si="41"/>
        <v>50252</v>
      </c>
      <c r="H228" s="158">
        <f t="shared" si="45"/>
        <v>31</v>
      </c>
      <c r="I228" s="254">
        <f>VLOOKUP(G228,'Прогноз переменной ставки'!$B$5:$E$304,4,1)</f>
        <v>9.9000000000000005E-2</v>
      </c>
      <c r="J228" s="164">
        <f t="shared" si="42"/>
        <v>0</v>
      </c>
      <c r="K228" s="164">
        <f t="shared" si="43"/>
        <v>0</v>
      </c>
      <c r="L228" s="164">
        <f t="shared" si="48"/>
        <v>0</v>
      </c>
      <c r="M228" s="164">
        <f t="shared" si="48"/>
        <v>0</v>
      </c>
      <c r="N228" s="164">
        <f t="shared" si="44"/>
        <v>0</v>
      </c>
      <c r="O228" s="164">
        <f t="shared" si="36"/>
        <v>0</v>
      </c>
      <c r="P228" s="164">
        <f t="shared" si="37"/>
        <v>0</v>
      </c>
      <c r="Q228" s="164">
        <f t="shared" si="38"/>
        <v>0</v>
      </c>
      <c r="R228" s="164">
        <f t="shared" si="47"/>
        <v>0</v>
      </c>
      <c r="S228" s="164">
        <f t="shared" si="39"/>
        <v>0</v>
      </c>
      <c r="T228" s="164">
        <f t="shared" si="40"/>
        <v>0</v>
      </c>
    </row>
    <row r="229" spans="2:20" x14ac:dyDescent="0.2">
      <c r="B229" s="171"/>
      <c r="D229" s="171"/>
      <c r="F229" s="158">
        <v>218</v>
      </c>
      <c r="G229" s="249">
        <f t="shared" si="41"/>
        <v>50283</v>
      </c>
      <c r="H229" s="158">
        <f t="shared" si="45"/>
        <v>31</v>
      </c>
      <c r="I229" s="254">
        <f>VLOOKUP(G229,'Прогноз переменной ставки'!$B$5:$E$304,4,1)</f>
        <v>9.9000000000000005E-2</v>
      </c>
      <c r="J229" s="164">
        <f t="shared" si="42"/>
        <v>0</v>
      </c>
      <c r="K229" s="164">
        <f t="shared" si="43"/>
        <v>0</v>
      </c>
      <c r="L229" s="164">
        <f t="shared" si="48"/>
        <v>0</v>
      </c>
      <c r="M229" s="164">
        <f t="shared" si="48"/>
        <v>0</v>
      </c>
      <c r="N229" s="164">
        <f t="shared" si="44"/>
        <v>0</v>
      </c>
      <c r="O229" s="164">
        <f t="shared" si="36"/>
        <v>0</v>
      </c>
      <c r="P229" s="164">
        <f t="shared" si="37"/>
        <v>0</v>
      </c>
      <c r="Q229" s="164">
        <f t="shared" si="38"/>
        <v>0</v>
      </c>
      <c r="R229" s="164">
        <f t="shared" si="47"/>
        <v>0</v>
      </c>
      <c r="S229" s="164">
        <f t="shared" si="39"/>
        <v>0</v>
      </c>
      <c r="T229" s="164">
        <f t="shared" si="40"/>
        <v>0</v>
      </c>
    </row>
    <row r="230" spans="2:20" x14ac:dyDescent="0.2">
      <c r="B230" s="171"/>
      <c r="D230" s="171"/>
      <c r="F230" s="158">
        <v>219</v>
      </c>
      <c r="G230" s="249">
        <f t="shared" si="41"/>
        <v>50313</v>
      </c>
      <c r="H230" s="158">
        <f t="shared" si="45"/>
        <v>30</v>
      </c>
      <c r="I230" s="254">
        <f>VLOOKUP(G230,'Прогноз переменной ставки'!$B$5:$E$304,4,1)</f>
        <v>9.9000000000000005E-2</v>
      </c>
      <c r="J230" s="164">
        <f t="shared" si="42"/>
        <v>0</v>
      </c>
      <c r="K230" s="164">
        <f t="shared" si="43"/>
        <v>0</v>
      </c>
      <c r="L230" s="164">
        <f t="shared" si="48"/>
        <v>0</v>
      </c>
      <c r="M230" s="164">
        <f t="shared" si="48"/>
        <v>0</v>
      </c>
      <c r="N230" s="164">
        <f t="shared" si="44"/>
        <v>0</v>
      </c>
      <c r="O230" s="164">
        <f t="shared" si="36"/>
        <v>0</v>
      </c>
      <c r="P230" s="164">
        <f t="shared" si="37"/>
        <v>0</v>
      </c>
      <c r="Q230" s="164">
        <f t="shared" si="38"/>
        <v>0</v>
      </c>
      <c r="R230" s="164">
        <f t="shared" si="47"/>
        <v>0</v>
      </c>
      <c r="S230" s="164">
        <f t="shared" si="39"/>
        <v>0</v>
      </c>
      <c r="T230" s="164">
        <f t="shared" si="40"/>
        <v>0</v>
      </c>
    </row>
    <row r="231" spans="2:20" x14ac:dyDescent="0.2">
      <c r="B231" s="171"/>
      <c r="D231" s="171"/>
      <c r="F231" s="158">
        <v>220</v>
      </c>
      <c r="G231" s="249">
        <f t="shared" si="41"/>
        <v>50344</v>
      </c>
      <c r="H231" s="158">
        <f t="shared" si="45"/>
        <v>31</v>
      </c>
      <c r="I231" s="254">
        <f>VLOOKUP(G231,'Прогноз переменной ставки'!$B$5:$E$304,4,1)</f>
        <v>9.9000000000000005E-2</v>
      </c>
      <c r="J231" s="164">
        <f t="shared" si="42"/>
        <v>0</v>
      </c>
      <c r="K231" s="164">
        <f t="shared" si="43"/>
        <v>0</v>
      </c>
      <c r="L231" s="164">
        <f t="shared" si="48"/>
        <v>0</v>
      </c>
      <c r="M231" s="164">
        <f t="shared" si="48"/>
        <v>0</v>
      </c>
      <c r="N231" s="164">
        <f t="shared" si="44"/>
        <v>0</v>
      </c>
      <c r="O231" s="164">
        <f t="shared" si="36"/>
        <v>0</v>
      </c>
      <c r="P231" s="164">
        <f t="shared" si="37"/>
        <v>0</v>
      </c>
      <c r="Q231" s="164">
        <f t="shared" si="38"/>
        <v>0</v>
      </c>
      <c r="R231" s="164">
        <f t="shared" si="47"/>
        <v>0</v>
      </c>
      <c r="S231" s="164">
        <f t="shared" si="39"/>
        <v>0</v>
      </c>
      <c r="T231" s="164">
        <f t="shared" si="40"/>
        <v>0</v>
      </c>
    </row>
    <row r="232" spans="2:20" x14ac:dyDescent="0.2">
      <c r="B232" s="171"/>
      <c r="D232" s="171"/>
      <c r="F232" s="158">
        <v>221</v>
      </c>
      <c r="G232" s="249">
        <f t="shared" si="41"/>
        <v>50374</v>
      </c>
      <c r="H232" s="158">
        <f t="shared" si="45"/>
        <v>30</v>
      </c>
      <c r="I232" s="254">
        <f>VLOOKUP(G232,'Прогноз переменной ставки'!$B$5:$E$304,4,1)</f>
        <v>9.9000000000000005E-2</v>
      </c>
      <c r="J232" s="164">
        <f t="shared" si="42"/>
        <v>0</v>
      </c>
      <c r="K232" s="164">
        <f t="shared" si="43"/>
        <v>0</v>
      </c>
      <c r="L232" s="164">
        <f t="shared" si="48"/>
        <v>0</v>
      </c>
      <c r="M232" s="164">
        <f t="shared" si="48"/>
        <v>0</v>
      </c>
      <c r="N232" s="164">
        <f t="shared" si="44"/>
        <v>0</v>
      </c>
      <c r="O232" s="164">
        <f t="shared" si="36"/>
        <v>0</v>
      </c>
      <c r="P232" s="164">
        <f t="shared" si="37"/>
        <v>0</v>
      </c>
      <c r="Q232" s="164">
        <f t="shared" si="38"/>
        <v>0</v>
      </c>
      <c r="R232" s="164">
        <f t="shared" si="47"/>
        <v>0</v>
      </c>
      <c r="S232" s="164">
        <f t="shared" si="39"/>
        <v>0</v>
      </c>
      <c r="T232" s="164">
        <f t="shared" si="40"/>
        <v>0</v>
      </c>
    </row>
    <row r="233" spans="2:20" x14ac:dyDescent="0.2">
      <c r="B233" s="171"/>
      <c r="D233" s="171"/>
      <c r="F233" s="158">
        <v>222</v>
      </c>
      <c r="G233" s="249">
        <f t="shared" si="41"/>
        <v>50405</v>
      </c>
      <c r="H233" s="158">
        <f t="shared" si="45"/>
        <v>31</v>
      </c>
      <c r="I233" s="254">
        <f>VLOOKUP(G233,'Прогноз переменной ставки'!$B$5:$E$304,4,1)</f>
        <v>9.9000000000000005E-2</v>
      </c>
      <c r="J233" s="164">
        <f t="shared" si="42"/>
        <v>0</v>
      </c>
      <c r="K233" s="164">
        <f t="shared" si="43"/>
        <v>0</v>
      </c>
      <c r="L233" s="164">
        <f t="shared" si="48"/>
        <v>0</v>
      </c>
      <c r="M233" s="164">
        <f t="shared" si="48"/>
        <v>0</v>
      </c>
      <c r="N233" s="164">
        <f t="shared" si="44"/>
        <v>0</v>
      </c>
      <c r="O233" s="164">
        <f t="shared" si="36"/>
        <v>0</v>
      </c>
      <c r="P233" s="164">
        <f t="shared" si="37"/>
        <v>0</v>
      </c>
      <c r="Q233" s="164">
        <f t="shared" si="38"/>
        <v>0</v>
      </c>
      <c r="R233" s="164">
        <f t="shared" si="47"/>
        <v>0</v>
      </c>
      <c r="S233" s="164">
        <f t="shared" si="39"/>
        <v>0</v>
      </c>
      <c r="T233" s="164">
        <f t="shared" si="40"/>
        <v>0</v>
      </c>
    </row>
    <row r="234" spans="2:20" x14ac:dyDescent="0.2">
      <c r="B234" s="171"/>
      <c r="D234" s="171"/>
      <c r="F234" s="158">
        <v>223</v>
      </c>
      <c r="G234" s="249">
        <f t="shared" si="41"/>
        <v>50436</v>
      </c>
      <c r="H234" s="158">
        <f t="shared" si="45"/>
        <v>31</v>
      </c>
      <c r="I234" s="254">
        <f>VLOOKUP(G234,'Прогноз переменной ставки'!$B$5:$E$304,4,1)</f>
        <v>9.9000000000000005E-2</v>
      </c>
      <c r="J234" s="164">
        <f t="shared" si="42"/>
        <v>0</v>
      </c>
      <c r="K234" s="164">
        <f t="shared" si="43"/>
        <v>0</v>
      </c>
      <c r="L234" s="164">
        <f t="shared" si="48"/>
        <v>0</v>
      </c>
      <c r="M234" s="164">
        <f t="shared" si="48"/>
        <v>0</v>
      </c>
      <c r="N234" s="164">
        <f t="shared" si="44"/>
        <v>0</v>
      </c>
      <c r="O234" s="164">
        <f t="shared" si="36"/>
        <v>0</v>
      </c>
      <c r="P234" s="164">
        <f t="shared" si="37"/>
        <v>0</v>
      </c>
      <c r="Q234" s="164">
        <f t="shared" si="38"/>
        <v>0</v>
      </c>
      <c r="R234" s="164">
        <f t="shared" si="47"/>
        <v>0</v>
      </c>
      <c r="S234" s="164">
        <f t="shared" si="39"/>
        <v>0</v>
      </c>
      <c r="T234" s="164">
        <f t="shared" si="40"/>
        <v>0</v>
      </c>
    </row>
    <row r="235" spans="2:20" x14ac:dyDescent="0.2">
      <c r="B235" s="171"/>
      <c r="D235" s="171"/>
      <c r="F235" s="158">
        <v>224</v>
      </c>
      <c r="G235" s="249">
        <f t="shared" si="41"/>
        <v>50464</v>
      </c>
      <c r="H235" s="158">
        <f t="shared" si="45"/>
        <v>28</v>
      </c>
      <c r="I235" s="254">
        <f>VLOOKUP(G235,'Прогноз переменной ставки'!$B$5:$E$304,4,1)</f>
        <v>9.9000000000000005E-2</v>
      </c>
      <c r="J235" s="164">
        <f t="shared" si="42"/>
        <v>0</v>
      </c>
      <c r="K235" s="164">
        <f t="shared" si="43"/>
        <v>0</v>
      </c>
      <c r="L235" s="164">
        <f t="shared" si="48"/>
        <v>0</v>
      </c>
      <c r="M235" s="164">
        <f t="shared" si="48"/>
        <v>0</v>
      </c>
      <c r="N235" s="164">
        <f t="shared" si="44"/>
        <v>0</v>
      </c>
      <c r="O235" s="164">
        <f t="shared" si="36"/>
        <v>0</v>
      </c>
      <c r="P235" s="164">
        <f t="shared" si="37"/>
        <v>0</v>
      </c>
      <c r="Q235" s="164">
        <f t="shared" si="38"/>
        <v>0</v>
      </c>
      <c r="R235" s="164">
        <f t="shared" si="47"/>
        <v>0</v>
      </c>
      <c r="S235" s="164">
        <f t="shared" si="39"/>
        <v>0</v>
      </c>
      <c r="T235" s="164">
        <f t="shared" si="40"/>
        <v>0</v>
      </c>
    </row>
    <row r="236" spans="2:20" x14ac:dyDescent="0.2">
      <c r="B236" s="171"/>
      <c r="D236" s="171"/>
      <c r="F236" s="158">
        <v>225</v>
      </c>
      <c r="G236" s="249">
        <f t="shared" si="41"/>
        <v>50495</v>
      </c>
      <c r="H236" s="158">
        <f t="shared" si="45"/>
        <v>31</v>
      </c>
      <c r="I236" s="254">
        <f>VLOOKUP(G236,'Прогноз переменной ставки'!$B$5:$E$304,4,1)</f>
        <v>9.9000000000000005E-2</v>
      </c>
      <c r="J236" s="164">
        <f t="shared" si="42"/>
        <v>0</v>
      </c>
      <c r="K236" s="164">
        <f t="shared" si="43"/>
        <v>0</v>
      </c>
      <c r="L236" s="164">
        <f t="shared" si="48"/>
        <v>0</v>
      </c>
      <c r="M236" s="164">
        <f t="shared" si="48"/>
        <v>0</v>
      </c>
      <c r="N236" s="164">
        <f t="shared" si="44"/>
        <v>0</v>
      </c>
      <c r="O236" s="164">
        <f t="shared" si="36"/>
        <v>0</v>
      </c>
      <c r="P236" s="164">
        <f t="shared" si="37"/>
        <v>0</v>
      </c>
      <c r="Q236" s="164">
        <f t="shared" si="38"/>
        <v>0</v>
      </c>
      <c r="R236" s="164">
        <f t="shared" si="47"/>
        <v>0</v>
      </c>
      <c r="S236" s="164">
        <f t="shared" si="39"/>
        <v>0</v>
      </c>
      <c r="T236" s="164">
        <f t="shared" si="40"/>
        <v>0</v>
      </c>
    </row>
    <row r="237" spans="2:20" x14ac:dyDescent="0.2">
      <c r="B237" s="171"/>
      <c r="D237" s="171"/>
      <c r="F237" s="158">
        <v>226</v>
      </c>
      <c r="G237" s="249">
        <f t="shared" si="41"/>
        <v>50525</v>
      </c>
      <c r="H237" s="158">
        <f t="shared" si="45"/>
        <v>30</v>
      </c>
      <c r="I237" s="254">
        <f>VLOOKUP(G237,'Прогноз переменной ставки'!$B$5:$E$304,4,1)</f>
        <v>9.9000000000000005E-2</v>
      </c>
      <c r="J237" s="164">
        <f t="shared" si="42"/>
        <v>0</v>
      </c>
      <c r="K237" s="164">
        <f t="shared" si="43"/>
        <v>0</v>
      </c>
      <c r="L237" s="164">
        <f t="shared" si="48"/>
        <v>0</v>
      </c>
      <c r="M237" s="164">
        <f t="shared" si="48"/>
        <v>0</v>
      </c>
      <c r="N237" s="164">
        <f t="shared" si="44"/>
        <v>0</v>
      </c>
      <c r="O237" s="164">
        <f t="shared" si="36"/>
        <v>0</v>
      </c>
      <c r="P237" s="164">
        <f t="shared" si="37"/>
        <v>0</v>
      </c>
      <c r="Q237" s="164">
        <f t="shared" si="38"/>
        <v>0</v>
      </c>
      <c r="R237" s="164">
        <f t="shared" si="47"/>
        <v>0</v>
      </c>
      <c r="S237" s="164">
        <f t="shared" si="39"/>
        <v>0</v>
      </c>
      <c r="T237" s="164">
        <f t="shared" si="40"/>
        <v>0</v>
      </c>
    </row>
    <row r="238" spans="2:20" x14ac:dyDescent="0.2">
      <c r="B238" s="171"/>
      <c r="D238" s="171"/>
      <c r="F238" s="158">
        <v>227</v>
      </c>
      <c r="G238" s="249">
        <f t="shared" si="41"/>
        <v>50556</v>
      </c>
      <c r="H238" s="158">
        <f t="shared" si="45"/>
        <v>31</v>
      </c>
      <c r="I238" s="254">
        <f>VLOOKUP(G238,'Прогноз переменной ставки'!$B$5:$E$304,4,1)</f>
        <v>9.9000000000000005E-2</v>
      </c>
      <c r="J238" s="164">
        <f t="shared" si="42"/>
        <v>0</v>
      </c>
      <c r="K238" s="164">
        <f t="shared" si="43"/>
        <v>0</v>
      </c>
      <c r="L238" s="164">
        <f t="shared" si="48"/>
        <v>0</v>
      </c>
      <c r="M238" s="164">
        <f t="shared" si="48"/>
        <v>0</v>
      </c>
      <c r="N238" s="164">
        <f t="shared" si="44"/>
        <v>0</v>
      </c>
      <c r="O238" s="164">
        <f t="shared" si="36"/>
        <v>0</v>
      </c>
      <c r="P238" s="164">
        <f t="shared" si="37"/>
        <v>0</v>
      </c>
      <c r="Q238" s="164">
        <f t="shared" si="38"/>
        <v>0</v>
      </c>
      <c r="R238" s="164">
        <f t="shared" si="47"/>
        <v>0</v>
      </c>
      <c r="S238" s="164">
        <f t="shared" si="39"/>
        <v>0</v>
      </c>
      <c r="T238" s="164">
        <f t="shared" si="40"/>
        <v>0</v>
      </c>
    </row>
    <row r="239" spans="2:20" x14ac:dyDescent="0.2">
      <c r="B239" s="171"/>
      <c r="D239" s="171"/>
      <c r="F239" s="158">
        <v>228</v>
      </c>
      <c r="G239" s="249">
        <f t="shared" si="41"/>
        <v>50586</v>
      </c>
      <c r="H239" s="158">
        <f t="shared" si="45"/>
        <v>30</v>
      </c>
      <c r="I239" s="254">
        <f>VLOOKUP(G239,'Прогноз переменной ставки'!$B$5:$E$304,4,1)</f>
        <v>9.9000000000000005E-2</v>
      </c>
      <c r="J239" s="164">
        <f t="shared" si="42"/>
        <v>0</v>
      </c>
      <c r="K239" s="164">
        <f t="shared" si="43"/>
        <v>0</v>
      </c>
      <c r="L239" s="164">
        <f t="shared" si="48"/>
        <v>0</v>
      </c>
      <c r="M239" s="164">
        <f t="shared" si="48"/>
        <v>0</v>
      </c>
      <c r="N239" s="164">
        <f t="shared" si="44"/>
        <v>0</v>
      </c>
      <c r="O239" s="164">
        <f t="shared" si="36"/>
        <v>0</v>
      </c>
      <c r="P239" s="164">
        <f t="shared" si="37"/>
        <v>0</v>
      </c>
      <c r="Q239" s="164">
        <f t="shared" si="38"/>
        <v>0</v>
      </c>
      <c r="R239" s="164">
        <f t="shared" si="47"/>
        <v>0</v>
      </c>
      <c r="S239" s="164">
        <f t="shared" si="39"/>
        <v>0</v>
      </c>
      <c r="T239" s="164">
        <f t="shared" si="40"/>
        <v>0</v>
      </c>
    </row>
    <row r="240" spans="2:20" x14ac:dyDescent="0.2">
      <c r="B240" s="171"/>
      <c r="D240" s="171"/>
      <c r="F240" s="158">
        <v>229</v>
      </c>
      <c r="G240" s="249">
        <f t="shared" si="41"/>
        <v>50617</v>
      </c>
      <c r="H240" s="158">
        <f t="shared" si="45"/>
        <v>31</v>
      </c>
      <c r="I240" s="254">
        <f>VLOOKUP(G240,'Прогноз переменной ставки'!$B$5:$E$304,4,1)</f>
        <v>9.9000000000000005E-2</v>
      </c>
      <c r="J240" s="164">
        <f t="shared" si="42"/>
        <v>0</v>
      </c>
      <c r="K240" s="164">
        <f t="shared" si="43"/>
        <v>0</v>
      </c>
      <c r="L240" s="164">
        <f t="shared" si="48"/>
        <v>0</v>
      </c>
      <c r="M240" s="164">
        <f t="shared" si="48"/>
        <v>0</v>
      </c>
      <c r="N240" s="164">
        <f t="shared" si="44"/>
        <v>0</v>
      </c>
      <c r="O240" s="164">
        <f t="shared" si="36"/>
        <v>0</v>
      </c>
      <c r="P240" s="164">
        <f t="shared" si="37"/>
        <v>0</v>
      </c>
      <c r="Q240" s="164">
        <f t="shared" si="38"/>
        <v>0</v>
      </c>
      <c r="R240" s="164">
        <f t="shared" si="47"/>
        <v>0</v>
      </c>
      <c r="S240" s="164">
        <f t="shared" si="39"/>
        <v>0</v>
      </c>
      <c r="T240" s="164">
        <f t="shared" si="40"/>
        <v>0</v>
      </c>
    </row>
    <row r="241" spans="2:20" x14ac:dyDescent="0.2">
      <c r="B241" s="171"/>
      <c r="D241" s="171"/>
      <c r="F241" s="158">
        <v>230</v>
      </c>
      <c r="G241" s="249">
        <f t="shared" si="41"/>
        <v>50648</v>
      </c>
      <c r="H241" s="158">
        <f t="shared" si="45"/>
        <v>31</v>
      </c>
      <c r="I241" s="254">
        <f>VLOOKUP(G241,'Прогноз переменной ставки'!$B$5:$E$304,4,1)</f>
        <v>9.9000000000000005E-2</v>
      </c>
      <c r="J241" s="164">
        <f t="shared" si="42"/>
        <v>0</v>
      </c>
      <c r="K241" s="164">
        <f t="shared" si="43"/>
        <v>0</v>
      </c>
      <c r="L241" s="164">
        <f t="shared" si="48"/>
        <v>0</v>
      </c>
      <c r="M241" s="164">
        <f t="shared" si="48"/>
        <v>0</v>
      </c>
      <c r="N241" s="164">
        <f t="shared" si="44"/>
        <v>0</v>
      </c>
      <c r="O241" s="164">
        <f t="shared" si="36"/>
        <v>0</v>
      </c>
      <c r="P241" s="164">
        <f t="shared" si="37"/>
        <v>0</v>
      </c>
      <c r="Q241" s="164">
        <f t="shared" si="38"/>
        <v>0</v>
      </c>
      <c r="R241" s="164">
        <f t="shared" si="47"/>
        <v>0</v>
      </c>
      <c r="S241" s="164">
        <f t="shared" si="39"/>
        <v>0</v>
      </c>
      <c r="T241" s="164">
        <f t="shared" si="40"/>
        <v>0</v>
      </c>
    </row>
    <row r="242" spans="2:20" x14ac:dyDescent="0.2">
      <c r="B242" s="171"/>
      <c r="D242" s="171"/>
      <c r="F242" s="158">
        <v>231</v>
      </c>
      <c r="G242" s="249">
        <f t="shared" si="41"/>
        <v>50678</v>
      </c>
      <c r="H242" s="158">
        <f t="shared" si="45"/>
        <v>30</v>
      </c>
      <c r="I242" s="254">
        <f>VLOOKUP(G242,'Прогноз переменной ставки'!$B$5:$E$304,4,1)</f>
        <v>9.9000000000000005E-2</v>
      </c>
      <c r="J242" s="164">
        <f t="shared" si="42"/>
        <v>0</v>
      </c>
      <c r="K242" s="164">
        <f t="shared" si="43"/>
        <v>0</v>
      </c>
      <c r="L242" s="164">
        <f t="shared" si="48"/>
        <v>0</v>
      </c>
      <c r="M242" s="164">
        <f t="shared" si="48"/>
        <v>0</v>
      </c>
      <c r="N242" s="164">
        <f t="shared" si="44"/>
        <v>0</v>
      </c>
      <c r="O242" s="164">
        <f t="shared" si="36"/>
        <v>0</v>
      </c>
      <c r="P242" s="164">
        <f t="shared" si="37"/>
        <v>0</v>
      </c>
      <c r="Q242" s="164">
        <f t="shared" si="38"/>
        <v>0</v>
      </c>
      <c r="R242" s="164">
        <f t="shared" si="47"/>
        <v>0</v>
      </c>
      <c r="S242" s="164">
        <f t="shared" si="39"/>
        <v>0</v>
      </c>
      <c r="T242" s="164">
        <f t="shared" si="40"/>
        <v>0</v>
      </c>
    </row>
    <row r="243" spans="2:20" x14ac:dyDescent="0.2">
      <c r="B243" s="171"/>
      <c r="D243" s="171"/>
      <c r="F243" s="158">
        <v>232</v>
      </c>
      <c r="G243" s="249">
        <f t="shared" si="41"/>
        <v>50709</v>
      </c>
      <c r="H243" s="158">
        <f t="shared" si="45"/>
        <v>31</v>
      </c>
      <c r="I243" s="254">
        <f>VLOOKUP(G243,'Прогноз переменной ставки'!$B$5:$E$304,4,1)</f>
        <v>9.9000000000000005E-2</v>
      </c>
      <c r="J243" s="164">
        <f t="shared" si="42"/>
        <v>0</v>
      </c>
      <c r="K243" s="164">
        <f t="shared" si="43"/>
        <v>0</v>
      </c>
      <c r="L243" s="164">
        <f t="shared" si="48"/>
        <v>0</v>
      </c>
      <c r="M243" s="164">
        <f t="shared" si="48"/>
        <v>0</v>
      </c>
      <c r="N243" s="164">
        <f t="shared" si="44"/>
        <v>0</v>
      </c>
      <c r="O243" s="164">
        <f t="shared" si="36"/>
        <v>0</v>
      </c>
      <c r="P243" s="164">
        <f t="shared" si="37"/>
        <v>0</v>
      </c>
      <c r="Q243" s="164">
        <f t="shared" si="38"/>
        <v>0</v>
      </c>
      <c r="R243" s="164">
        <f t="shared" si="47"/>
        <v>0</v>
      </c>
      <c r="S243" s="164">
        <f t="shared" si="39"/>
        <v>0</v>
      </c>
      <c r="T243" s="164">
        <f t="shared" si="40"/>
        <v>0</v>
      </c>
    </row>
    <row r="244" spans="2:20" x14ac:dyDescent="0.2">
      <c r="B244" s="171"/>
      <c r="D244" s="171"/>
      <c r="F244" s="158">
        <v>233</v>
      </c>
      <c r="G244" s="249">
        <f t="shared" si="41"/>
        <v>50739</v>
      </c>
      <c r="H244" s="158">
        <f t="shared" si="45"/>
        <v>30</v>
      </c>
      <c r="I244" s="254">
        <f>VLOOKUP(G244,'Прогноз переменной ставки'!$B$5:$E$304,4,1)</f>
        <v>9.9000000000000005E-2</v>
      </c>
      <c r="J244" s="164">
        <f t="shared" si="42"/>
        <v>0</v>
      </c>
      <c r="K244" s="164">
        <f t="shared" si="43"/>
        <v>0</v>
      </c>
      <c r="L244" s="164">
        <f t="shared" si="48"/>
        <v>0</v>
      </c>
      <c r="M244" s="164">
        <f t="shared" si="48"/>
        <v>0</v>
      </c>
      <c r="N244" s="164">
        <f t="shared" si="44"/>
        <v>0</v>
      </c>
      <c r="O244" s="164">
        <f t="shared" si="36"/>
        <v>0</v>
      </c>
      <c r="P244" s="164">
        <f t="shared" si="37"/>
        <v>0</v>
      </c>
      <c r="Q244" s="164">
        <f t="shared" si="38"/>
        <v>0</v>
      </c>
      <c r="R244" s="164">
        <f t="shared" si="47"/>
        <v>0</v>
      </c>
      <c r="S244" s="164">
        <f t="shared" si="39"/>
        <v>0</v>
      </c>
      <c r="T244" s="164">
        <f t="shared" si="40"/>
        <v>0</v>
      </c>
    </row>
    <row r="245" spans="2:20" x14ac:dyDescent="0.2">
      <c r="B245" s="171"/>
      <c r="D245" s="171"/>
      <c r="F245" s="158">
        <v>234</v>
      </c>
      <c r="G245" s="249">
        <f t="shared" si="41"/>
        <v>50770</v>
      </c>
      <c r="H245" s="158">
        <f t="shared" si="45"/>
        <v>31</v>
      </c>
      <c r="I245" s="254">
        <f>VLOOKUP(G245,'Прогноз переменной ставки'!$B$5:$E$304,4,1)</f>
        <v>9.9000000000000005E-2</v>
      </c>
      <c r="J245" s="164">
        <f t="shared" si="42"/>
        <v>0</v>
      </c>
      <c r="K245" s="164">
        <f t="shared" si="43"/>
        <v>0</v>
      </c>
      <c r="L245" s="164">
        <f t="shared" si="48"/>
        <v>0</v>
      </c>
      <c r="M245" s="164">
        <f t="shared" si="48"/>
        <v>0</v>
      </c>
      <c r="N245" s="164">
        <f t="shared" si="44"/>
        <v>0</v>
      </c>
      <c r="O245" s="164">
        <f t="shared" si="36"/>
        <v>0</v>
      </c>
      <c r="P245" s="164">
        <f t="shared" si="37"/>
        <v>0</v>
      </c>
      <c r="Q245" s="164">
        <f t="shared" si="38"/>
        <v>0</v>
      </c>
      <c r="R245" s="164">
        <f t="shared" si="47"/>
        <v>0</v>
      </c>
      <c r="S245" s="164">
        <f t="shared" si="39"/>
        <v>0</v>
      </c>
      <c r="T245" s="164">
        <f t="shared" si="40"/>
        <v>0</v>
      </c>
    </row>
    <row r="246" spans="2:20" x14ac:dyDescent="0.2">
      <c r="B246" s="171"/>
      <c r="D246" s="171"/>
      <c r="F246" s="158">
        <v>235</v>
      </c>
      <c r="G246" s="249">
        <f t="shared" si="41"/>
        <v>50801</v>
      </c>
      <c r="H246" s="158">
        <f t="shared" si="45"/>
        <v>31</v>
      </c>
      <c r="I246" s="254">
        <f>VLOOKUP(G246,'Прогноз переменной ставки'!$B$5:$E$304,4,1)</f>
        <v>9.9000000000000005E-2</v>
      </c>
      <c r="J246" s="164">
        <f t="shared" si="42"/>
        <v>0</v>
      </c>
      <c r="K246" s="164">
        <f t="shared" si="43"/>
        <v>0</v>
      </c>
      <c r="L246" s="164">
        <f t="shared" si="48"/>
        <v>0</v>
      </c>
      <c r="M246" s="164">
        <f t="shared" si="48"/>
        <v>0</v>
      </c>
      <c r="N246" s="164">
        <f t="shared" si="44"/>
        <v>0</v>
      </c>
      <c r="O246" s="164">
        <f t="shared" si="36"/>
        <v>0</v>
      </c>
      <c r="P246" s="164">
        <f t="shared" si="37"/>
        <v>0</v>
      </c>
      <c r="Q246" s="164">
        <f t="shared" si="38"/>
        <v>0</v>
      </c>
      <c r="R246" s="164">
        <f t="shared" si="47"/>
        <v>0</v>
      </c>
      <c r="S246" s="164">
        <f t="shared" si="39"/>
        <v>0</v>
      </c>
      <c r="T246" s="164">
        <f t="shared" si="40"/>
        <v>0</v>
      </c>
    </row>
    <row r="247" spans="2:20" x14ac:dyDescent="0.2">
      <c r="B247" s="171"/>
      <c r="D247" s="171"/>
      <c r="F247" s="158">
        <v>236</v>
      </c>
      <c r="G247" s="249">
        <f t="shared" si="41"/>
        <v>50829</v>
      </c>
      <c r="H247" s="158">
        <f t="shared" si="45"/>
        <v>28</v>
      </c>
      <c r="I247" s="254">
        <f>VLOOKUP(G247,'Прогноз переменной ставки'!$B$5:$E$304,4,1)</f>
        <v>9.9000000000000005E-2</v>
      </c>
      <c r="J247" s="164">
        <f t="shared" si="42"/>
        <v>0</v>
      </c>
      <c r="K247" s="164">
        <f t="shared" si="43"/>
        <v>0</v>
      </c>
      <c r="L247" s="164">
        <f t="shared" si="48"/>
        <v>0</v>
      </c>
      <c r="M247" s="164">
        <f t="shared" si="48"/>
        <v>0</v>
      </c>
      <c r="N247" s="164">
        <f t="shared" si="44"/>
        <v>0</v>
      </c>
      <c r="O247" s="164">
        <f t="shared" si="36"/>
        <v>0</v>
      </c>
      <c r="P247" s="164">
        <f t="shared" si="37"/>
        <v>0</v>
      </c>
      <c r="Q247" s="164">
        <f t="shared" si="38"/>
        <v>0</v>
      </c>
      <c r="R247" s="164">
        <f t="shared" si="47"/>
        <v>0</v>
      </c>
      <c r="S247" s="164">
        <f t="shared" si="39"/>
        <v>0</v>
      </c>
      <c r="T247" s="164">
        <f t="shared" si="40"/>
        <v>0</v>
      </c>
    </row>
    <row r="248" spans="2:20" x14ac:dyDescent="0.2">
      <c r="B248" s="171"/>
      <c r="D248" s="171"/>
      <c r="F248" s="158">
        <v>237</v>
      </c>
      <c r="G248" s="249">
        <f t="shared" si="41"/>
        <v>50860</v>
      </c>
      <c r="H248" s="158">
        <f t="shared" si="45"/>
        <v>31</v>
      </c>
      <c r="I248" s="254">
        <f>VLOOKUP(G248,'Прогноз переменной ставки'!$B$5:$E$304,4,1)</f>
        <v>9.9000000000000005E-2</v>
      </c>
      <c r="J248" s="164">
        <f t="shared" si="42"/>
        <v>0</v>
      </c>
      <c r="K248" s="164">
        <f t="shared" si="43"/>
        <v>0</v>
      </c>
      <c r="L248" s="164">
        <f t="shared" si="48"/>
        <v>0</v>
      </c>
      <c r="M248" s="164">
        <f t="shared" si="48"/>
        <v>0</v>
      </c>
      <c r="N248" s="164">
        <f t="shared" si="44"/>
        <v>0</v>
      </c>
      <c r="O248" s="164">
        <f t="shared" si="36"/>
        <v>0</v>
      </c>
      <c r="P248" s="164">
        <f t="shared" si="37"/>
        <v>0</v>
      </c>
      <c r="Q248" s="164">
        <f t="shared" si="38"/>
        <v>0</v>
      </c>
      <c r="R248" s="164">
        <f t="shared" si="47"/>
        <v>0</v>
      </c>
      <c r="S248" s="164">
        <f t="shared" si="39"/>
        <v>0</v>
      </c>
      <c r="T248" s="164">
        <f t="shared" si="40"/>
        <v>0</v>
      </c>
    </row>
    <row r="249" spans="2:20" x14ac:dyDescent="0.2">
      <c r="B249" s="171"/>
      <c r="D249" s="171"/>
      <c r="F249" s="158">
        <v>238</v>
      </c>
      <c r="G249" s="249">
        <f t="shared" si="41"/>
        <v>50890</v>
      </c>
      <c r="H249" s="158">
        <f t="shared" si="45"/>
        <v>30</v>
      </c>
      <c r="I249" s="254">
        <f>VLOOKUP(G249,'Прогноз переменной ставки'!$B$5:$E$304,4,1)</f>
        <v>9.9000000000000005E-2</v>
      </c>
      <c r="J249" s="164">
        <f t="shared" si="42"/>
        <v>0</v>
      </c>
      <c r="K249" s="164">
        <f t="shared" si="43"/>
        <v>0</v>
      </c>
      <c r="L249" s="164">
        <f t="shared" si="48"/>
        <v>0</v>
      </c>
      <c r="M249" s="164">
        <f t="shared" si="48"/>
        <v>0</v>
      </c>
      <c r="N249" s="164">
        <f t="shared" si="44"/>
        <v>0</v>
      </c>
      <c r="O249" s="164">
        <f t="shared" si="36"/>
        <v>0</v>
      </c>
      <c r="P249" s="164">
        <f t="shared" si="37"/>
        <v>0</v>
      </c>
      <c r="Q249" s="164">
        <f t="shared" si="38"/>
        <v>0</v>
      </c>
      <c r="R249" s="164">
        <f t="shared" si="47"/>
        <v>0</v>
      </c>
      <c r="S249" s="164">
        <f t="shared" si="39"/>
        <v>0</v>
      </c>
      <c r="T249" s="164">
        <f t="shared" si="40"/>
        <v>0</v>
      </c>
    </row>
    <row r="250" spans="2:20" x14ac:dyDescent="0.2">
      <c r="B250" s="171"/>
      <c r="D250" s="171"/>
      <c r="F250" s="158">
        <v>239</v>
      </c>
      <c r="G250" s="249">
        <f t="shared" si="41"/>
        <v>50921</v>
      </c>
      <c r="H250" s="158">
        <f t="shared" si="45"/>
        <v>31</v>
      </c>
      <c r="I250" s="254">
        <f>VLOOKUP(G250,'Прогноз переменной ставки'!$B$5:$E$304,4,1)</f>
        <v>9.9000000000000005E-2</v>
      </c>
      <c r="J250" s="164">
        <f t="shared" si="42"/>
        <v>0</v>
      </c>
      <c r="K250" s="164">
        <f t="shared" si="43"/>
        <v>0</v>
      </c>
      <c r="L250" s="164">
        <f t="shared" si="48"/>
        <v>0</v>
      </c>
      <c r="M250" s="164">
        <f t="shared" si="48"/>
        <v>0</v>
      </c>
      <c r="N250" s="164">
        <f t="shared" si="44"/>
        <v>0</v>
      </c>
      <c r="O250" s="164">
        <f t="shared" si="36"/>
        <v>0</v>
      </c>
      <c r="P250" s="164">
        <f t="shared" si="37"/>
        <v>0</v>
      </c>
      <c r="Q250" s="164">
        <f t="shared" si="38"/>
        <v>0</v>
      </c>
      <c r="R250" s="164">
        <f t="shared" si="47"/>
        <v>0</v>
      </c>
      <c r="S250" s="164">
        <f t="shared" si="39"/>
        <v>0</v>
      </c>
      <c r="T250" s="164">
        <f t="shared" si="40"/>
        <v>0</v>
      </c>
    </row>
    <row r="251" spans="2:20" x14ac:dyDescent="0.2">
      <c r="B251" s="171"/>
      <c r="D251" s="171"/>
      <c r="F251" s="158">
        <v>240</v>
      </c>
      <c r="G251" s="249">
        <f t="shared" si="41"/>
        <v>50951</v>
      </c>
      <c r="H251" s="158">
        <f t="shared" si="45"/>
        <v>30</v>
      </c>
      <c r="I251" s="254">
        <f>VLOOKUP(G251,'Прогноз переменной ставки'!$B$5:$E$304,4,1)</f>
        <v>9.9000000000000005E-2</v>
      </c>
      <c r="J251" s="164">
        <f t="shared" si="42"/>
        <v>0</v>
      </c>
      <c r="K251" s="164">
        <f t="shared" si="43"/>
        <v>0</v>
      </c>
      <c r="L251" s="164">
        <f t="shared" si="48"/>
        <v>0</v>
      </c>
      <c r="M251" s="164">
        <f t="shared" si="48"/>
        <v>0</v>
      </c>
      <c r="N251" s="164">
        <f t="shared" si="44"/>
        <v>0</v>
      </c>
      <c r="O251" s="164">
        <f t="shared" si="36"/>
        <v>0</v>
      </c>
      <c r="P251" s="164">
        <f t="shared" si="37"/>
        <v>0</v>
      </c>
      <c r="Q251" s="164">
        <f t="shared" si="38"/>
        <v>0</v>
      </c>
      <c r="R251" s="164">
        <f t="shared" si="47"/>
        <v>0</v>
      </c>
      <c r="S251" s="164">
        <f t="shared" si="39"/>
        <v>0</v>
      </c>
      <c r="T251" s="164">
        <f t="shared" si="40"/>
        <v>0</v>
      </c>
    </row>
    <row r="252" spans="2:20" x14ac:dyDescent="0.2">
      <c r="B252" s="171"/>
      <c r="D252" s="171"/>
      <c r="F252" s="158">
        <v>241</v>
      </c>
      <c r="G252" s="249">
        <f t="shared" si="41"/>
        <v>50982</v>
      </c>
      <c r="H252" s="158">
        <f t="shared" si="45"/>
        <v>31</v>
      </c>
      <c r="I252" s="254">
        <f>VLOOKUP(G252,'Прогноз переменной ставки'!$B$5:$E$304,4,1)</f>
        <v>9.9000000000000005E-2</v>
      </c>
      <c r="J252" s="164">
        <f t="shared" si="42"/>
        <v>0</v>
      </c>
      <c r="K252" s="164">
        <f t="shared" si="43"/>
        <v>0</v>
      </c>
      <c r="L252" s="164">
        <f t="shared" si="48"/>
        <v>0</v>
      </c>
      <c r="M252" s="164">
        <f t="shared" si="48"/>
        <v>0</v>
      </c>
      <c r="N252" s="164">
        <f t="shared" si="44"/>
        <v>0</v>
      </c>
      <c r="O252" s="164">
        <f t="shared" si="36"/>
        <v>0</v>
      </c>
      <c r="P252" s="164">
        <f t="shared" si="37"/>
        <v>0</v>
      </c>
      <c r="Q252" s="164">
        <f t="shared" si="38"/>
        <v>0</v>
      </c>
      <c r="R252" s="164">
        <f t="shared" si="47"/>
        <v>0</v>
      </c>
      <c r="S252" s="164">
        <f t="shared" si="39"/>
        <v>0</v>
      </c>
      <c r="T252" s="164">
        <f t="shared" si="40"/>
        <v>0</v>
      </c>
    </row>
    <row r="253" spans="2:20" x14ac:dyDescent="0.2">
      <c r="B253" s="171"/>
      <c r="D253" s="171"/>
      <c r="F253" s="158">
        <v>242</v>
      </c>
      <c r="G253" s="249">
        <f t="shared" si="41"/>
        <v>51013</v>
      </c>
      <c r="H253" s="158">
        <f t="shared" si="45"/>
        <v>31</v>
      </c>
      <c r="I253" s="254">
        <f>VLOOKUP(G253,'Прогноз переменной ставки'!$B$5:$E$304,4,1)</f>
        <v>9.9000000000000005E-2</v>
      </c>
      <c r="J253" s="164">
        <f t="shared" si="42"/>
        <v>0</v>
      </c>
      <c r="K253" s="164">
        <f t="shared" si="43"/>
        <v>0</v>
      </c>
      <c r="L253" s="164">
        <f t="shared" si="48"/>
        <v>0</v>
      </c>
      <c r="M253" s="164">
        <f t="shared" si="48"/>
        <v>0</v>
      </c>
      <c r="N253" s="164">
        <f t="shared" si="44"/>
        <v>0</v>
      </c>
      <c r="O253" s="164">
        <f t="shared" si="36"/>
        <v>0</v>
      </c>
      <c r="P253" s="164">
        <f t="shared" si="37"/>
        <v>0</v>
      </c>
      <c r="Q253" s="164">
        <f t="shared" si="38"/>
        <v>0</v>
      </c>
      <c r="R253" s="164">
        <f t="shared" si="47"/>
        <v>0</v>
      </c>
      <c r="S253" s="164">
        <f t="shared" si="39"/>
        <v>0</v>
      </c>
      <c r="T253" s="164">
        <f t="shared" si="40"/>
        <v>0</v>
      </c>
    </row>
    <row r="254" spans="2:20" x14ac:dyDescent="0.2">
      <c r="B254" s="171"/>
      <c r="D254" s="171"/>
      <c r="F254" s="158">
        <v>243</v>
      </c>
      <c r="G254" s="249">
        <f t="shared" si="41"/>
        <v>51043</v>
      </c>
      <c r="H254" s="158">
        <f t="shared" si="45"/>
        <v>30</v>
      </c>
      <c r="I254" s="254">
        <f>VLOOKUP(G254,'Прогноз переменной ставки'!$B$5:$E$304,4,1)</f>
        <v>9.9000000000000005E-2</v>
      </c>
      <c r="J254" s="164">
        <f t="shared" si="42"/>
        <v>0</v>
      </c>
      <c r="K254" s="164">
        <f t="shared" si="43"/>
        <v>0</v>
      </c>
      <c r="L254" s="164">
        <f t="shared" si="48"/>
        <v>0</v>
      </c>
      <c r="M254" s="164">
        <f t="shared" si="48"/>
        <v>0</v>
      </c>
      <c r="N254" s="164">
        <f t="shared" si="44"/>
        <v>0</v>
      </c>
      <c r="O254" s="164">
        <f t="shared" si="36"/>
        <v>0</v>
      </c>
      <c r="P254" s="164">
        <f t="shared" si="37"/>
        <v>0</v>
      </c>
      <c r="Q254" s="164">
        <f t="shared" si="38"/>
        <v>0</v>
      </c>
      <c r="R254" s="164">
        <f t="shared" si="47"/>
        <v>0</v>
      </c>
      <c r="S254" s="164">
        <f t="shared" si="39"/>
        <v>0</v>
      </c>
      <c r="T254" s="164">
        <f t="shared" si="40"/>
        <v>0</v>
      </c>
    </row>
    <row r="255" spans="2:20" x14ac:dyDescent="0.2">
      <c r="B255" s="171"/>
      <c r="D255" s="171"/>
      <c r="F255" s="158">
        <v>244</v>
      </c>
      <c r="G255" s="249">
        <f t="shared" si="41"/>
        <v>51074</v>
      </c>
      <c r="H255" s="158">
        <f t="shared" si="45"/>
        <v>31</v>
      </c>
      <c r="I255" s="254">
        <f>VLOOKUP(G255,'Прогноз переменной ставки'!$B$5:$E$304,4,1)</f>
        <v>9.9000000000000005E-2</v>
      </c>
      <c r="J255" s="164">
        <f t="shared" si="42"/>
        <v>0</v>
      </c>
      <c r="K255" s="164">
        <f t="shared" si="43"/>
        <v>0</v>
      </c>
      <c r="L255" s="164">
        <f t="shared" si="48"/>
        <v>0</v>
      </c>
      <c r="M255" s="164">
        <f t="shared" si="48"/>
        <v>0</v>
      </c>
      <c r="N255" s="164">
        <f t="shared" si="44"/>
        <v>0</v>
      </c>
      <c r="O255" s="164">
        <f t="shared" si="36"/>
        <v>0</v>
      </c>
      <c r="P255" s="164">
        <f t="shared" si="37"/>
        <v>0</v>
      </c>
      <c r="Q255" s="164">
        <f t="shared" si="38"/>
        <v>0</v>
      </c>
      <c r="R255" s="164">
        <f t="shared" si="47"/>
        <v>0</v>
      </c>
      <c r="S255" s="164">
        <f t="shared" si="39"/>
        <v>0</v>
      </c>
      <c r="T255" s="164">
        <f t="shared" si="40"/>
        <v>0</v>
      </c>
    </row>
    <row r="256" spans="2:20" x14ac:dyDescent="0.2">
      <c r="B256" s="171"/>
      <c r="D256" s="171"/>
      <c r="F256" s="158">
        <v>245</v>
      </c>
      <c r="G256" s="249">
        <f t="shared" si="41"/>
        <v>51104</v>
      </c>
      <c r="H256" s="158">
        <f t="shared" si="45"/>
        <v>30</v>
      </c>
      <c r="I256" s="254">
        <f>VLOOKUP(G256,'Прогноз переменной ставки'!$B$5:$E$304,4,1)</f>
        <v>9.9000000000000005E-2</v>
      </c>
      <c r="J256" s="164">
        <f t="shared" si="42"/>
        <v>0</v>
      </c>
      <c r="K256" s="164">
        <f t="shared" si="43"/>
        <v>0</v>
      </c>
      <c r="L256" s="164">
        <f t="shared" si="48"/>
        <v>0</v>
      </c>
      <c r="M256" s="164">
        <f t="shared" si="48"/>
        <v>0</v>
      </c>
      <c r="N256" s="164">
        <f t="shared" si="44"/>
        <v>0</v>
      </c>
      <c r="O256" s="164">
        <f t="shared" si="36"/>
        <v>0</v>
      </c>
      <c r="P256" s="164">
        <f t="shared" si="37"/>
        <v>0</v>
      </c>
      <c r="Q256" s="164">
        <f t="shared" si="38"/>
        <v>0</v>
      </c>
      <c r="R256" s="164">
        <f t="shared" si="47"/>
        <v>0</v>
      </c>
      <c r="S256" s="164">
        <f t="shared" si="39"/>
        <v>0</v>
      </c>
      <c r="T256" s="164">
        <f t="shared" si="40"/>
        <v>0</v>
      </c>
    </row>
    <row r="257" spans="2:20" x14ac:dyDescent="0.2">
      <c r="B257" s="171"/>
      <c r="D257" s="171"/>
      <c r="F257" s="158">
        <v>246</v>
      </c>
      <c r="G257" s="249">
        <f t="shared" si="41"/>
        <v>51135</v>
      </c>
      <c r="H257" s="158">
        <f t="shared" si="45"/>
        <v>31</v>
      </c>
      <c r="I257" s="254">
        <f>VLOOKUP(G257,'Прогноз переменной ставки'!$B$5:$E$304,4,1)</f>
        <v>9.9000000000000005E-2</v>
      </c>
      <c r="J257" s="164">
        <f t="shared" si="42"/>
        <v>0</v>
      </c>
      <c r="K257" s="164">
        <f t="shared" si="43"/>
        <v>0</v>
      </c>
      <c r="L257" s="164">
        <f t="shared" si="48"/>
        <v>0</v>
      </c>
      <c r="M257" s="164">
        <f t="shared" si="48"/>
        <v>0</v>
      </c>
      <c r="N257" s="164">
        <f t="shared" si="44"/>
        <v>0</v>
      </c>
      <c r="O257" s="164">
        <f t="shared" si="36"/>
        <v>0</v>
      </c>
      <c r="P257" s="164">
        <f t="shared" si="37"/>
        <v>0</v>
      </c>
      <c r="Q257" s="164">
        <f t="shared" si="38"/>
        <v>0</v>
      </c>
      <c r="R257" s="164">
        <f t="shared" si="47"/>
        <v>0</v>
      </c>
      <c r="S257" s="164">
        <f t="shared" si="39"/>
        <v>0</v>
      </c>
      <c r="T257" s="164">
        <f t="shared" si="40"/>
        <v>0</v>
      </c>
    </row>
    <row r="258" spans="2:20" x14ac:dyDescent="0.2">
      <c r="B258" s="171"/>
      <c r="D258" s="171"/>
      <c r="F258" s="158">
        <v>247</v>
      </c>
      <c r="G258" s="249">
        <f t="shared" si="41"/>
        <v>51166</v>
      </c>
      <c r="H258" s="158">
        <f t="shared" si="45"/>
        <v>31</v>
      </c>
      <c r="I258" s="254">
        <f>VLOOKUP(G258,'Прогноз переменной ставки'!$B$5:$E$304,4,1)</f>
        <v>9.9000000000000005E-2</v>
      </c>
      <c r="J258" s="164">
        <f t="shared" si="42"/>
        <v>0</v>
      </c>
      <c r="K258" s="164">
        <f t="shared" si="43"/>
        <v>0</v>
      </c>
      <c r="L258" s="164">
        <f t="shared" si="48"/>
        <v>0</v>
      </c>
      <c r="M258" s="164">
        <f t="shared" si="48"/>
        <v>0</v>
      </c>
      <c r="N258" s="164">
        <f t="shared" si="44"/>
        <v>0</v>
      </c>
      <c r="O258" s="164">
        <f t="shared" si="36"/>
        <v>0</v>
      </c>
      <c r="P258" s="164">
        <f t="shared" si="37"/>
        <v>0</v>
      </c>
      <c r="Q258" s="164">
        <f t="shared" si="38"/>
        <v>0</v>
      </c>
      <c r="R258" s="164">
        <f t="shared" si="47"/>
        <v>0</v>
      </c>
      <c r="S258" s="164">
        <f t="shared" si="39"/>
        <v>0</v>
      </c>
      <c r="T258" s="164">
        <f t="shared" si="40"/>
        <v>0</v>
      </c>
    </row>
    <row r="259" spans="2:20" x14ac:dyDescent="0.2">
      <c r="B259" s="171"/>
      <c r="D259" s="171"/>
      <c r="F259" s="158">
        <v>248</v>
      </c>
      <c r="G259" s="249">
        <f t="shared" si="41"/>
        <v>51195</v>
      </c>
      <c r="H259" s="158">
        <f t="shared" si="45"/>
        <v>29</v>
      </c>
      <c r="I259" s="254">
        <f>VLOOKUP(G259,'Прогноз переменной ставки'!$B$5:$E$304,4,1)</f>
        <v>9.9000000000000005E-2</v>
      </c>
      <c r="J259" s="164">
        <f t="shared" si="42"/>
        <v>0</v>
      </c>
      <c r="K259" s="164">
        <f t="shared" si="43"/>
        <v>0</v>
      </c>
      <c r="L259" s="164">
        <f t="shared" si="48"/>
        <v>0</v>
      </c>
      <c r="M259" s="164">
        <f t="shared" si="48"/>
        <v>0</v>
      </c>
      <c r="N259" s="164">
        <f t="shared" si="44"/>
        <v>0</v>
      </c>
      <c r="O259" s="164">
        <f t="shared" si="36"/>
        <v>0</v>
      </c>
      <c r="P259" s="164">
        <f t="shared" si="37"/>
        <v>0</v>
      </c>
      <c r="Q259" s="164">
        <f t="shared" si="38"/>
        <v>0</v>
      </c>
      <c r="R259" s="164">
        <f t="shared" si="47"/>
        <v>0</v>
      </c>
      <c r="S259" s="164">
        <f t="shared" si="39"/>
        <v>0</v>
      </c>
      <c r="T259" s="164">
        <f t="shared" si="40"/>
        <v>0</v>
      </c>
    </row>
    <row r="260" spans="2:20" x14ac:dyDescent="0.2">
      <c r="B260" s="171"/>
      <c r="D260" s="171"/>
      <c r="F260" s="158">
        <v>249</v>
      </c>
      <c r="G260" s="249">
        <f t="shared" si="41"/>
        <v>51226</v>
      </c>
      <c r="H260" s="158">
        <f t="shared" si="45"/>
        <v>31</v>
      </c>
      <c r="I260" s="254">
        <f>VLOOKUP(G260,'Прогноз переменной ставки'!$B$5:$E$304,4,1)</f>
        <v>9.9000000000000005E-2</v>
      </c>
      <c r="J260" s="164">
        <f t="shared" si="42"/>
        <v>0</v>
      </c>
      <c r="K260" s="164">
        <f t="shared" si="43"/>
        <v>0</v>
      </c>
      <c r="L260" s="164">
        <f t="shared" si="48"/>
        <v>0</v>
      </c>
      <c r="M260" s="164">
        <f t="shared" si="48"/>
        <v>0</v>
      </c>
      <c r="N260" s="164">
        <f t="shared" si="44"/>
        <v>0</v>
      </c>
      <c r="O260" s="164">
        <f t="shared" si="36"/>
        <v>0</v>
      </c>
      <c r="P260" s="164">
        <f t="shared" si="37"/>
        <v>0</v>
      </c>
      <c r="Q260" s="164">
        <f t="shared" si="38"/>
        <v>0</v>
      </c>
      <c r="R260" s="164">
        <f t="shared" si="47"/>
        <v>0</v>
      </c>
      <c r="S260" s="164">
        <f t="shared" si="39"/>
        <v>0</v>
      </c>
      <c r="T260" s="164">
        <f t="shared" si="40"/>
        <v>0</v>
      </c>
    </row>
    <row r="261" spans="2:20" x14ac:dyDescent="0.2">
      <c r="B261" s="171"/>
      <c r="D261" s="171"/>
      <c r="F261" s="158">
        <v>250</v>
      </c>
      <c r="G261" s="249">
        <f t="shared" si="41"/>
        <v>51256</v>
      </c>
      <c r="H261" s="158">
        <f t="shared" si="45"/>
        <v>30</v>
      </c>
      <c r="I261" s="254">
        <f>VLOOKUP(G261,'Прогноз переменной ставки'!$B$5:$E$304,4,1)</f>
        <v>9.9000000000000005E-2</v>
      </c>
      <c r="J261" s="164">
        <f t="shared" si="42"/>
        <v>0</v>
      </c>
      <c r="K261" s="164">
        <f t="shared" si="43"/>
        <v>0</v>
      </c>
      <c r="L261" s="164">
        <f t="shared" si="48"/>
        <v>0</v>
      </c>
      <c r="M261" s="164">
        <f t="shared" si="48"/>
        <v>0</v>
      </c>
      <c r="N261" s="164">
        <f t="shared" si="44"/>
        <v>0</v>
      </c>
      <c r="O261" s="164">
        <f t="shared" si="36"/>
        <v>0</v>
      </c>
      <c r="P261" s="164">
        <f t="shared" si="37"/>
        <v>0</v>
      </c>
      <c r="Q261" s="164">
        <f t="shared" si="38"/>
        <v>0</v>
      </c>
      <c r="R261" s="164">
        <f t="shared" si="47"/>
        <v>0</v>
      </c>
      <c r="S261" s="164">
        <f t="shared" si="39"/>
        <v>0</v>
      </c>
      <c r="T261" s="164">
        <f t="shared" si="40"/>
        <v>0</v>
      </c>
    </row>
    <row r="262" spans="2:20" x14ac:dyDescent="0.2">
      <c r="B262" s="171"/>
      <c r="D262" s="171"/>
      <c r="F262" s="158">
        <v>251</v>
      </c>
      <c r="G262" s="249">
        <f t="shared" si="41"/>
        <v>51287</v>
      </c>
      <c r="H262" s="158">
        <f t="shared" si="45"/>
        <v>31</v>
      </c>
      <c r="I262" s="254">
        <f>VLOOKUP(G262,'Прогноз переменной ставки'!$B$5:$E$304,4,1)</f>
        <v>9.9000000000000005E-2</v>
      </c>
      <c r="J262" s="164">
        <f t="shared" si="42"/>
        <v>0</v>
      </c>
      <c r="K262" s="164">
        <f t="shared" si="43"/>
        <v>0</v>
      </c>
      <c r="L262" s="164">
        <f t="shared" si="48"/>
        <v>0</v>
      </c>
      <c r="M262" s="164">
        <f t="shared" si="48"/>
        <v>0</v>
      </c>
      <c r="N262" s="164">
        <f t="shared" si="44"/>
        <v>0</v>
      </c>
      <c r="O262" s="164">
        <f t="shared" si="36"/>
        <v>0</v>
      </c>
      <c r="P262" s="164">
        <f t="shared" si="37"/>
        <v>0</v>
      </c>
      <c r="Q262" s="164">
        <f t="shared" si="38"/>
        <v>0</v>
      </c>
      <c r="R262" s="164">
        <f t="shared" si="47"/>
        <v>0</v>
      </c>
      <c r="S262" s="164">
        <f t="shared" si="39"/>
        <v>0</v>
      </c>
      <c r="T262" s="164">
        <f t="shared" si="40"/>
        <v>0</v>
      </c>
    </row>
    <row r="263" spans="2:20" x14ac:dyDescent="0.2">
      <c r="B263" s="171"/>
      <c r="D263" s="171"/>
      <c r="F263" s="158">
        <v>252</v>
      </c>
      <c r="G263" s="249">
        <f t="shared" si="41"/>
        <v>51317</v>
      </c>
      <c r="H263" s="158">
        <f t="shared" si="45"/>
        <v>30</v>
      </c>
      <c r="I263" s="254">
        <f>VLOOKUP(G263,'Прогноз переменной ставки'!$B$5:$E$304,4,1)</f>
        <v>9.9000000000000005E-2</v>
      </c>
      <c r="J263" s="164">
        <f t="shared" si="42"/>
        <v>0</v>
      </c>
      <c r="K263" s="164">
        <f t="shared" si="43"/>
        <v>0</v>
      </c>
      <c r="L263" s="164">
        <f t="shared" si="48"/>
        <v>0</v>
      </c>
      <c r="M263" s="164">
        <f t="shared" si="48"/>
        <v>0</v>
      </c>
      <c r="N263" s="164">
        <f t="shared" si="44"/>
        <v>0</v>
      </c>
      <c r="O263" s="164">
        <f t="shared" si="36"/>
        <v>0</v>
      </c>
      <c r="P263" s="164">
        <f t="shared" si="37"/>
        <v>0</v>
      </c>
      <c r="Q263" s="164">
        <f t="shared" si="38"/>
        <v>0</v>
      </c>
      <c r="R263" s="164">
        <f t="shared" si="47"/>
        <v>0</v>
      </c>
      <c r="S263" s="164">
        <f t="shared" si="39"/>
        <v>0</v>
      </c>
      <c r="T263" s="164">
        <f t="shared" si="40"/>
        <v>0</v>
      </c>
    </row>
    <row r="264" spans="2:20" x14ac:dyDescent="0.2">
      <c r="F264" s="158">
        <v>253</v>
      </c>
      <c r="G264" s="249">
        <f t="shared" si="41"/>
        <v>51348</v>
      </c>
      <c r="H264" s="158">
        <f t="shared" si="45"/>
        <v>31</v>
      </c>
      <c r="I264" s="254">
        <f>VLOOKUP(G264,'Прогноз переменной ставки'!$B$5:$E$304,4,1)</f>
        <v>9.9000000000000005E-2</v>
      </c>
      <c r="J264" s="164">
        <f t="shared" si="42"/>
        <v>0</v>
      </c>
      <c r="K264" s="164">
        <f t="shared" si="43"/>
        <v>0</v>
      </c>
      <c r="L264" s="164">
        <f t="shared" si="48"/>
        <v>0</v>
      </c>
      <c r="M264" s="164">
        <f t="shared" si="48"/>
        <v>0</v>
      </c>
      <c r="N264" s="164">
        <f t="shared" si="44"/>
        <v>0</v>
      </c>
      <c r="O264" s="164">
        <f t="shared" si="36"/>
        <v>0</v>
      </c>
      <c r="P264" s="164">
        <f t="shared" si="37"/>
        <v>0</v>
      </c>
      <c r="Q264" s="164">
        <f t="shared" si="38"/>
        <v>0</v>
      </c>
      <c r="R264" s="164">
        <f t="shared" si="47"/>
        <v>0</v>
      </c>
      <c r="S264" s="164">
        <f t="shared" si="39"/>
        <v>0</v>
      </c>
      <c r="T264" s="164">
        <f t="shared" si="40"/>
        <v>0</v>
      </c>
    </row>
    <row r="265" spans="2:20" x14ac:dyDescent="0.2">
      <c r="F265" s="158">
        <v>254</v>
      </c>
      <c r="G265" s="249">
        <f t="shared" si="41"/>
        <v>51379</v>
      </c>
      <c r="H265" s="158">
        <f t="shared" si="45"/>
        <v>31</v>
      </c>
      <c r="I265" s="254">
        <f>VLOOKUP(G265,'Прогноз переменной ставки'!$B$5:$E$304,4,1)</f>
        <v>9.9000000000000005E-2</v>
      </c>
      <c r="J265" s="164">
        <f t="shared" si="42"/>
        <v>0</v>
      </c>
      <c r="K265" s="164">
        <f t="shared" si="43"/>
        <v>0</v>
      </c>
      <c r="L265" s="164">
        <f t="shared" si="48"/>
        <v>0</v>
      </c>
      <c r="M265" s="164">
        <f t="shared" si="48"/>
        <v>0</v>
      </c>
      <c r="N265" s="164">
        <f t="shared" si="44"/>
        <v>0</v>
      </c>
      <c r="O265" s="164">
        <f t="shared" si="36"/>
        <v>0</v>
      </c>
      <c r="P265" s="164">
        <f t="shared" si="37"/>
        <v>0</v>
      </c>
      <c r="Q265" s="164">
        <f t="shared" si="38"/>
        <v>0</v>
      </c>
      <c r="R265" s="164">
        <f t="shared" si="47"/>
        <v>0</v>
      </c>
      <c r="S265" s="164">
        <f t="shared" si="39"/>
        <v>0</v>
      </c>
      <c r="T265" s="164">
        <f t="shared" si="40"/>
        <v>0</v>
      </c>
    </row>
    <row r="266" spans="2:20" x14ac:dyDescent="0.2">
      <c r="F266" s="158">
        <v>255</v>
      </c>
      <c r="G266" s="249">
        <f t="shared" si="41"/>
        <v>51409</v>
      </c>
      <c r="H266" s="158">
        <f t="shared" si="45"/>
        <v>30</v>
      </c>
      <c r="I266" s="254">
        <f>VLOOKUP(G266,'Прогноз переменной ставки'!$B$5:$E$304,4,1)</f>
        <v>9.9000000000000005E-2</v>
      </c>
      <c r="J266" s="164">
        <f t="shared" si="42"/>
        <v>0</v>
      </c>
      <c r="K266" s="164">
        <f t="shared" si="43"/>
        <v>0</v>
      </c>
      <c r="L266" s="164">
        <f t="shared" si="48"/>
        <v>0</v>
      </c>
      <c r="M266" s="164">
        <f t="shared" si="48"/>
        <v>0</v>
      </c>
      <c r="N266" s="164">
        <f t="shared" si="44"/>
        <v>0</v>
      </c>
      <c r="O266" s="164">
        <f t="shared" si="36"/>
        <v>0</v>
      </c>
      <c r="P266" s="164">
        <f t="shared" si="37"/>
        <v>0</v>
      </c>
      <c r="Q266" s="164">
        <f t="shared" si="38"/>
        <v>0</v>
      </c>
      <c r="R266" s="164">
        <f t="shared" si="47"/>
        <v>0</v>
      </c>
      <c r="S266" s="164">
        <f t="shared" si="39"/>
        <v>0</v>
      </c>
      <c r="T266" s="164">
        <f t="shared" si="40"/>
        <v>0</v>
      </c>
    </row>
    <row r="267" spans="2:20" x14ac:dyDescent="0.2">
      <c r="F267" s="158">
        <v>256</v>
      </c>
      <c r="G267" s="249">
        <f t="shared" si="41"/>
        <v>51440</v>
      </c>
      <c r="H267" s="158">
        <f t="shared" si="45"/>
        <v>31</v>
      </c>
      <c r="I267" s="254">
        <f>VLOOKUP(G267,'Прогноз переменной ставки'!$B$5:$E$304,4,1)</f>
        <v>9.9000000000000005E-2</v>
      </c>
      <c r="J267" s="164">
        <f t="shared" si="42"/>
        <v>0</v>
      </c>
      <c r="K267" s="164">
        <f t="shared" si="43"/>
        <v>0</v>
      </c>
      <c r="L267" s="164">
        <f t="shared" si="48"/>
        <v>0</v>
      </c>
      <c r="M267" s="164">
        <f t="shared" si="48"/>
        <v>0</v>
      </c>
      <c r="N267" s="164">
        <f t="shared" si="44"/>
        <v>0</v>
      </c>
      <c r="O267" s="164">
        <f t="shared" si="36"/>
        <v>0</v>
      </c>
      <c r="P267" s="164">
        <f t="shared" si="37"/>
        <v>0</v>
      </c>
      <c r="Q267" s="164">
        <f t="shared" si="38"/>
        <v>0</v>
      </c>
      <c r="R267" s="164">
        <f t="shared" si="47"/>
        <v>0</v>
      </c>
      <c r="S267" s="164">
        <f t="shared" si="39"/>
        <v>0</v>
      </c>
      <c r="T267" s="164">
        <f t="shared" si="40"/>
        <v>0</v>
      </c>
    </row>
    <row r="268" spans="2:20" x14ac:dyDescent="0.2">
      <c r="F268" s="158">
        <v>257</v>
      </c>
      <c r="G268" s="249">
        <f t="shared" si="41"/>
        <v>51470</v>
      </c>
      <c r="H268" s="158">
        <f t="shared" si="45"/>
        <v>30</v>
      </c>
      <c r="I268" s="254">
        <f>VLOOKUP(G268,'Прогноз переменной ставки'!$B$5:$E$304,4,1)</f>
        <v>9.9000000000000005E-2</v>
      </c>
      <c r="J268" s="164">
        <f t="shared" si="42"/>
        <v>0</v>
      </c>
      <c r="K268" s="164">
        <f t="shared" si="43"/>
        <v>0</v>
      </c>
      <c r="L268" s="164">
        <f t="shared" si="48"/>
        <v>0</v>
      </c>
      <c r="M268" s="164">
        <f t="shared" si="48"/>
        <v>0</v>
      </c>
      <c r="N268" s="164">
        <f t="shared" si="44"/>
        <v>0</v>
      </c>
      <c r="O268" s="164">
        <f t="shared" ref="O268:O311" si="49">MIN(J268-Q268-P268,L268)</f>
        <v>0</v>
      </c>
      <c r="P268" s="164">
        <f t="shared" ref="P268:P311" si="50">MIN(J268-Q268,N268)</f>
        <v>0</v>
      </c>
      <c r="Q268" s="164">
        <f t="shared" ref="Q268:Q311" si="51">MIN(J268,M268)</f>
        <v>0</v>
      </c>
      <c r="R268" s="164">
        <f t="shared" si="47"/>
        <v>0</v>
      </c>
      <c r="S268" s="164">
        <f t="shared" ref="S268:S311" si="52">L268-O268</f>
        <v>0</v>
      </c>
      <c r="T268" s="164">
        <f t="shared" ref="T268:T311" si="53">M268+R268-Q268</f>
        <v>0</v>
      </c>
    </row>
    <row r="269" spans="2:20" x14ac:dyDescent="0.2">
      <c r="F269" s="158">
        <v>258</v>
      </c>
      <c r="G269" s="249">
        <f t="shared" ref="G269:G311" si="54">EOMONTH($D$9,F269-1)</f>
        <v>51501</v>
      </c>
      <c r="H269" s="158">
        <f t="shared" si="45"/>
        <v>31</v>
      </c>
      <c r="I269" s="254">
        <f>VLOOKUP(G269,'Прогноз переменной ставки'!$B$5:$E$304,4,1)</f>
        <v>9.9000000000000005E-2</v>
      </c>
      <c r="J269" s="164">
        <f t="shared" ref="J269:J332" si="55">IF(F269=$D$4,K269+N269,MIN($D$5,K269+N269))</f>
        <v>0</v>
      </c>
      <c r="K269" s="164">
        <f t="shared" ref="K269:K311" si="56">L269+M269</f>
        <v>0</v>
      </c>
      <c r="L269" s="164">
        <f t="shared" si="48"/>
        <v>0</v>
      </c>
      <c r="M269" s="164">
        <f t="shared" si="48"/>
        <v>0</v>
      </c>
      <c r="N269" s="164">
        <f t="shared" ref="N269:N311" si="57">L269*I269/365.25*H269</f>
        <v>0</v>
      </c>
      <c r="O269" s="164">
        <f t="shared" si="49"/>
        <v>0</v>
      </c>
      <c r="P269" s="164">
        <f t="shared" si="50"/>
        <v>0</v>
      </c>
      <c r="Q269" s="164">
        <f t="shared" si="51"/>
        <v>0</v>
      </c>
      <c r="R269" s="164">
        <f t="shared" si="47"/>
        <v>0</v>
      </c>
      <c r="S269" s="164">
        <f t="shared" si="52"/>
        <v>0</v>
      </c>
      <c r="T269" s="164">
        <f t="shared" si="53"/>
        <v>0</v>
      </c>
    </row>
    <row r="270" spans="2:20" x14ac:dyDescent="0.2">
      <c r="F270" s="158">
        <v>259</v>
      </c>
      <c r="G270" s="249">
        <f t="shared" si="54"/>
        <v>51532</v>
      </c>
      <c r="H270" s="158">
        <f t="shared" ref="H270:H311" si="58">G270-G269</f>
        <v>31</v>
      </c>
      <c r="I270" s="254">
        <f>VLOOKUP(G270,'Прогноз переменной ставки'!$B$5:$E$304,4,1)</f>
        <v>9.9000000000000005E-2</v>
      </c>
      <c r="J270" s="164">
        <f t="shared" si="55"/>
        <v>0</v>
      </c>
      <c r="K270" s="164">
        <f t="shared" si="56"/>
        <v>0</v>
      </c>
      <c r="L270" s="164">
        <f t="shared" si="48"/>
        <v>0</v>
      </c>
      <c r="M270" s="164">
        <f t="shared" si="48"/>
        <v>0</v>
      </c>
      <c r="N270" s="164">
        <f t="shared" si="57"/>
        <v>0</v>
      </c>
      <c r="O270" s="164">
        <f t="shared" si="49"/>
        <v>0</v>
      </c>
      <c r="P270" s="164">
        <f t="shared" si="50"/>
        <v>0</v>
      </c>
      <c r="Q270" s="164">
        <f t="shared" si="51"/>
        <v>0</v>
      </c>
      <c r="R270" s="164">
        <f t="shared" ref="R270:R311" si="59">MAX(N270-P270,0)</f>
        <v>0</v>
      </c>
      <c r="S270" s="164">
        <f t="shared" si="52"/>
        <v>0</v>
      </c>
      <c r="T270" s="164">
        <f t="shared" si="53"/>
        <v>0</v>
      </c>
    </row>
    <row r="271" spans="2:20" x14ac:dyDescent="0.2">
      <c r="F271" s="158">
        <v>260</v>
      </c>
      <c r="G271" s="249">
        <f t="shared" si="54"/>
        <v>51560</v>
      </c>
      <c r="H271" s="158">
        <f t="shared" si="58"/>
        <v>28</v>
      </c>
      <c r="I271" s="254">
        <f>VLOOKUP(G271,'Прогноз переменной ставки'!$B$5:$E$304,4,1)</f>
        <v>9.9000000000000005E-2</v>
      </c>
      <c r="J271" s="164">
        <f t="shared" si="55"/>
        <v>0</v>
      </c>
      <c r="K271" s="164">
        <f t="shared" si="56"/>
        <v>0</v>
      </c>
      <c r="L271" s="164">
        <f t="shared" si="48"/>
        <v>0</v>
      </c>
      <c r="M271" s="164">
        <f t="shared" si="48"/>
        <v>0</v>
      </c>
      <c r="N271" s="164">
        <f t="shared" si="57"/>
        <v>0</v>
      </c>
      <c r="O271" s="164">
        <f t="shared" si="49"/>
        <v>0</v>
      </c>
      <c r="P271" s="164">
        <f t="shared" si="50"/>
        <v>0</v>
      </c>
      <c r="Q271" s="164">
        <f t="shared" si="51"/>
        <v>0</v>
      </c>
      <c r="R271" s="164">
        <f t="shared" si="59"/>
        <v>0</v>
      </c>
      <c r="S271" s="164">
        <f t="shared" si="52"/>
        <v>0</v>
      </c>
      <c r="T271" s="164">
        <f t="shared" si="53"/>
        <v>0</v>
      </c>
    </row>
    <row r="272" spans="2:20" x14ac:dyDescent="0.2">
      <c r="F272" s="158">
        <v>261</v>
      </c>
      <c r="G272" s="249">
        <f t="shared" si="54"/>
        <v>51591</v>
      </c>
      <c r="H272" s="158">
        <f t="shared" si="58"/>
        <v>31</v>
      </c>
      <c r="I272" s="254">
        <f>VLOOKUP(G272,'Прогноз переменной ставки'!$B$5:$E$304,4,1)</f>
        <v>9.9000000000000005E-2</v>
      </c>
      <c r="J272" s="164">
        <f t="shared" si="55"/>
        <v>0</v>
      </c>
      <c r="K272" s="164">
        <f t="shared" si="56"/>
        <v>0</v>
      </c>
      <c r="L272" s="164">
        <f t="shared" si="48"/>
        <v>0</v>
      </c>
      <c r="M272" s="164">
        <f t="shared" si="48"/>
        <v>0</v>
      </c>
      <c r="N272" s="164">
        <f t="shared" si="57"/>
        <v>0</v>
      </c>
      <c r="O272" s="164">
        <f t="shared" si="49"/>
        <v>0</v>
      </c>
      <c r="P272" s="164">
        <f t="shared" si="50"/>
        <v>0</v>
      </c>
      <c r="Q272" s="164">
        <f t="shared" si="51"/>
        <v>0</v>
      </c>
      <c r="R272" s="164">
        <f t="shared" si="59"/>
        <v>0</v>
      </c>
      <c r="S272" s="164">
        <f t="shared" si="52"/>
        <v>0</v>
      </c>
      <c r="T272" s="164">
        <f t="shared" si="53"/>
        <v>0</v>
      </c>
    </row>
    <row r="273" spans="6:20" x14ac:dyDescent="0.2">
      <c r="F273" s="158">
        <v>262</v>
      </c>
      <c r="G273" s="249">
        <f t="shared" si="54"/>
        <v>51621</v>
      </c>
      <c r="H273" s="158">
        <f t="shared" si="58"/>
        <v>30</v>
      </c>
      <c r="I273" s="254">
        <f>VLOOKUP(G273,'Прогноз переменной ставки'!$B$5:$E$304,4,1)</f>
        <v>9.9000000000000005E-2</v>
      </c>
      <c r="J273" s="164">
        <f t="shared" si="55"/>
        <v>0</v>
      </c>
      <c r="K273" s="164">
        <f t="shared" si="56"/>
        <v>0</v>
      </c>
      <c r="L273" s="164">
        <f t="shared" si="48"/>
        <v>0</v>
      </c>
      <c r="M273" s="164">
        <f t="shared" si="48"/>
        <v>0</v>
      </c>
      <c r="N273" s="164">
        <f t="shared" si="57"/>
        <v>0</v>
      </c>
      <c r="O273" s="164">
        <f t="shared" si="49"/>
        <v>0</v>
      </c>
      <c r="P273" s="164">
        <f t="shared" si="50"/>
        <v>0</v>
      </c>
      <c r="Q273" s="164">
        <f t="shared" si="51"/>
        <v>0</v>
      </c>
      <c r="R273" s="164">
        <f t="shared" si="59"/>
        <v>0</v>
      </c>
      <c r="S273" s="164">
        <f t="shared" si="52"/>
        <v>0</v>
      </c>
      <c r="T273" s="164">
        <f t="shared" si="53"/>
        <v>0</v>
      </c>
    </row>
    <row r="274" spans="6:20" x14ac:dyDescent="0.2">
      <c r="F274" s="158">
        <v>263</v>
      </c>
      <c r="G274" s="249">
        <f t="shared" si="54"/>
        <v>51652</v>
      </c>
      <c r="H274" s="158">
        <f t="shared" si="58"/>
        <v>31</v>
      </c>
      <c r="I274" s="254">
        <f>VLOOKUP(G274,'Прогноз переменной ставки'!$B$5:$E$304,4,1)</f>
        <v>9.9000000000000005E-2</v>
      </c>
      <c r="J274" s="164">
        <f t="shared" si="55"/>
        <v>0</v>
      </c>
      <c r="K274" s="164">
        <f t="shared" si="56"/>
        <v>0</v>
      </c>
      <c r="L274" s="164">
        <f t="shared" si="48"/>
        <v>0</v>
      </c>
      <c r="M274" s="164">
        <f t="shared" si="48"/>
        <v>0</v>
      </c>
      <c r="N274" s="164">
        <f t="shared" si="57"/>
        <v>0</v>
      </c>
      <c r="O274" s="164">
        <f t="shared" si="49"/>
        <v>0</v>
      </c>
      <c r="P274" s="164">
        <f t="shared" si="50"/>
        <v>0</v>
      </c>
      <c r="Q274" s="164">
        <f t="shared" si="51"/>
        <v>0</v>
      </c>
      <c r="R274" s="164">
        <f t="shared" si="59"/>
        <v>0</v>
      </c>
      <c r="S274" s="164">
        <f t="shared" si="52"/>
        <v>0</v>
      </c>
      <c r="T274" s="164">
        <f t="shared" si="53"/>
        <v>0</v>
      </c>
    </row>
    <row r="275" spans="6:20" x14ac:dyDescent="0.2">
      <c r="F275" s="158">
        <v>264</v>
      </c>
      <c r="G275" s="249">
        <f t="shared" si="54"/>
        <v>51682</v>
      </c>
      <c r="H275" s="158">
        <f t="shared" si="58"/>
        <v>30</v>
      </c>
      <c r="I275" s="254">
        <f>VLOOKUP(G275,'Прогноз переменной ставки'!$B$5:$E$304,4,1)</f>
        <v>9.9000000000000005E-2</v>
      </c>
      <c r="J275" s="164">
        <f t="shared" si="55"/>
        <v>0</v>
      </c>
      <c r="K275" s="164">
        <f t="shared" si="56"/>
        <v>0</v>
      </c>
      <c r="L275" s="164">
        <f t="shared" si="48"/>
        <v>0</v>
      </c>
      <c r="M275" s="164">
        <f t="shared" si="48"/>
        <v>0</v>
      </c>
      <c r="N275" s="164">
        <f t="shared" si="57"/>
        <v>0</v>
      </c>
      <c r="O275" s="164">
        <f t="shared" si="49"/>
        <v>0</v>
      </c>
      <c r="P275" s="164">
        <f t="shared" si="50"/>
        <v>0</v>
      </c>
      <c r="Q275" s="164">
        <f t="shared" si="51"/>
        <v>0</v>
      </c>
      <c r="R275" s="164">
        <f t="shared" si="59"/>
        <v>0</v>
      </c>
      <c r="S275" s="164">
        <f t="shared" si="52"/>
        <v>0</v>
      </c>
      <c r="T275" s="164">
        <f t="shared" si="53"/>
        <v>0</v>
      </c>
    </row>
    <row r="276" spans="6:20" x14ac:dyDescent="0.2">
      <c r="F276" s="158">
        <v>265</v>
      </c>
      <c r="G276" s="249">
        <f t="shared" si="54"/>
        <v>51713</v>
      </c>
      <c r="H276" s="158">
        <f t="shared" si="58"/>
        <v>31</v>
      </c>
      <c r="I276" s="254">
        <f>VLOOKUP(G276,'Прогноз переменной ставки'!$B$5:$E$304,4,1)</f>
        <v>9.9000000000000005E-2</v>
      </c>
      <c r="J276" s="164">
        <f t="shared" si="55"/>
        <v>0</v>
      </c>
      <c r="K276" s="164">
        <f t="shared" si="56"/>
        <v>0</v>
      </c>
      <c r="L276" s="164">
        <f t="shared" si="48"/>
        <v>0</v>
      </c>
      <c r="M276" s="164">
        <f t="shared" si="48"/>
        <v>0</v>
      </c>
      <c r="N276" s="164">
        <f t="shared" si="57"/>
        <v>0</v>
      </c>
      <c r="O276" s="164">
        <f t="shared" si="49"/>
        <v>0</v>
      </c>
      <c r="P276" s="164">
        <f t="shared" si="50"/>
        <v>0</v>
      </c>
      <c r="Q276" s="164">
        <f t="shared" si="51"/>
        <v>0</v>
      </c>
      <c r="R276" s="164">
        <f t="shared" si="59"/>
        <v>0</v>
      </c>
      <c r="S276" s="164">
        <f t="shared" si="52"/>
        <v>0</v>
      </c>
      <c r="T276" s="164">
        <f t="shared" si="53"/>
        <v>0</v>
      </c>
    </row>
    <row r="277" spans="6:20" x14ac:dyDescent="0.2">
      <c r="F277" s="158">
        <v>266</v>
      </c>
      <c r="G277" s="249">
        <f t="shared" si="54"/>
        <v>51744</v>
      </c>
      <c r="H277" s="158">
        <f t="shared" si="58"/>
        <v>31</v>
      </c>
      <c r="I277" s="254">
        <f>VLOOKUP(G277,'Прогноз переменной ставки'!$B$5:$E$304,4,1)</f>
        <v>9.9000000000000005E-2</v>
      </c>
      <c r="J277" s="164">
        <f t="shared" si="55"/>
        <v>0</v>
      </c>
      <c r="K277" s="164">
        <f t="shared" si="56"/>
        <v>0</v>
      </c>
      <c r="L277" s="164">
        <f t="shared" si="48"/>
        <v>0</v>
      </c>
      <c r="M277" s="164">
        <f t="shared" si="48"/>
        <v>0</v>
      </c>
      <c r="N277" s="164">
        <f t="shared" si="57"/>
        <v>0</v>
      </c>
      <c r="O277" s="164">
        <f t="shared" si="49"/>
        <v>0</v>
      </c>
      <c r="P277" s="164">
        <f t="shared" si="50"/>
        <v>0</v>
      </c>
      <c r="Q277" s="164">
        <f t="shared" si="51"/>
        <v>0</v>
      </c>
      <c r="R277" s="164">
        <f t="shared" si="59"/>
        <v>0</v>
      </c>
      <c r="S277" s="164">
        <f t="shared" si="52"/>
        <v>0</v>
      </c>
      <c r="T277" s="164">
        <f t="shared" si="53"/>
        <v>0</v>
      </c>
    </row>
    <row r="278" spans="6:20" x14ac:dyDescent="0.2">
      <c r="F278" s="158">
        <v>267</v>
      </c>
      <c r="G278" s="249">
        <f t="shared" si="54"/>
        <v>51774</v>
      </c>
      <c r="H278" s="158">
        <f t="shared" si="58"/>
        <v>30</v>
      </c>
      <c r="I278" s="254">
        <f>VLOOKUP(G278,'Прогноз переменной ставки'!$B$5:$E$304,4,1)</f>
        <v>9.9000000000000005E-2</v>
      </c>
      <c r="J278" s="164">
        <f t="shared" si="55"/>
        <v>0</v>
      </c>
      <c r="K278" s="164">
        <f t="shared" si="56"/>
        <v>0</v>
      </c>
      <c r="L278" s="164">
        <f t="shared" ref="L278:M311" si="60">S277</f>
        <v>0</v>
      </c>
      <c r="M278" s="164">
        <f t="shared" si="60"/>
        <v>0</v>
      </c>
      <c r="N278" s="164">
        <f t="shared" si="57"/>
        <v>0</v>
      </c>
      <c r="O278" s="164">
        <f t="shared" si="49"/>
        <v>0</v>
      </c>
      <c r="P278" s="164">
        <f t="shared" si="50"/>
        <v>0</v>
      </c>
      <c r="Q278" s="164">
        <f t="shared" si="51"/>
        <v>0</v>
      </c>
      <c r="R278" s="164">
        <f t="shared" si="59"/>
        <v>0</v>
      </c>
      <c r="S278" s="164">
        <f t="shared" si="52"/>
        <v>0</v>
      </c>
      <c r="T278" s="164">
        <f t="shared" si="53"/>
        <v>0</v>
      </c>
    </row>
    <row r="279" spans="6:20" x14ac:dyDescent="0.2">
      <c r="F279" s="158">
        <v>268</v>
      </c>
      <c r="G279" s="249">
        <f t="shared" si="54"/>
        <v>51805</v>
      </c>
      <c r="H279" s="158">
        <f t="shared" si="58"/>
        <v>31</v>
      </c>
      <c r="I279" s="254">
        <f>VLOOKUP(G279,'Прогноз переменной ставки'!$B$5:$E$304,4,1)</f>
        <v>9.9000000000000005E-2</v>
      </c>
      <c r="J279" s="164">
        <f t="shared" si="55"/>
        <v>0</v>
      </c>
      <c r="K279" s="164">
        <f t="shared" si="56"/>
        <v>0</v>
      </c>
      <c r="L279" s="164">
        <f t="shared" si="60"/>
        <v>0</v>
      </c>
      <c r="M279" s="164">
        <f t="shared" si="60"/>
        <v>0</v>
      </c>
      <c r="N279" s="164">
        <f t="shared" si="57"/>
        <v>0</v>
      </c>
      <c r="O279" s="164">
        <f t="shared" si="49"/>
        <v>0</v>
      </c>
      <c r="P279" s="164">
        <f t="shared" si="50"/>
        <v>0</v>
      </c>
      <c r="Q279" s="164">
        <f t="shared" si="51"/>
        <v>0</v>
      </c>
      <c r="R279" s="164">
        <f t="shared" si="59"/>
        <v>0</v>
      </c>
      <c r="S279" s="164">
        <f t="shared" si="52"/>
        <v>0</v>
      </c>
      <c r="T279" s="164">
        <f t="shared" si="53"/>
        <v>0</v>
      </c>
    </row>
    <row r="280" spans="6:20" x14ac:dyDescent="0.2">
      <c r="F280" s="158">
        <v>269</v>
      </c>
      <c r="G280" s="249">
        <f t="shared" si="54"/>
        <v>51835</v>
      </c>
      <c r="H280" s="158">
        <f t="shared" si="58"/>
        <v>30</v>
      </c>
      <c r="I280" s="254">
        <f>VLOOKUP(G280,'Прогноз переменной ставки'!$B$5:$E$304,4,1)</f>
        <v>9.9000000000000005E-2</v>
      </c>
      <c r="J280" s="164">
        <f t="shared" si="55"/>
        <v>0</v>
      </c>
      <c r="K280" s="164">
        <f t="shared" si="56"/>
        <v>0</v>
      </c>
      <c r="L280" s="164">
        <f t="shared" si="60"/>
        <v>0</v>
      </c>
      <c r="M280" s="164">
        <f t="shared" si="60"/>
        <v>0</v>
      </c>
      <c r="N280" s="164">
        <f t="shared" si="57"/>
        <v>0</v>
      </c>
      <c r="O280" s="164">
        <f t="shared" si="49"/>
        <v>0</v>
      </c>
      <c r="P280" s="164">
        <f t="shared" si="50"/>
        <v>0</v>
      </c>
      <c r="Q280" s="164">
        <f t="shared" si="51"/>
        <v>0</v>
      </c>
      <c r="R280" s="164">
        <f t="shared" si="59"/>
        <v>0</v>
      </c>
      <c r="S280" s="164">
        <f t="shared" si="52"/>
        <v>0</v>
      </c>
      <c r="T280" s="164">
        <f t="shared" si="53"/>
        <v>0</v>
      </c>
    </row>
    <row r="281" spans="6:20" x14ac:dyDescent="0.2">
      <c r="F281" s="158">
        <v>270</v>
      </c>
      <c r="G281" s="249">
        <f t="shared" si="54"/>
        <v>51866</v>
      </c>
      <c r="H281" s="158">
        <f t="shared" si="58"/>
        <v>31</v>
      </c>
      <c r="I281" s="254">
        <f>VLOOKUP(G281,'Прогноз переменной ставки'!$B$5:$E$304,4,1)</f>
        <v>9.9000000000000005E-2</v>
      </c>
      <c r="J281" s="164">
        <f t="shared" si="55"/>
        <v>0</v>
      </c>
      <c r="K281" s="164">
        <f t="shared" si="56"/>
        <v>0</v>
      </c>
      <c r="L281" s="164">
        <f t="shared" si="60"/>
        <v>0</v>
      </c>
      <c r="M281" s="164">
        <f t="shared" si="60"/>
        <v>0</v>
      </c>
      <c r="N281" s="164">
        <f t="shared" si="57"/>
        <v>0</v>
      </c>
      <c r="O281" s="164">
        <f t="shared" si="49"/>
        <v>0</v>
      </c>
      <c r="P281" s="164">
        <f t="shared" si="50"/>
        <v>0</v>
      </c>
      <c r="Q281" s="164">
        <f t="shared" si="51"/>
        <v>0</v>
      </c>
      <c r="R281" s="164">
        <f t="shared" si="59"/>
        <v>0</v>
      </c>
      <c r="S281" s="164">
        <f t="shared" si="52"/>
        <v>0</v>
      </c>
      <c r="T281" s="164">
        <f t="shared" si="53"/>
        <v>0</v>
      </c>
    </row>
    <row r="282" spans="6:20" x14ac:dyDescent="0.2">
      <c r="F282" s="158">
        <v>271</v>
      </c>
      <c r="G282" s="249">
        <f t="shared" si="54"/>
        <v>51897</v>
      </c>
      <c r="H282" s="158">
        <f t="shared" si="58"/>
        <v>31</v>
      </c>
      <c r="I282" s="254">
        <f>VLOOKUP(G282,'Прогноз переменной ставки'!$B$5:$E$304,4,1)</f>
        <v>9.9000000000000005E-2</v>
      </c>
      <c r="J282" s="164">
        <f t="shared" si="55"/>
        <v>0</v>
      </c>
      <c r="K282" s="164">
        <f t="shared" si="56"/>
        <v>0</v>
      </c>
      <c r="L282" s="164">
        <f t="shared" si="60"/>
        <v>0</v>
      </c>
      <c r="M282" s="164">
        <f t="shared" si="60"/>
        <v>0</v>
      </c>
      <c r="N282" s="164">
        <f t="shared" si="57"/>
        <v>0</v>
      </c>
      <c r="O282" s="164">
        <f t="shared" si="49"/>
        <v>0</v>
      </c>
      <c r="P282" s="164">
        <f t="shared" si="50"/>
        <v>0</v>
      </c>
      <c r="Q282" s="164">
        <f t="shared" si="51"/>
        <v>0</v>
      </c>
      <c r="R282" s="164">
        <f t="shared" si="59"/>
        <v>0</v>
      </c>
      <c r="S282" s="164">
        <f t="shared" si="52"/>
        <v>0</v>
      </c>
      <c r="T282" s="164">
        <f t="shared" si="53"/>
        <v>0</v>
      </c>
    </row>
    <row r="283" spans="6:20" x14ac:dyDescent="0.2">
      <c r="F283" s="158">
        <v>272</v>
      </c>
      <c r="G283" s="249">
        <f t="shared" si="54"/>
        <v>51925</v>
      </c>
      <c r="H283" s="158">
        <f t="shared" si="58"/>
        <v>28</v>
      </c>
      <c r="I283" s="254">
        <f>VLOOKUP(G283,'Прогноз переменной ставки'!$B$5:$E$304,4,1)</f>
        <v>9.9000000000000005E-2</v>
      </c>
      <c r="J283" s="164">
        <f t="shared" si="55"/>
        <v>0</v>
      </c>
      <c r="K283" s="164">
        <f t="shared" si="56"/>
        <v>0</v>
      </c>
      <c r="L283" s="164">
        <f t="shared" si="60"/>
        <v>0</v>
      </c>
      <c r="M283" s="164">
        <f t="shared" si="60"/>
        <v>0</v>
      </c>
      <c r="N283" s="164">
        <f t="shared" si="57"/>
        <v>0</v>
      </c>
      <c r="O283" s="164">
        <f t="shared" si="49"/>
        <v>0</v>
      </c>
      <c r="P283" s="164">
        <f t="shared" si="50"/>
        <v>0</v>
      </c>
      <c r="Q283" s="164">
        <f t="shared" si="51"/>
        <v>0</v>
      </c>
      <c r="R283" s="164">
        <f t="shared" si="59"/>
        <v>0</v>
      </c>
      <c r="S283" s="164">
        <f t="shared" si="52"/>
        <v>0</v>
      </c>
      <c r="T283" s="164">
        <f t="shared" si="53"/>
        <v>0</v>
      </c>
    </row>
    <row r="284" spans="6:20" x14ac:dyDescent="0.2">
      <c r="F284" s="158">
        <v>273</v>
      </c>
      <c r="G284" s="249">
        <f t="shared" si="54"/>
        <v>51956</v>
      </c>
      <c r="H284" s="158">
        <f t="shared" si="58"/>
        <v>31</v>
      </c>
      <c r="I284" s="254">
        <f>VLOOKUP(G284,'Прогноз переменной ставки'!$B$5:$E$304,4,1)</f>
        <v>9.9000000000000005E-2</v>
      </c>
      <c r="J284" s="164">
        <f t="shared" si="55"/>
        <v>0</v>
      </c>
      <c r="K284" s="164">
        <f t="shared" si="56"/>
        <v>0</v>
      </c>
      <c r="L284" s="164">
        <f t="shared" si="60"/>
        <v>0</v>
      </c>
      <c r="M284" s="164">
        <f t="shared" si="60"/>
        <v>0</v>
      </c>
      <c r="N284" s="164">
        <f t="shared" si="57"/>
        <v>0</v>
      </c>
      <c r="O284" s="164">
        <f t="shared" si="49"/>
        <v>0</v>
      </c>
      <c r="P284" s="164">
        <f t="shared" si="50"/>
        <v>0</v>
      </c>
      <c r="Q284" s="164">
        <f t="shared" si="51"/>
        <v>0</v>
      </c>
      <c r="R284" s="164">
        <f t="shared" si="59"/>
        <v>0</v>
      </c>
      <c r="S284" s="164">
        <f t="shared" si="52"/>
        <v>0</v>
      </c>
      <c r="T284" s="164">
        <f t="shared" si="53"/>
        <v>0</v>
      </c>
    </row>
    <row r="285" spans="6:20" x14ac:dyDescent="0.2">
      <c r="F285" s="158">
        <v>274</v>
      </c>
      <c r="G285" s="249">
        <f t="shared" si="54"/>
        <v>51986</v>
      </c>
      <c r="H285" s="158">
        <f t="shared" si="58"/>
        <v>30</v>
      </c>
      <c r="I285" s="254">
        <f>VLOOKUP(G285,'Прогноз переменной ставки'!$B$5:$E$304,4,1)</f>
        <v>9.9000000000000005E-2</v>
      </c>
      <c r="J285" s="164">
        <f t="shared" si="55"/>
        <v>0</v>
      </c>
      <c r="K285" s="164">
        <f t="shared" si="56"/>
        <v>0</v>
      </c>
      <c r="L285" s="164">
        <f t="shared" si="60"/>
        <v>0</v>
      </c>
      <c r="M285" s="164">
        <f t="shared" si="60"/>
        <v>0</v>
      </c>
      <c r="N285" s="164">
        <f t="shared" si="57"/>
        <v>0</v>
      </c>
      <c r="O285" s="164">
        <f t="shared" si="49"/>
        <v>0</v>
      </c>
      <c r="P285" s="164">
        <f t="shared" si="50"/>
        <v>0</v>
      </c>
      <c r="Q285" s="164">
        <f t="shared" si="51"/>
        <v>0</v>
      </c>
      <c r="R285" s="164">
        <f t="shared" si="59"/>
        <v>0</v>
      </c>
      <c r="S285" s="164">
        <f t="shared" si="52"/>
        <v>0</v>
      </c>
      <c r="T285" s="164">
        <f t="shared" si="53"/>
        <v>0</v>
      </c>
    </row>
    <row r="286" spans="6:20" x14ac:dyDescent="0.2">
      <c r="F286" s="158">
        <v>275</v>
      </c>
      <c r="G286" s="249">
        <f t="shared" si="54"/>
        <v>52017</v>
      </c>
      <c r="H286" s="158">
        <f t="shared" si="58"/>
        <v>31</v>
      </c>
      <c r="I286" s="254">
        <f>VLOOKUP(G286,'Прогноз переменной ставки'!$B$5:$E$304,4,1)</f>
        <v>9.9000000000000005E-2</v>
      </c>
      <c r="J286" s="164">
        <f t="shared" si="55"/>
        <v>0</v>
      </c>
      <c r="K286" s="164">
        <f t="shared" si="56"/>
        <v>0</v>
      </c>
      <c r="L286" s="164">
        <f t="shared" si="60"/>
        <v>0</v>
      </c>
      <c r="M286" s="164">
        <f t="shared" si="60"/>
        <v>0</v>
      </c>
      <c r="N286" s="164">
        <f t="shared" si="57"/>
        <v>0</v>
      </c>
      <c r="O286" s="164">
        <f t="shared" si="49"/>
        <v>0</v>
      </c>
      <c r="P286" s="164">
        <f t="shared" si="50"/>
        <v>0</v>
      </c>
      <c r="Q286" s="164">
        <f t="shared" si="51"/>
        <v>0</v>
      </c>
      <c r="R286" s="164">
        <f t="shared" si="59"/>
        <v>0</v>
      </c>
      <c r="S286" s="164">
        <f t="shared" si="52"/>
        <v>0</v>
      </c>
      <c r="T286" s="164">
        <f t="shared" si="53"/>
        <v>0</v>
      </c>
    </row>
    <row r="287" spans="6:20" x14ac:dyDescent="0.2">
      <c r="F287" s="158">
        <v>276</v>
      </c>
      <c r="G287" s="249">
        <f t="shared" si="54"/>
        <v>52047</v>
      </c>
      <c r="H287" s="158">
        <f t="shared" si="58"/>
        <v>30</v>
      </c>
      <c r="I287" s="254">
        <f>VLOOKUP(G287,'Прогноз переменной ставки'!$B$5:$E$304,4,1)</f>
        <v>9.9000000000000005E-2</v>
      </c>
      <c r="J287" s="164">
        <f t="shared" si="55"/>
        <v>0</v>
      </c>
      <c r="K287" s="164">
        <f t="shared" si="56"/>
        <v>0</v>
      </c>
      <c r="L287" s="164">
        <f t="shared" si="60"/>
        <v>0</v>
      </c>
      <c r="M287" s="164">
        <f t="shared" si="60"/>
        <v>0</v>
      </c>
      <c r="N287" s="164">
        <f t="shared" si="57"/>
        <v>0</v>
      </c>
      <c r="O287" s="164">
        <f t="shared" si="49"/>
        <v>0</v>
      </c>
      <c r="P287" s="164">
        <f t="shared" si="50"/>
        <v>0</v>
      </c>
      <c r="Q287" s="164">
        <f t="shared" si="51"/>
        <v>0</v>
      </c>
      <c r="R287" s="164">
        <f t="shared" si="59"/>
        <v>0</v>
      </c>
      <c r="S287" s="164">
        <f t="shared" si="52"/>
        <v>0</v>
      </c>
      <c r="T287" s="164">
        <f t="shared" si="53"/>
        <v>0</v>
      </c>
    </row>
    <row r="288" spans="6:20" x14ac:dyDescent="0.2">
      <c r="F288" s="158">
        <v>277</v>
      </c>
      <c r="G288" s="249">
        <f t="shared" si="54"/>
        <v>52078</v>
      </c>
      <c r="H288" s="158">
        <f t="shared" si="58"/>
        <v>31</v>
      </c>
      <c r="I288" s="254">
        <f>VLOOKUP(G288,'Прогноз переменной ставки'!$B$5:$E$304,4,1)</f>
        <v>9.9000000000000005E-2</v>
      </c>
      <c r="J288" s="164">
        <f t="shared" si="55"/>
        <v>0</v>
      </c>
      <c r="K288" s="164">
        <f t="shared" si="56"/>
        <v>0</v>
      </c>
      <c r="L288" s="164">
        <f t="shared" si="60"/>
        <v>0</v>
      </c>
      <c r="M288" s="164">
        <f t="shared" si="60"/>
        <v>0</v>
      </c>
      <c r="N288" s="164">
        <f t="shared" si="57"/>
        <v>0</v>
      </c>
      <c r="O288" s="164">
        <f t="shared" si="49"/>
        <v>0</v>
      </c>
      <c r="P288" s="164">
        <f t="shared" si="50"/>
        <v>0</v>
      </c>
      <c r="Q288" s="164">
        <f t="shared" si="51"/>
        <v>0</v>
      </c>
      <c r="R288" s="164">
        <f t="shared" si="59"/>
        <v>0</v>
      </c>
      <c r="S288" s="164">
        <f t="shared" si="52"/>
        <v>0</v>
      </c>
      <c r="T288" s="164">
        <f t="shared" si="53"/>
        <v>0</v>
      </c>
    </row>
    <row r="289" spans="6:20" x14ac:dyDescent="0.2">
      <c r="F289" s="158">
        <v>278</v>
      </c>
      <c r="G289" s="249">
        <f t="shared" si="54"/>
        <v>52109</v>
      </c>
      <c r="H289" s="158">
        <f t="shared" si="58"/>
        <v>31</v>
      </c>
      <c r="I289" s="254">
        <f>VLOOKUP(G289,'Прогноз переменной ставки'!$B$5:$E$304,4,1)</f>
        <v>9.9000000000000005E-2</v>
      </c>
      <c r="J289" s="164">
        <f t="shared" si="55"/>
        <v>0</v>
      </c>
      <c r="K289" s="164">
        <f t="shared" si="56"/>
        <v>0</v>
      </c>
      <c r="L289" s="164">
        <f t="shared" si="60"/>
        <v>0</v>
      </c>
      <c r="M289" s="164">
        <f t="shared" si="60"/>
        <v>0</v>
      </c>
      <c r="N289" s="164">
        <f t="shared" si="57"/>
        <v>0</v>
      </c>
      <c r="O289" s="164">
        <f t="shared" si="49"/>
        <v>0</v>
      </c>
      <c r="P289" s="164">
        <f t="shared" si="50"/>
        <v>0</v>
      </c>
      <c r="Q289" s="164">
        <f t="shared" si="51"/>
        <v>0</v>
      </c>
      <c r="R289" s="164">
        <f t="shared" si="59"/>
        <v>0</v>
      </c>
      <c r="S289" s="164">
        <f t="shared" si="52"/>
        <v>0</v>
      </c>
      <c r="T289" s="164">
        <f t="shared" si="53"/>
        <v>0</v>
      </c>
    </row>
    <row r="290" spans="6:20" x14ac:dyDescent="0.2">
      <c r="F290" s="158">
        <v>279</v>
      </c>
      <c r="G290" s="249">
        <f t="shared" si="54"/>
        <v>52139</v>
      </c>
      <c r="H290" s="158">
        <f t="shared" si="58"/>
        <v>30</v>
      </c>
      <c r="I290" s="254">
        <f>VLOOKUP(G290,'Прогноз переменной ставки'!$B$5:$E$304,4,1)</f>
        <v>9.9000000000000005E-2</v>
      </c>
      <c r="J290" s="164">
        <f t="shared" si="55"/>
        <v>0</v>
      </c>
      <c r="K290" s="164">
        <f t="shared" si="56"/>
        <v>0</v>
      </c>
      <c r="L290" s="164">
        <f t="shared" si="60"/>
        <v>0</v>
      </c>
      <c r="M290" s="164">
        <f t="shared" si="60"/>
        <v>0</v>
      </c>
      <c r="N290" s="164">
        <f t="shared" si="57"/>
        <v>0</v>
      </c>
      <c r="O290" s="164">
        <f t="shared" si="49"/>
        <v>0</v>
      </c>
      <c r="P290" s="164">
        <f t="shared" si="50"/>
        <v>0</v>
      </c>
      <c r="Q290" s="164">
        <f t="shared" si="51"/>
        <v>0</v>
      </c>
      <c r="R290" s="164">
        <f t="shared" si="59"/>
        <v>0</v>
      </c>
      <c r="S290" s="164">
        <f t="shared" si="52"/>
        <v>0</v>
      </c>
      <c r="T290" s="164">
        <f t="shared" si="53"/>
        <v>0</v>
      </c>
    </row>
    <row r="291" spans="6:20" x14ac:dyDescent="0.2">
      <c r="F291" s="158">
        <v>280</v>
      </c>
      <c r="G291" s="249">
        <f t="shared" si="54"/>
        <v>52170</v>
      </c>
      <c r="H291" s="158">
        <f t="shared" si="58"/>
        <v>31</v>
      </c>
      <c r="I291" s="254">
        <f>VLOOKUP(G291,'Прогноз переменной ставки'!$B$5:$E$304,4,1)</f>
        <v>9.9000000000000005E-2</v>
      </c>
      <c r="J291" s="164">
        <f t="shared" si="55"/>
        <v>0</v>
      </c>
      <c r="K291" s="164">
        <f t="shared" si="56"/>
        <v>0</v>
      </c>
      <c r="L291" s="164">
        <f t="shared" si="60"/>
        <v>0</v>
      </c>
      <c r="M291" s="164">
        <f t="shared" si="60"/>
        <v>0</v>
      </c>
      <c r="N291" s="164">
        <f t="shared" si="57"/>
        <v>0</v>
      </c>
      <c r="O291" s="164">
        <f t="shared" si="49"/>
        <v>0</v>
      </c>
      <c r="P291" s="164">
        <f t="shared" si="50"/>
        <v>0</v>
      </c>
      <c r="Q291" s="164">
        <f t="shared" si="51"/>
        <v>0</v>
      </c>
      <c r="R291" s="164">
        <f t="shared" si="59"/>
        <v>0</v>
      </c>
      <c r="S291" s="164">
        <f t="shared" si="52"/>
        <v>0</v>
      </c>
      <c r="T291" s="164">
        <f t="shared" si="53"/>
        <v>0</v>
      </c>
    </row>
    <row r="292" spans="6:20" x14ac:dyDescent="0.2">
      <c r="F292" s="158">
        <v>281</v>
      </c>
      <c r="G292" s="249">
        <f t="shared" si="54"/>
        <v>52200</v>
      </c>
      <c r="H292" s="158">
        <f t="shared" si="58"/>
        <v>30</v>
      </c>
      <c r="I292" s="254">
        <f>VLOOKUP(G292,'Прогноз переменной ставки'!$B$5:$E$304,4,1)</f>
        <v>9.9000000000000005E-2</v>
      </c>
      <c r="J292" s="164">
        <f t="shared" si="55"/>
        <v>0</v>
      </c>
      <c r="K292" s="164">
        <f t="shared" si="56"/>
        <v>0</v>
      </c>
      <c r="L292" s="164">
        <f t="shared" si="60"/>
        <v>0</v>
      </c>
      <c r="M292" s="164">
        <f t="shared" si="60"/>
        <v>0</v>
      </c>
      <c r="N292" s="164">
        <f t="shared" si="57"/>
        <v>0</v>
      </c>
      <c r="O292" s="164">
        <f t="shared" si="49"/>
        <v>0</v>
      </c>
      <c r="P292" s="164">
        <f t="shared" si="50"/>
        <v>0</v>
      </c>
      <c r="Q292" s="164">
        <f t="shared" si="51"/>
        <v>0</v>
      </c>
      <c r="R292" s="164">
        <f t="shared" si="59"/>
        <v>0</v>
      </c>
      <c r="S292" s="164">
        <f t="shared" si="52"/>
        <v>0</v>
      </c>
      <c r="T292" s="164">
        <f t="shared" si="53"/>
        <v>0</v>
      </c>
    </row>
    <row r="293" spans="6:20" x14ac:dyDescent="0.2">
      <c r="F293" s="158">
        <v>282</v>
      </c>
      <c r="G293" s="249">
        <f t="shared" si="54"/>
        <v>52231</v>
      </c>
      <c r="H293" s="158">
        <f t="shared" si="58"/>
        <v>31</v>
      </c>
      <c r="I293" s="254">
        <f>VLOOKUP(G293,'Прогноз переменной ставки'!$B$5:$E$304,4,1)</f>
        <v>9.9000000000000005E-2</v>
      </c>
      <c r="J293" s="164">
        <f t="shared" si="55"/>
        <v>0</v>
      </c>
      <c r="K293" s="164">
        <f t="shared" si="56"/>
        <v>0</v>
      </c>
      <c r="L293" s="164">
        <f t="shared" si="60"/>
        <v>0</v>
      </c>
      <c r="M293" s="164">
        <f t="shared" si="60"/>
        <v>0</v>
      </c>
      <c r="N293" s="164">
        <f t="shared" si="57"/>
        <v>0</v>
      </c>
      <c r="O293" s="164">
        <f t="shared" si="49"/>
        <v>0</v>
      </c>
      <c r="P293" s="164">
        <f t="shared" si="50"/>
        <v>0</v>
      </c>
      <c r="Q293" s="164">
        <f t="shared" si="51"/>
        <v>0</v>
      </c>
      <c r="R293" s="164">
        <f t="shared" si="59"/>
        <v>0</v>
      </c>
      <c r="S293" s="164">
        <f t="shared" si="52"/>
        <v>0</v>
      </c>
      <c r="T293" s="164">
        <f t="shared" si="53"/>
        <v>0</v>
      </c>
    </row>
    <row r="294" spans="6:20" x14ac:dyDescent="0.2">
      <c r="F294" s="158">
        <v>283</v>
      </c>
      <c r="G294" s="249">
        <f t="shared" si="54"/>
        <v>52262</v>
      </c>
      <c r="H294" s="158">
        <f t="shared" si="58"/>
        <v>31</v>
      </c>
      <c r="I294" s="254">
        <f>VLOOKUP(G294,'Прогноз переменной ставки'!$B$5:$E$304,4,1)</f>
        <v>9.9000000000000005E-2</v>
      </c>
      <c r="J294" s="164">
        <f t="shared" si="55"/>
        <v>0</v>
      </c>
      <c r="K294" s="164">
        <f t="shared" si="56"/>
        <v>0</v>
      </c>
      <c r="L294" s="164">
        <f t="shared" si="60"/>
        <v>0</v>
      </c>
      <c r="M294" s="164">
        <f t="shared" si="60"/>
        <v>0</v>
      </c>
      <c r="N294" s="164">
        <f t="shared" si="57"/>
        <v>0</v>
      </c>
      <c r="O294" s="164">
        <f t="shared" si="49"/>
        <v>0</v>
      </c>
      <c r="P294" s="164">
        <f t="shared" si="50"/>
        <v>0</v>
      </c>
      <c r="Q294" s="164">
        <f t="shared" si="51"/>
        <v>0</v>
      </c>
      <c r="R294" s="164">
        <f t="shared" si="59"/>
        <v>0</v>
      </c>
      <c r="S294" s="164">
        <f t="shared" si="52"/>
        <v>0</v>
      </c>
      <c r="T294" s="164">
        <f t="shared" si="53"/>
        <v>0</v>
      </c>
    </row>
    <row r="295" spans="6:20" x14ac:dyDescent="0.2">
      <c r="F295" s="158">
        <v>284</v>
      </c>
      <c r="G295" s="249">
        <f t="shared" si="54"/>
        <v>52290</v>
      </c>
      <c r="H295" s="158">
        <f t="shared" si="58"/>
        <v>28</v>
      </c>
      <c r="I295" s="254">
        <f>VLOOKUP(G295,'Прогноз переменной ставки'!$B$5:$E$304,4,1)</f>
        <v>9.9000000000000005E-2</v>
      </c>
      <c r="J295" s="164">
        <f t="shared" si="55"/>
        <v>0</v>
      </c>
      <c r="K295" s="164">
        <f t="shared" si="56"/>
        <v>0</v>
      </c>
      <c r="L295" s="164">
        <f t="shared" si="60"/>
        <v>0</v>
      </c>
      <c r="M295" s="164">
        <f t="shared" si="60"/>
        <v>0</v>
      </c>
      <c r="N295" s="164">
        <f t="shared" si="57"/>
        <v>0</v>
      </c>
      <c r="O295" s="164">
        <f t="shared" si="49"/>
        <v>0</v>
      </c>
      <c r="P295" s="164">
        <f t="shared" si="50"/>
        <v>0</v>
      </c>
      <c r="Q295" s="164">
        <f t="shared" si="51"/>
        <v>0</v>
      </c>
      <c r="R295" s="164">
        <f t="shared" si="59"/>
        <v>0</v>
      </c>
      <c r="S295" s="164">
        <f t="shared" si="52"/>
        <v>0</v>
      </c>
      <c r="T295" s="164">
        <f t="shared" si="53"/>
        <v>0</v>
      </c>
    </row>
    <row r="296" spans="6:20" x14ac:dyDescent="0.2">
      <c r="F296" s="158">
        <v>285</v>
      </c>
      <c r="G296" s="249">
        <f t="shared" si="54"/>
        <v>52321</v>
      </c>
      <c r="H296" s="158">
        <f t="shared" si="58"/>
        <v>31</v>
      </c>
      <c r="I296" s="254">
        <f>VLOOKUP(G296,'Прогноз переменной ставки'!$B$5:$E$304,4,1)</f>
        <v>9.9000000000000005E-2</v>
      </c>
      <c r="J296" s="164">
        <f t="shared" si="55"/>
        <v>0</v>
      </c>
      <c r="K296" s="164">
        <f t="shared" si="56"/>
        <v>0</v>
      </c>
      <c r="L296" s="164">
        <f t="shared" si="60"/>
        <v>0</v>
      </c>
      <c r="M296" s="164">
        <f t="shared" si="60"/>
        <v>0</v>
      </c>
      <c r="N296" s="164">
        <f t="shared" si="57"/>
        <v>0</v>
      </c>
      <c r="O296" s="164">
        <f t="shared" si="49"/>
        <v>0</v>
      </c>
      <c r="P296" s="164">
        <f t="shared" si="50"/>
        <v>0</v>
      </c>
      <c r="Q296" s="164">
        <f t="shared" si="51"/>
        <v>0</v>
      </c>
      <c r="R296" s="164">
        <f t="shared" si="59"/>
        <v>0</v>
      </c>
      <c r="S296" s="164">
        <f t="shared" si="52"/>
        <v>0</v>
      </c>
      <c r="T296" s="164">
        <f t="shared" si="53"/>
        <v>0</v>
      </c>
    </row>
    <row r="297" spans="6:20" x14ac:dyDescent="0.2">
      <c r="F297" s="158">
        <v>286</v>
      </c>
      <c r="G297" s="249">
        <f t="shared" si="54"/>
        <v>52351</v>
      </c>
      <c r="H297" s="158">
        <f t="shared" si="58"/>
        <v>30</v>
      </c>
      <c r="I297" s="254">
        <f>VLOOKUP(G297,'Прогноз переменной ставки'!$B$5:$E$304,4,1)</f>
        <v>9.9000000000000005E-2</v>
      </c>
      <c r="J297" s="164">
        <f t="shared" si="55"/>
        <v>0</v>
      </c>
      <c r="K297" s="164">
        <f t="shared" si="56"/>
        <v>0</v>
      </c>
      <c r="L297" s="164">
        <f t="shared" si="60"/>
        <v>0</v>
      </c>
      <c r="M297" s="164">
        <f t="shared" si="60"/>
        <v>0</v>
      </c>
      <c r="N297" s="164">
        <f t="shared" si="57"/>
        <v>0</v>
      </c>
      <c r="O297" s="164">
        <f t="shared" si="49"/>
        <v>0</v>
      </c>
      <c r="P297" s="164">
        <f t="shared" si="50"/>
        <v>0</v>
      </c>
      <c r="Q297" s="164">
        <f t="shared" si="51"/>
        <v>0</v>
      </c>
      <c r="R297" s="164">
        <f t="shared" si="59"/>
        <v>0</v>
      </c>
      <c r="S297" s="164">
        <f t="shared" si="52"/>
        <v>0</v>
      </c>
      <c r="T297" s="164">
        <f t="shared" si="53"/>
        <v>0</v>
      </c>
    </row>
    <row r="298" spans="6:20" x14ac:dyDescent="0.2">
      <c r="F298" s="158">
        <v>287</v>
      </c>
      <c r="G298" s="249">
        <f t="shared" si="54"/>
        <v>52382</v>
      </c>
      <c r="H298" s="158">
        <f t="shared" si="58"/>
        <v>31</v>
      </c>
      <c r="I298" s="254">
        <f>VLOOKUP(G298,'Прогноз переменной ставки'!$B$5:$E$304,4,1)</f>
        <v>9.9000000000000005E-2</v>
      </c>
      <c r="J298" s="164">
        <f t="shared" si="55"/>
        <v>0</v>
      </c>
      <c r="K298" s="164">
        <f t="shared" si="56"/>
        <v>0</v>
      </c>
      <c r="L298" s="164">
        <f t="shared" si="60"/>
        <v>0</v>
      </c>
      <c r="M298" s="164">
        <f t="shared" si="60"/>
        <v>0</v>
      </c>
      <c r="N298" s="164">
        <f t="shared" si="57"/>
        <v>0</v>
      </c>
      <c r="O298" s="164">
        <f t="shared" si="49"/>
        <v>0</v>
      </c>
      <c r="P298" s="164">
        <f t="shared" si="50"/>
        <v>0</v>
      </c>
      <c r="Q298" s="164">
        <f t="shared" si="51"/>
        <v>0</v>
      </c>
      <c r="R298" s="164">
        <f t="shared" si="59"/>
        <v>0</v>
      </c>
      <c r="S298" s="164">
        <f t="shared" si="52"/>
        <v>0</v>
      </c>
      <c r="T298" s="164">
        <f t="shared" si="53"/>
        <v>0</v>
      </c>
    </row>
    <row r="299" spans="6:20" x14ac:dyDescent="0.2">
      <c r="F299" s="158">
        <v>288</v>
      </c>
      <c r="G299" s="249">
        <f t="shared" si="54"/>
        <v>52412</v>
      </c>
      <c r="H299" s="158">
        <f t="shared" si="58"/>
        <v>30</v>
      </c>
      <c r="I299" s="254">
        <f>VLOOKUP(G299,'Прогноз переменной ставки'!$B$5:$E$304,4,1)</f>
        <v>9.9000000000000005E-2</v>
      </c>
      <c r="J299" s="164">
        <f t="shared" si="55"/>
        <v>0</v>
      </c>
      <c r="K299" s="164">
        <f t="shared" si="56"/>
        <v>0</v>
      </c>
      <c r="L299" s="164">
        <f t="shared" si="60"/>
        <v>0</v>
      </c>
      <c r="M299" s="164">
        <f t="shared" si="60"/>
        <v>0</v>
      </c>
      <c r="N299" s="164">
        <f t="shared" si="57"/>
        <v>0</v>
      </c>
      <c r="O299" s="164">
        <f t="shared" si="49"/>
        <v>0</v>
      </c>
      <c r="P299" s="164">
        <f t="shared" si="50"/>
        <v>0</v>
      </c>
      <c r="Q299" s="164">
        <f t="shared" si="51"/>
        <v>0</v>
      </c>
      <c r="R299" s="164">
        <f t="shared" si="59"/>
        <v>0</v>
      </c>
      <c r="S299" s="164">
        <f t="shared" si="52"/>
        <v>0</v>
      </c>
      <c r="T299" s="164">
        <f t="shared" si="53"/>
        <v>0</v>
      </c>
    </row>
    <row r="300" spans="6:20" x14ac:dyDescent="0.2">
      <c r="F300" s="158">
        <v>289</v>
      </c>
      <c r="G300" s="249">
        <f t="shared" si="54"/>
        <v>52443</v>
      </c>
      <c r="H300" s="158">
        <f t="shared" si="58"/>
        <v>31</v>
      </c>
      <c r="I300" s="254">
        <f>VLOOKUP(G300,'Прогноз переменной ставки'!$B$5:$E$304,4,1)</f>
        <v>9.9000000000000005E-2</v>
      </c>
      <c r="J300" s="164">
        <f t="shared" si="55"/>
        <v>0</v>
      </c>
      <c r="K300" s="164">
        <f t="shared" si="56"/>
        <v>0</v>
      </c>
      <c r="L300" s="164">
        <f t="shared" si="60"/>
        <v>0</v>
      </c>
      <c r="M300" s="164">
        <f t="shared" si="60"/>
        <v>0</v>
      </c>
      <c r="N300" s="164">
        <f t="shared" si="57"/>
        <v>0</v>
      </c>
      <c r="O300" s="164">
        <f t="shared" si="49"/>
        <v>0</v>
      </c>
      <c r="P300" s="164">
        <f t="shared" si="50"/>
        <v>0</v>
      </c>
      <c r="Q300" s="164">
        <f t="shared" si="51"/>
        <v>0</v>
      </c>
      <c r="R300" s="164">
        <f t="shared" si="59"/>
        <v>0</v>
      </c>
      <c r="S300" s="164">
        <f t="shared" si="52"/>
        <v>0</v>
      </c>
      <c r="T300" s="164">
        <f t="shared" si="53"/>
        <v>0</v>
      </c>
    </row>
    <row r="301" spans="6:20" x14ac:dyDescent="0.2">
      <c r="F301" s="158">
        <v>290</v>
      </c>
      <c r="G301" s="249">
        <f t="shared" si="54"/>
        <v>52474</v>
      </c>
      <c r="H301" s="158">
        <f t="shared" si="58"/>
        <v>31</v>
      </c>
      <c r="I301" s="254">
        <f>VLOOKUP(G301,'Прогноз переменной ставки'!$B$5:$E$304,4,1)</f>
        <v>9.9000000000000005E-2</v>
      </c>
      <c r="J301" s="164">
        <f t="shared" si="55"/>
        <v>0</v>
      </c>
      <c r="K301" s="164">
        <f t="shared" si="56"/>
        <v>0</v>
      </c>
      <c r="L301" s="164">
        <f t="shared" si="60"/>
        <v>0</v>
      </c>
      <c r="M301" s="164">
        <f t="shared" si="60"/>
        <v>0</v>
      </c>
      <c r="N301" s="164">
        <f t="shared" si="57"/>
        <v>0</v>
      </c>
      <c r="O301" s="164">
        <f t="shared" si="49"/>
        <v>0</v>
      </c>
      <c r="P301" s="164">
        <f t="shared" si="50"/>
        <v>0</v>
      </c>
      <c r="Q301" s="164">
        <f t="shared" si="51"/>
        <v>0</v>
      </c>
      <c r="R301" s="164">
        <f t="shared" si="59"/>
        <v>0</v>
      </c>
      <c r="S301" s="164">
        <f t="shared" si="52"/>
        <v>0</v>
      </c>
      <c r="T301" s="164">
        <f t="shared" si="53"/>
        <v>0</v>
      </c>
    </row>
    <row r="302" spans="6:20" x14ac:dyDescent="0.2">
      <c r="F302" s="158">
        <v>291</v>
      </c>
      <c r="G302" s="249">
        <f t="shared" si="54"/>
        <v>52504</v>
      </c>
      <c r="H302" s="158">
        <f t="shared" si="58"/>
        <v>30</v>
      </c>
      <c r="I302" s="254">
        <f>VLOOKUP(G302,'Прогноз переменной ставки'!$B$5:$E$304,4,1)</f>
        <v>9.9000000000000005E-2</v>
      </c>
      <c r="J302" s="164">
        <f t="shared" si="55"/>
        <v>0</v>
      </c>
      <c r="K302" s="164">
        <f t="shared" si="56"/>
        <v>0</v>
      </c>
      <c r="L302" s="164">
        <f t="shared" si="60"/>
        <v>0</v>
      </c>
      <c r="M302" s="164">
        <f t="shared" si="60"/>
        <v>0</v>
      </c>
      <c r="N302" s="164">
        <f t="shared" si="57"/>
        <v>0</v>
      </c>
      <c r="O302" s="164">
        <f t="shared" si="49"/>
        <v>0</v>
      </c>
      <c r="P302" s="164">
        <f t="shared" si="50"/>
        <v>0</v>
      </c>
      <c r="Q302" s="164">
        <f t="shared" si="51"/>
        <v>0</v>
      </c>
      <c r="R302" s="164">
        <f t="shared" si="59"/>
        <v>0</v>
      </c>
      <c r="S302" s="164">
        <f t="shared" si="52"/>
        <v>0</v>
      </c>
      <c r="T302" s="164">
        <f t="shared" si="53"/>
        <v>0</v>
      </c>
    </row>
    <row r="303" spans="6:20" x14ac:dyDescent="0.2">
      <c r="F303" s="158">
        <v>292</v>
      </c>
      <c r="G303" s="249">
        <f t="shared" si="54"/>
        <v>52535</v>
      </c>
      <c r="H303" s="158">
        <f t="shared" si="58"/>
        <v>31</v>
      </c>
      <c r="I303" s="254">
        <f>VLOOKUP(G303,'Прогноз переменной ставки'!$B$5:$E$304,4,1)</f>
        <v>9.9000000000000005E-2</v>
      </c>
      <c r="J303" s="164">
        <f t="shared" si="55"/>
        <v>0</v>
      </c>
      <c r="K303" s="164">
        <f t="shared" si="56"/>
        <v>0</v>
      </c>
      <c r="L303" s="164">
        <f t="shared" si="60"/>
        <v>0</v>
      </c>
      <c r="M303" s="164">
        <f t="shared" si="60"/>
        <v>0</v>
      </c>
      <c r="N303" s="164">
        <f t="shared" si="57"/>
        <v>0</v>
      </c>
      <c r="O303" s="164">
        <f t="shared" si="49"/>
        <v>0</v>
      </c>
      <c r="P303" s="164">
        <f t="shared" si="50"/>
        <v>0</v>
      </c>
      <c r="Q303" s="164">
        <f t="shared" si="51"/>
        <v>0</v>
      </c>
      <c r="R303" s="164">
        <f t="shared" si="59"/>
        <v>0</v>
      </c>
      <c r="S303" s="164">
        <f t="shared" si="52"/>
        <v>0</v>
      </c>
      <c r="T303" s="164">
        <f t="shared" si="53"/>
        <v>0</v>
      </c>
    </row>
    <row r="304" spans="6:20" x14ac:dyDescent="0.2">
      <c r="F304" s="158">
        <v>293</v>
      </c>
      <c r="G304" s="249">
        <f t="shared" si="54"/>
        <v>52565</v>
      </c>
      <c r="H304" s="158">
        <f t="shared" si="58"/>
        <v>30</v>
      </c>
      <c r="I304" s="254">
        <f>VLOOKUP(G304,'Прогноз переменной ставки'!$B$5:$E$304,4,1)</f>
        <v>9.9000000000000005E-2</v>
      </c>
      <c r="J304" s="164">
        <f t="shared" si="55"/>
        <v>0</v>
      </c>
      <c r="K304" s="164">
        <f t="shared" si="56"/>
        <v>0</v>
      </c>
      <c r="L304" s="164">
        <f t="shared" si="60"/>
        <v>0</v>
      </c>
      <c r="M304" s="164">
        <f t="shared" si="60"/>
        <v>0</v>
      </c>
      <c r="N304" s="164">
        <f t="shared" si="57"/>
        <v>0</v>
      </c>
      <c r="O304" s="164">
        <f t="shared" si="49"/>
        <v>0</v>
      </c>
      <c r="P304" s="164">
        <f t="shared" si="50"/>
        <v>0</v>
      </c>
      <c r="Q304" s="164">
        <f t="shared" si="51"/>
        <v>0</v>
      </c>
      <c r="R304" s="164">
        <f t="shared" si="59"/>
        <v>0</v>
      </c>
      <c r="S304" s="164">
        <f t="shared" si="52"/>
        <v>0</v>
      </c>
      <c r="T304" s="164">
        <f t="shared" si="53"/>
        <v>0</v>
      </c>
    </row>
    <row r="305" spans="6:20" x14ac:dyDescent="0.2">
      <c r="F305" s="158">
        <v>294</v>
      </c>
      <c r="G305" s="249">
        <f t="shared" si="54"/>
        <v>52596</v>
      </c>
      <c r="H305" s="158">
        <f t="shared" si="58"/>
        <v>31</v>
      </c>
      <c r="I305" s="254">
        <f>VLOOKUP(G305,'Прогноз переменной ставки'!$B$5:$E$304,4,1)</f>
        <v>9.9000000000000005E-2</v>
      </c>
      <c r="J305" s="164">
        <f t="shared" si="55"/>
        <v>0</v>
      </c>
      <c r="K305" s="164">
        <f t="shared" si="56"/>
        <v>0</v>
      </c>
      <c r="L305" s="164">
        <f t="shared" si="60"/>
        <v>0</v>
      </c>
      <c r="M305" s="164">
        <f t="shared" si="60"/>
        <v>0</v>
      </c>
      <c r="N305" s="164">
        <f t="shared" si="57"/>
        <v>0</v>
      </c>
      <c r="O305" s="164">
        <f t="shared" si="49"/>
        <v>0</v>
      </c>
      <c r="P305" s="164">
        <f t="shared" si="50"/>
        <v>0</v>
      </c>
      <c r="Q305" s="164">
        <f t="shared" si="51"/>
        <v>0</v>
      </c>
      <c r="R305" s="164">
        <f t="shared" si="59"/>
        <v>0</v>
      </c>
      <c r="S305" s="164">
        <f t="shared" si="52"/>
        <v>0</v>
      </c>
      <c r="T305" s="164">
        <f t="shared" si="53"/>
        <v>0</v>
      </c>
    </row>
    <row r="306" spans="6:20" x14ac:dyDescent="0.2">
      <c r="F306" s="158">
        <v>295</v>
      </c>
      <c r="G306" s="249">
        <f t="shared" si="54"/>
        <v>52627</v>
      </c>
      <c r="H306" s="158">
        <f t="shared" si="58"/>
        <v>31</v>
      </c>
      <c r="I306" s="254">
        <f>VLOOKUP(G306,'Прогноз переменной ставки'!$B$5:$E$304,4,1)</f>
        <v>9.9000000000000005E-2</v>
      </c>
      <c r="J306" s="164">
        <f t="shared" si="55"/>
        <v>0</v>
      </c>
      <c r="K306" s="164">
        <f t="shared" si="56"/>
        <v>0</v>
      </c>
      <c r="L306" s="164">
        <f t="shared" si="60"/>
        <v>0</v>
      </c>
      <c r="M306" s="164">
        <f t="shared" si="60"/>
        <v>0</v>
      </c>
      <c r="N306" s="164">
        <f t="shared" si="57"/>
        <v>0</v>
      </c>
      <c r="O306" s="164">
        <f t="shared" si="49"/>
        <v>0</v>
      </c>
      <c r="P306" s="164">
        <f t="shared" si="50"/>
        <v>0</v>
      </c>
      <c r="Q306" s="164">
        <f t="shared" si="51"/>
        <v>0</v>
      </c>
      <c r="R306" s="164">
        <f t="shared" si="59"/>
        <v>0</v>
      </c>
      <c r="S306" s="164">
        <f t="shared" si="52"/>
        <v>0</v>
      </c>
      <c r="T306" s="164">
        <f t="shared" si="53"/>
        <v>0</v>
      </c>
    </row>
    <row r="307" spans="6:20" x14ac:dyDescent="0.2">
      <c r="F307" s="158">
        <v>296</v>
      </c>
      <c r="G307" s="249">
        <f t="shared" si="54"/>
        <v>52656</v>
      </c>
      <c r="H307" s="158">
        <f t="shared" si="58"/>
        <v>29</v>
      </c>
      <c r="I307" s="254">
        <f>VLOOKUP(G307,'Прогноз переменной ставки'!$B$5:$E$304,4,1)</f>
        <v>9.9000000000000005E-2</v>
      </c>
      <c r="J307" s="164">
        <f t="shared" si="55"/>
        <v>0</v>
      </c>
      <c r="K307" s="164">
        <f t="shared" si="56"/>
        <v>0</v>
      </c>
      <c r="L307" s="164">
        <f t="shared" si="60"/>
        <v>0</v>
      </c>
      <c r="M307" s="164">
        <f t="shared" si="60"/>
        <v>0</v>
      </c>
      <c r="N307" s="164">
        <f t="shared" si="57"/>
        <v>0</v>
      </c>
      <c r="O307" s="164">
        <f t="shared" si="49"/>
        <v>0</v>
      </c>
      <c r="P307" s="164">
        <f t="shared" si="50"/>
        <v>0</v>
      </c>
      <c r="Q307" s="164">
        <f t="shared" si="51"/>
        <v>0</v>
      </c>
      <c r="R307" s="164">
        <f t="shared" si="59"/>
        <v>0</v>
      </c>
      <c r="S307" s="164">
        <f t="shared" si="52"/>
        <v>0</v>
      </c>
      <c r="T307" s="164">
        <f t="shared" si="53"/>
        <v>0</v>
      </c>
    </row>
    <row r="308" spans="6:20" x14ac:dyDescent="0.2">
      <c r="F308" s="158">
        <v>297</v>
      </c>
      <c r="G308" s="249">
        <f t="shared" si="54"/>
        <v>52687</v>
      </c>
      <c r="H308" s="158">
        <f t="shared" si="58"/>
        <v>31</v>
      </c>
      <c r="I308" s="254">
        <f>VLOOKUP(G308,'Прогноз переменной ставки'!$B$5:$E$304,4,1)</f>
        <v>9.9000000000000005E-2</v>
      </c>
      <c r="J308" s="164">
        <f t="shared" si="55"/>
        <v>0</v>
      </c>
      <c r="K308" s="164">
        <f t="shared" si="56"/>
        <v>0</v>
      </c>
      <c r="L308" s="164">
        <f t="shared" si="60"/>
        <v>0</v>
      </c>
      <c r="M308" s="164">
        <f t="shared" si="60"/>
        <v>0</v>
      </c>
      <c r="N308" s="164">
        <f t="shared" si="57"/>
        <v>0</v>
      </c>
      <c r="O308" s="164">
        <f t="shared" si="49"/>
        <v>0</v>
      </c>
      <c r="P308" s="164">
        <f t="shared" si="50"/>
        <v>0</v>
      </c>
      <c r="Q308" s="164">
        <f t="shared" si="51"/>
        <v>0</v>
      </c>
      <c r="R308" s="164">
        <f t="shared" si="59"/>
        <v>0</v>
      </c>
      <c r="S308" s="164">
        <f t="shared" si="52"/>
        <v>0</v>
      </c>
      <c r="T308" s="164">
        <f t="shared" si="53"/>
        <v>0</v>
      </c>
    </row>
    <row r="309" spans="6:20" x14ac:dyDescent="0.2">
      <c r="F309" s="158">
        <v>298</v>
      </c>
      <c r="G309" s="249">
        <f t="shared" si="54"/>
        <v>52717</v>
      </c>
      <c r="H309" s="158">
        <f t="shared" si="58"/>
        <v>30</v>
      </c>
      <c r="I309" s="254">
        <f>VLOOKUP(G309,'Прогноз переменной ставки'!$B$5:$E$304,4,1)</f>
        <v>9.9000000000000005E-2</v>
      </c>
      <c r="J309" s="164">
        <f t="shared" si="55"/>
        <v>0</v>
      </c>
      <c r="K309" s="164">
        <f t="shared" si="56"/>
        <v>0</v>
      </c>
      <c r="L309" s="164">
        <f t="shared" si="60"/>
        <v>0</v>
      </c>
      <c r="M309" s="164">
        <f t="shared" si="60"/>
        <v>0</v>
      </c>
      <c r="N309" s="164">
        <f t="shared" si="57"/>
        <v>0</v>
      </c>
      <c r="O309" s="164">
        <f t="shared" si="49"/>
        <v>0</v>
      </c>
      <c r="P309" s="164">
        <f t="shared" si="50"/>
        <v>0</v>
      </c>
      <c r="Q309" s="164">
        <f t="shared" si="51"/>
        <v>0</v>
      </c>
      <c r="R309" s="164">
        <f t="shared" si="59"/>
        <v>0</v>
      </c>
      <c r="S309" s="164">
        <f t="shared" si="52"/>
        <v>0</v>
      </c>
      <c r="T309" s="164">
        <f t="shared" si="53"/>
        <v>0</v>
      </c>
    </row>
    <row r="310" spans="6:20" x14ac:dyDescent="0.2">
      <c r="F310" s="158">
        <v>299</v>
      </c>
      <c r="G310" s="249">
        <f t="shared" si="54"/>
        <v>52748</v>
      </c>
      <c r="H310" s="158">
        <f t="shared" si="58"/>
        <v>31</v>
      </c>
      <c r="I310" s="254">
        <f>VLOOKUP(G310,'Прогноз переменной ставки'!$B$5:$E$304,4,1)</f>
        <v>9.9000000000000005E-2</v>
      </c>
      <c r="J310" s="164">
        <f t="shared" si="55"/>
        <v>0</v>
      </c>
      <c r="K310" s="164">
        <f t="shared" si="56"/>
        <v>0</v>
      </c>
      <c r="L310" s="164">
        <f t="shared" si="60"/>
        <v>0</v>
      </c>
      <c r="M310" s="164">
        <f t="shared" si="60"/>
        <v>0</v>
      </c>
      <c r="N310" s="164">
        <f t="shared" si="57"/>
        <v>0</v>
      </c>
      <c r="O310" s="164">
        <f t="shared" si="49"/>
        <v>0</v>
      </c>
      <c r="P310" s="164">
        <f t="shared" si="50"/>
        <v>0</v>
      </c>
      <c r="Q310" s="164">
        <f t="shared" si="51"/>
        <v>0</v>
      </c>
      <c r="R310" s="164">
        <f t="shared" si="59"/>
        <v>0</v>
      </c>
      <c r="S310" s="164">
        <f t="shared" si="52"/>
        <v>0</v>
      </c>
      <c r="T310" s="164">
        <f t="shared" si="53"/>
        <v>0</v>
      </c>
    </row>
    <row r="311" spans="6:20" x14ac:dyDescent="0.2">
      <c r="F311" s="158">
        <v>300</v>
      </c>
      <c r="G311" s="249">
        <f t="shared" si="54"/>
        <v>52778</v>
      </c>
      <c r="H311" s="158">
        <f t="shared" si="58"/>
        <v>30</v>
      </c>
      <c r="I311" s="254">
        <f>VLOOKUP(G311,'Прогноз переменной ставки'!$B$5:$E$304,4,1)</f>
        <v>9.9000000000000005E-2</v>
      </c>
      <c r="J311" s="164">
        <f t="shared" si="55"/>
        <v>0</v>
      </c>
      <c r="K311" s="164">
        <f t="shared" si="56"/>
        <v>0</v>
      </c>
      <c r="L311" s="164">
        <f t="shared" si="60"/>
        <v>0</v>
      </c>
      <c r="M311" s="164">
        <f t="shared" si="60"/>
        <v>0</v>
      </c>
      <c r="N311" s="164">
        <f t="shared" si="57"/>
        <v>0</v>
      </c>
      <c r="O311" s="164">
        <f t="shared" si="49"/>
        <v>0</v>
      </c>
      <c r="P311" s="164">
        <f t="shared" si="50"/>
        <v>0</v>
      </c>
      <c r="Q311" s="164">
        <f t="shared" si="51"/>
        <v>0</v>
      </c>
      <c r="R311" s="164">
        <f t="shared" si="59"/>
        <v>0</v>
      </c>
      <c r="S311" s="164">
        <f t="shared" si="52"/>
        <v>0</v>
      </c>
      <c r="T311" s="164">
        <f t="shared" si="53"/>
        <v>0</v>
      </c>
    </row>
    <row r="312" spans="6:20" x14ac:dyDescent="0.2">
      <c r="F312" s="158">
        <v>301</v>
      </c>
      <c r="G312" s="249">
        <f t="shared" ref="G312:G371" si="61">EOMONTH($D$9,F312-1)</f>
        <v>52809</v>
      </c>
      <c r="H312" s="158">
        <f t="shared" ref="H312:H371" si="62">G312-G311</f>
        <v>31</v>
      </c>
      <c r="I312" s="254">
        <f>VLOOKUP(G312,'Прогноз переменной ставки'!$B$5:$E$304,4,1)</f>
        <v>9.9000000000000005E-2</v>
      </c>
      <c r="J312" s="164">
        <f t="shared" si="55"/>
        <v>0</v>
      </c>
      <c r="K312" s="164">
        <f t="shared" ref="K312:K371" si="63">L312+M312</f>
        <v>0</v>
      </c>
      <c r="L312" s="164">
        <f t="shared" ref="L312:L371" si="64">S311</f>
        <v>0</v>
      </c>
      <c r="M312" s="164">
        <f t="shared" ref="M312:M371" si="65">T311</f>
        <v>0</v>
      </c>
      <c r="N312" s="164">
        <f t="shared" ref="N312:N371" si="66">L312*I312/365.25*H312</f>
        <v>0</v>
      </c>
      <c r="O312" s="164">
        <f t="shared" ref="O312:O371" si="67">MIN(J312-Q312-P312,L312)</f>
        <v>0</v>
      </c>
      <c r="P312" s="164">
        <f t="shared" ref="P312:P371" si="68">MIN(J312-Q312,N312)</f>
        <v>0</v>
      </c>
      <c r="Q312" s="164">
        <f t="shared" ref="Q312:Q371" si="69">MIN(J312,M312)</f>
        <v>0</v>
      </c>
      <c r="R312" s="164">
        <f t="shared" ref="R312:R371" si="70">MAX(N312-P312,0)</f>
        <v>0</v>
      </c>
      <c r="S312" s="164">
        <f t="shared" ref="S312:S371" si="71">L312-O312</f>
        <v>0</v>
      </c>
      <c r="T312" s="164">
        <f t="shared" ref="T312:T371" si="72">M312+R312-Q312</f>
        <v>0</v>
      </c>
    </row>
    <row r="313" spans="6:20" x14ac:dyDescent="0.2">
      <c r="F313" s="158">
        <v>302</v>
      </c>
      <c r="G313" s="249">
        <f t="shared" si="61"/>
        <v>52840</v>
      </c>
      <c r="H313" s="158">
        <f t="shared" si="62"/>
        <v>31</v>
      </c>
      <c r="I313" s="254">
        <f>VLOOKUP(G313,'Прогноз переменной ставки'!$B$5:$E$304,4,1)</f>
        <v>9.9000000000000005E-2</v>
      </c>
      <c r="J313" s="164">
        <f t="shared" si="55"/>
        <v>0</v>
      </c>
      <c r="K313" s="164">
        <f t="shared" si="63"/>
        <v>0</v>
      </c>
      <c r="L313" s="164">
        <f t="shared" si="64"/>
        <v>0</v>
      </c>
      <c r="M313" s="164">
        <f t="shared" si="65"/>
        <v>0</v>
      </c>
      <c r="N313" s="164">
        <f t="shared" si="66"/>
        <v>0</v>
      </c>
      <c r="O313" s="164">
        <f t="shared" si="67"/>
        <v>0</v>
      </c>
      <c r="P313" s="164">
        <f t="shared" si="68"/>
        <v>0</v>
      </c>
      <c r="Q313" s="164">
        <f t="shared" si="69"/>
        <v>0</v>
      </c>
      <c r="R313" s="164">
        <f t="shared" si="70"/>
        <v>0</v>
      </c>
      <c r="S313" s="164">
        <f t="shared" si="71"/>
        <v>0</v>
      </c>
      <c r="T313" s="164">
        <f t="shared" si="72"/>
        <v>0</v>
      </c>
    </row>
    <row r="314" spans="6:20" x14ac:dyDescent="0.2">
      <c r="F314" s="158">
        <v>303</v>
      </c>
      <c r="G314" s="249">
        <f t="shared" si="61"/>
        <v>52870</v>
      </c>
      <c r="H314" s="158">
        <f t="shared" si="62"/>
        <v>30</v>
      </c>
      <c r="I314" s="254">
        <f>VLOOKUP(G314,'Прогноз переменной ставки'!$B$5:$E$304,4,1)</f>
        <v>9.9000000000000005E-2</v>
      </c>
      <c r="J314" s="164">
        <f t="shared" si="55"/>
        <v>0</v>
      </c>
      <c r="K314" s="164">
        <f t="shared" si="63"/>
        <v>0</v>
      </c>
      <c r="L314" s="164">
        <f t="shared" si="64"/>
        <v>0</v>
      </c>
      <c r="M314" s="164">
        <f t="shared" si="65"/>
        <v>0</v>
      </c>
      <c r="N314" s="164">
        <f t="shared" si="66"/>
        <v>0</v>
      </c>
      <c r="O314" s="164">
        <f t="shared" si="67"/>
        <v>0</v>
      </c>
      <c r="P314" s="164">
        <f t="shared" si="68"/>
        <v>0</v>
      </c>
      <c r="Q314" s="164">
        <f t="shared" si="69"/>
        <v>0</v>
      </c>
      <c r="R314" s="164">
        <f t="shared" si="70"/>
        <v>0</v>
      </c>
      <c r="S314" s="164">
        <f t="shared" si="71"/>
        <v>0</v>
      </c>
      <c r="T314" s="164">
        <f t="shared" si="72"/>
        <v>0</v>
      </c>
    </row>
    <row r="315" spans="6:20" x14ac:dyDescent="0.2">
      <c r="F315" s="158">
        <v>304</v>
      </c>
      <c r="G315" s="249">
        <f t="shared" si="61"/>
        <v>52901</v>
      </c>
      <c r="H315" s="158">
        <f t="shared" si="62"/>
        <v>31</v>
      </c>
      <c r="I315" s="254">
        <f>VLOOKUP(G315,'Прогноз переменной ставки'!$B$5:$E$304,4,1)</f>
        <v>9.9000000000000005E-2</v>
      </c>
      <c r="J315" s="164">
        <f t="shared" si="55"/>
        <v>0</v>
      </c>
      <c r="K315" s="164">
        <f t="shared" si="63"/>
        <v>0</v>
      </c>
      <c r="L315" s="164">
        <f t="shared" si="64"/>
        <v>0</v>
      </c>
      <c r="M315" s="164">
        <f t="shared" si="65"/>
        <v>0</v>
      </c>
      <c r="N315" s="164">
        <f t="shared" si="66"/>
        <v>0</v>
      </c>
      <c r="O315" s="164">
        <f t="shared" si="67"/>
        <v>0</v>
      </c>
      <c r="P315" s="164">
        <f t="shared" si="68"/>
        <v>0</v>
      </c>
      <c r="Q315" s="164">
        <f t="shared" si="69"/>
        <v>0</v>
      </c>
      <c r="R315" s="164">
        <f t="shared" si="70"/>
        <v>0</v>
      </c>
      <c r="S315" s="164">
        <f t="shared" si="71"/>
        <v>0</v>
      </c>
      <c r="T315" s="164">
        <f t="shared" si="72"/>
        <v>0</v>
      </c>
    </row>
    <row r="316" spans="6:20" x14ac:dyDescent="0.2">
      <c r="F316" s="158">
        <v>305</v>
      </c>
      <c r="G316" s="249">
        <f t="shared" si="61"/>
        <v>52931</v>
      </c>
      <c r="H316" s="158">
        <f t="shared" si="62"/>
        <v>30</v>
      </c>
      <c r="I316" s="254">
        <f>VLOOKUP(G316,'Прогноз переменной ставки'!$B$5:$E$304,4,1)</f>
        <v>9.9000000000000005E-2</v>
      </c>
      <c r="J316" s="164">
        <f t="shared" si="55"/>
        <v>0</v>
      </c>
      <c r="K316" s="164">
        <f t="shared" si="63"/>
        <v>0</v>
      </c>
      <c r="L316" s="164">
        <f t="shared" si="64"/>
        <v>0</v>
      </c>
      <c r="M316" s="164">
        <f t="shared" si="65"/>
        <v>0</v>
      </c>
      <c r="N316" s="164">
        <f t="shared" si="66"/>
        <v>0</v>
      </c>
      <c r="O316" s="164">
        <f t="shared" si="67"/>
        <v>0</v>
      </c>
      <c r="P316" s="164">
        <f t="shared" si="68"/>
        <v>0</v>
      </c>
      <c r="Q316" s="164">
        <f t="shared" si="69"/>
        <v>0</v>
      </c>
      <c r="R316" s="164">
        <f t="shared" si="70"/>
        <v>0</v>
      </c>
      <c r="S316" s="164">
        <f t="shared" si="71"/>
        <v>0</v>
      </c>
      <c r="T316" s="164">
        <f t="shared" si="72"/>
        <v>0</v>
      </c>
    </row>
    <row r="317" spans="6:20" x14ac:dyDescent="0.2">
      <c r="F317" s="158">
        <v>306</v>
      </c>
      <c r="G317" s="249">
        <f t="shared" si="61"/>
        <v>52962</v>
      </c>
      <c r="H317" s="158">
        <f t="shared" si="62"/>
        <v>31</v>
      </c>
      <c r="I317" s="254">
        <f>VLOOKUP(G317,'Прогноз переменной ставки'!$B$5:$E$304,4,1)</f>
        <v>9.9000000000000005E-2</v>
      </c>
      <c r="J317" s="164">
        <f t="shared" si="55"/>
        <v>0</v>
      </c>
      <c r="K317" s="164">
        <f t="shared" si="63"/>
        <v>0</v>
      </c>
      <c r="L317" s="164">
        <f t="shared" si="64"/>
        <v>0</v>
      </c>
      <c r="M317" s="164">
        <f t="shared" si="65"/>
        <v>0</v>
      </c>
      <c r="N317" s="164">
        <f t="shared" si="66"/>
        <v>0</v>
      </c>
      <c r="O317" s="164">
        <f t="shared" si="67"/>
        <v>0</v>
      </c>
      <c r="P317" s="164">
        <f t="shared" si="68"/>
        <v>0</v>
      </c>
      <c r="Q317" s="164">
        <f t="shared" si="69"/>
        <v>0</v>
      </c>
      <c r="R317" s="164">
        <f t="shared" si="70"/>
        <v>0</v>
      </c>
      <c r="S317" s="164">
        <f t="shared" si="71"/>
        <v>0</v>
      </c>
      <c r="T317" s="164">
        <f t="shared" si="72"/>
        <v>0</v>
      </c>
    </row>
    <row r="318" spans="6:20" x14ac:dyDescent="0.2">
      <c r="F318" s="158">
        <v>307</v>
      </c>
      <c r="G318" s="249">
        <f t="shared" si="61"/>
        <v>52993</v>
      </c>
      <c r="H318" s="158">
        <f t="shared" si="62"/>
        <v>31</v>
      </c>
      <c r="I318" s="254">
        <f>VLOOKUP(G318,'Прогноз переменной ставки'!$B$5:$E$304,4,1)</f>
        <v>9.9000000000000005E-2</v>
      </c>
      <c r="J318" s="164">
        <f t="shared" si="55"/>
        <v>0</v>
      </c>
      <c r="K318" s="164">
        <f t="shared" si="63"/>
        <v>0</v>
      </c>
      <c r="L318" s="164">
        <f t="shared" si="64"/>
        <v>0</v>
      </c>
      <c r="M318" s="164">
        <f t="shared" si="65"/>
        <v>0</v>
      </c>
      <c r="N318" s="164">
        <f t="shared" si="66"/>
        <v>0</v>
      </c>
      <c r="O318" s="164">
        <f t="shared" si="67"/>
        <v>0</v>
      </c>
      <c r="P318" s="164">
        <f t="shared" si="68"/>
        <v>0</v>
      </c>
      <c r="Q318" s="164">
        <f t="shared" si="69"/>
        <v>0</v>
      </c>
      <c r="R318" s="164">
        <f t="shared" si="70"/>
        <v>0</v>
      </c>
      <c r="S318" s="164">
        <f t="shared" si="71"/>
        <v>0</v>
      </c>
      <c r="T318" s="164">
        <f t="shared" si="72"/>
        <v>0</v>
      </c>
    </row>
    <row r="319" spans="6:20" x14ac:dyDescent="0.2">
      <c r="F319" s="158">
        <v>308</v>
      </c>
      <c r="G319" s="249">
        <f t="shared" si="61"/>
        <v>53021</v>
      </c>
      <c r="H319" s="158">
        <f t="shared" si="62"/>
        <v>28</v>
      </c>
      <c r="I319" s="254">
        <f>VLOOKUP(G319,'Прогноз переменной ставки'!$B$5:$E$304,4,1)</f>
        <v>9.9000000000000005E-2</v>
      </c>
      <c r="J319" s="164">
        <f t="shared" si="55"/>
        <v>0</v>
      </c>
      <c r="K319" s="164">
        <f t="shared" si="63"/>
        <v>0</v>
      </c>
      <c r="L319" s="164">
        <f t="shared" si="64"/>
        <v>0</v>
      </c>
      <c r="M319" s="164">
        <f t="shared" si="65"/>
        <v>0</v>
      </c>
      <c r="N319" s="164">
        <f t="shared" si="66"/>
        <v>0</v>
      </c>
      <c r="O319" s="164">
        <f t="shared" si="67"/>
        <v>0</v>
      </c>
      <c r="P319" s="164">
        <f t="shared" si="68"/>
        <v>0</v>
      </c>
      <c r="Q319" s="164">
        <f t="shared" si="69"/>
        <v>0</v>
      </c>
      <c r="R319" s="164">
        <f t="shared" si="70"/>
        <v>0</v>
      </c>
      <c r="S319" s="164">
        <f t="shared" si="71"/>
        <v>0</v>
      </c>
      <c r="T319" s="164">
        <f t="shared" si="72"/>
        <v>0</v>
      </c>
    </row>
    <row r="320" spans="6:20" x14ac:dyDescent="0.2">
      <c r="F320" s="158">
        <v>309</v>
      </c>
      <c r="G320" s="249">
        <f t="shared" si="61"/>
        <v>53052</v>
      </c>
      <c r="H320" s="158">
        <f t="shared" si="62"/>
        <v>31</v>
      </c>
      <c r="I320" s="254">
        <f>VLOOKUP(G320,'Прогноз переменной ставки'!$B$5:$E$304,4,1)</f>
        <v>9.9000000000000005E-2</v>
      </c>
      <c r="J320" s="164">
        <f t="shared" si="55"/>
        <v>0</v>
      </c>
      <c r="K320" s="164">
        <f t="shared" si="63"/>
        <v>0</v>
      </c>
      <c r="L320" s="164">
        <f t="shared" si="64"/>
        <v>0</v>
      </c>
      <c r="M320" s="164">
        <f t="shared" si="65"/>
        <v>0</v>
      </c>
      <c r="N320" s="164">
        <f t="shared" si="66"/>
        <v>0</v>
      </c>
      <c r="O320" s="164">
        <f t="shared" si="67"/>
        <v>0</v>
      </c>
      <c r="P320" s="164">
        <f t="shared" si="68"/>
        <v>0</v>
      </c>
      <c r="Q320" s="164">
        <f t="shared" si="69"/>
        <v>0</v>
      </c>
      <c r="R320" s="164">
        <f t="shared" si="70"/>
        <v>0</v>
      </c>
      <c r="S320" s="164">
        <f t="shared" si="71"/>
        <v>0</v>
      </c>
      <c r="T320" s="164">
        <f t="shared" si="72"/>
        <v>0</v>
      </c>
    </row>
    <row r="321" spans="6:20" x14ac:dyDescent="0.2">
      <c r="F321" s="158">
        <v>310</v>
      </c>
      <c r="G321" s="249">
        <f t="shared" si="61"/>
        <v>53082</v>
      </c>
      <c r="H321" s="158">
        <f t="shared" si="62"/>
        <v>30</v>
      </c>
      <c r="I321" s="254">
        <f>VLOOKUP(G321,'Прогноз переменной ставки'!$B$5:$E$304,4,1)</f>
        <v>9.9000000000000005E-2</v>
      </c>
      <c r="J321" s="164">
        <f t="shared" si="55"/>
        <v>0</v>
      </c>
      <c r="K321" s="164">
        <f t="shared" si="63"/>
        <v>0</v>
      </c>
      <c r="L321" s="164">
        <f t="shared" si="64"/>
        <v>0</v>
      </c>
      <c r="M321" s="164">
        <f t="shared" si="65"/>
        <v>0</v>
      </c>
      <c r="N321" s="164">
        <f t="shared" si="66"/>
        <v>0</v>
      </c>
      <c r="O321" s="164">
        <f t="shared" si="67"/>
        <v>0</v>
      </c>
      <c r="P321" s="164">
        <f t="shared" si="68"/>
        <v>0</v>
      </c>
      <c r="Q321" s="164">
        <f t="shared" si="69"/>
        <v>0</v>
      </c>
      <c r="R321" s="164">
        <f t="shared" si="70"/>
        <v>0</v>
      </c>
      <c r="S321" s="164">
        <f t="shared" si="71"/>
        <v>0</v>
      </c>
      <c r="T321" s="164">
        <f t="shared" si="72"/>
        <v>0</v>
      </c>
    </row>
    <row r="322" spans="6:20" x14ac:dyDescent="0.2">
      <c r="F322" s="158">
        <v>311</v>
      </c>
      <c r="G322" s="249">
        <f t="shared" si="61"/>
        <v>53113</v>
      </c>
      <c r="H322" s="158">
        <f t="shared" si="62"/>
        <v>31</v>
      </c>
      <c r="I322" s="254">
        <f>VLOOKUP(G322,'Прогноз переменной ставки'!$B$5:$E$304,4,1)</f>
        <v>9.9000000000000005E-2</v>
      </c>
      <c r="J322" s="164">
        <f t="shared" si="55"/>
        <v>0</v>
      </c>
      <c r="K322" s="164">
        <f t="shared" si="63"/>
        <v>0</v>
      </c>
      <c r="L322" s="164">
        <f t="shared" si="64"/>
        <v>0</v>
      </c>
      <c r="M322" s="164">
        <f t="shared" si="65"/>
        <v>0</v>
      </c>
      <c r="N322" s="164">
        <f t="shared" si="66"/>
        <v>0</v>
      </c>
      <c r="O322" s="164">
        <f t="shared" si="67"/>
        <v>0</v>
      </c>
      <c r="P322" s="164">
        <f t="shared" si="68"/>
        <v>0</v>
      </c>
      <c r="Q322" s="164">
        <f t="shared" si="69"/>
        <v>0</v>
      </c>
      <c r="R322" s="164">
        <f t="shared" si="70"/>
        <v>0</v>
      </c>
      <c r="S322" s="164">
        <f t="shared" si="71"/>
        <v>0</v>
      </c>
      <c r="T322" s="164">
        <f t="shared" si="72"/>
        <v>0</v>
      </c>
    </row>
    <row r="323" spans="6:20" x14ac:dyDescent="0.2">
      <c r="F323" s="158">
        <v>312</v>
      </c>
      <c r="G323" s="249">
        <f t="shared" si="61"/>
        <v>53143</v>
      </c>
      <c r="H323" s="158">
        <f t="shared" si="62"/>
        <v>30</v>
      </c>
      <c r="I323" s="254">
        <f>VLOOKUP(G323,'Прогноз переменной ставки'!$B$5:$E$304,4,1)</f>
        <v>9.9000000000000005E-2</v>
      </c>
      <c r="J323" s="164">
        <f t="shared" si="55"/>
        <v>0</v>
      </c>
      <c r="K323" s="164">
        <f t="shared" si="63"/>
        <v>0</v>
      </c>
      <c r="L323" s="164">
        <f t="shared" si="64"/>
        <v>0</v>
      </c>
      <c r="M323" s="164">
        <f t="shared" si="65"/>
        <v>0</v>
      </c>
      <c r="N323" s="164">
        <f t="shared" si="66"/>
        <v>0</v>
      </c>
      <c r="O323" s="164">
        <f t="shared" si="67"/>
        <v>0</v>
      </c>
      <c r="P323" s="164">
        <f t="shared" si="68"/>
        <v>0</v>
      </c>
      <c r="Q323" s="164">
        <f t="shared" si="69"/>
        <v>0</v>
      </c>
      <c r="R323" s="164">
        <f t="shared" si="70"/>
        <v>0</v>
      </c>
      <c r="S323" s="164">
        <f t="shared" si="71"/>
        <v>0</v>
      </c>
      <c r="T323" s="164">
        <f t="shared" si="72"/>
        <v>0</v>
      </c>
    </row>
    <row r="324" spans="6:20" x14ac:dyDescent="0.2">
      <c r="F324" s="158">
        <v>313</v>
      </c>
      <c r="G324" s="249">
        <f t="shared" si="61"/>
        <v>53174</v>
      </c>
      <c r="H324" s="158">
        <f t="shared" si="62"/>
        <v>31</v>
      </c>
      <c r="I324" s="254">
        <f>VLOOKUP(G324,'Прогноз переменной ставки'!$B$5:$E$304,4,1)</f>
        <v>9.9000000000000005E-2</v>
      </c>
      <c r="J324" s="164">
        <f t="shared" si="55"/>
        <v>0</v>
      </c>
      <c r="K324" s="164">
        <f t="shared" si="63"/>
        <v>0</v>
      </c>
      <c r="L324" s="164">
        <f t="shared" si="64"/>
        <v>0</v>
      </c>
      <c r="M324" s="164">
        <f t="shared" si="65"/>
        <v>0</v>
      </c>
      <c r="N324" s="164">
        <f t="shared" si="66"/>
        <v>0</v>
      </c>
      <c r="O324" s="164">
        <f t="shared" si="67"/>
        <v>0</v>
      </c>
      <c r="P324" s="164">
        <f t="shared" si="68"/>
        <v>0</v>
      </c>
      <c r="Q324" s="164">
        <f t="shared" si="69"/>
        <v>0</v>
      </c>
      <c r="R324" s="164">
        <f t="shared" si="70"/>
        <v>0</v>
      </c>
      <c r="S324" s="164">
        <f t="shared" si="71"/>
        <v>0</v>
      </c>
      <c r="T324" s="164">
        <f t="shared" si="72"/>
        <v>0</v>
      </c>
    </row>
    <row r="325" spans="6:20" x14ac:dyDescent="0.2">
      <c r="F325" s="158">
        <v>314</v>
      </c>
      <c r="G325" s="249">
        <f t="shared" si="61"/>
        <v>53205</v>
      </c>
      <c r="H325" s="158">
        <f t="shared" si="62"/>
        <v>31</v>
      </c>
      <c r="I325" s="254">
        <f>VLOOKUP(G325,'Прогноз переменной ставки'!$B$5:$E$304,4,1)</f>
        <v>9.9000000000000005E-2</v>
      </c>
      <c r="J325" s="164">
        <f t="shared" si="55"/>
        <v>0</v>
      </c>
      <c r="K325" s="164">
        <f t="shared" si="63"/>
        <v>0</v>
      </c>
      <c r="L325" s="164">
        <f t="shared" si="64"/>
        <v>0</v>
      </c>
      <c r="M325" s="164">
        <f t="shared" si="65"/>
        <v>0</v>
      </c>
      <c r="N325" s="164">
        <f t="shared" si="66"/>
        <v>0</v>
      </c>
      <c r="O325" s="164">
        <f t="shared" si="67"/>
        <v>0</v>
      </c>
      <c r="P325" s="164">
        <f t="shared" si="68"/>
        <v>0</v>
      </c>
      <c r="Q325" s="164">
        <f t="shared" si="69"/>
        <v>0</v>
      </c>
      <c r="R325" s="164">
        <f t="shared" si="70"/>
        <v>0</v>
      </c>
      <c r="S325" s="164">
        <f t="shared" si="71"/>
        <v>0</v>
      </c>
      <c r="T325" s="164">
        <f t="shared" si="72"/>
        <v>0</v>
      </c>
    </row>
    <row r="326" spans="6:20" x14ac:dyDescent="0.2">
      <c r="F326" s="158">
        <v>315</v>
      </c>
      <c r="G326" s="249">
        <f t="shared" si="61"/>
        <v>53235</v>
      </c>
      <c r="H326" s="158">
        <f t="shared" si="62"/>
        <v>30</v>
      </c>
      <c r="I326" s="254">
        <f>VLOOKUP(G326,'Прогноз переменной ставки'!$B$5:$E$304,4,1)</f>
        <v>9.9000000000000005E-2</v>
      </c>
      <c r="J326" s="164">
        <f t="shared" si="55"/>
        <v>0</v>
      </c>
      <c r="K326" s="164">
        <f t="shared" si="63"/>
        <v>0</v>
      </c>
      <c r="L326" s="164">
        <f t="shared" si="64"/>
        <v>0</v>
      </c>
      <c r="M326" s="164">
        <f t="shared" si="65"/>
        <v>0</v>
      </c>
      <c r="N326" s="164">
        <f t="shared" si="66"/>
        <v>0</v>
      </c>
      <c r="O326" s="164">
        <f t="shared" si="67"/>
        <v>0</v>
      </c>
      <c r="P326" s="164">
        <f t="shared" si="68"/>
        <v>0</v>
      </c>
      <c r="Q326" s="164">
        <f t="shared" si="69"/>
        <v>0</v>
      </c>
      <c r="R326" s="164">
        <f t="shared" si="70"/>
        <v>0</v>
      </c>
      <c r="S326" s="164">
        <f t="shared" si="71"/>
        <v>0</v>
      </c>
      <c r="T326" s="164">
        <f t="shared" si="72"/>
        <v>0</v>
      </c>
    </row>
    <row r="327" spans="6:20" x14ac:dyDescent="0.2">
      <c r="F327" s="158">
        <v>316</v>
      </c>
      <c r="G327" s="249">
        <f t="shared" si="61"/>
        <v>53266</v>
      </c>
      <c r="H327" s="158">
        <f t="shared" si="62"/>
        <v>31</v>
      </c>
      <c r="I327" s="254">
        <f>VLOOKUP(G327,'Прогноз переменной ставки'!$B$5:$E$304,4,1)</f>
        <v>9.9000000000000005E-2</v>
      </c>
      <c r="J327" s="164">
        <f t="shared" si="55"/>
        <v>0</v>
      </c>
      <c r="K327" s="164">
        <f t="shared" si="63"/>
        <v>0</v>
      </c>
      <c r="L327" s="164">
        <f t="shared" si="64"/>
        <v>0</v>
      </c>
      <c r="M327" s="164">
        <f t="shared" si="65"/>
        <v>0</v>
      </c>
      <c r="N327" s="164">
        <f t="shared" si="66"/>
        <v>0</v>
      </c>
      <c r="O327" s="164">
        <f t="shared" si="67"/>
        <v>0</v>
      </c>
      <c r="P327" s="164">
        <f t="shared" si="68"/>
        <v>0</v>
      </c>
      <c r="Q327" s="164">
        <f t="shared" si="69"/>
        <v>0</v>
      </c>
      <c r="R327" s="164">
        <f t="shared" si="70"/>
        <v>0</v>
      </c>
      <c r="S327" s="164">
        <f t="shared" si="71"/>
        <v>0</v>
      </c>
      <c r="T327" s="164">
        <f t="shared" si="72"/>
        <v>0</v>
      </c>
    </row>
    <row r="328" spans="6:20" x14ac:dyDescent="0.2">
      <c r="F328" s="158">
        <v>317</v>
      </c>
      <c r="G328" s="249">
        <f t="shared" si="61"/>
        <v>53296</v>
      </c>
      <c r="H328" s="158">
        <f t="shared" si="62"/>
        <v>30</v>
      </c>
      <c r="I328" s="254">
        <f>VLOOKUP(G328,'Прогноз переменной ставки'!$B$5:$E$304,4,1)</f>
        <v>9.9000000000000005E-2</v>
      </c>
      <c r="J328" s="164">
        <f t="shared" si="55"/>
        <v>0</v>
      </c>
      <c r="K328" s="164">
        <f t="shared" si="63"/>
        <v>0</v>
      </c>
      <c r="L328" s="164">
        <f t="shared" si="64"/>
        <v>0</v>
      </c>
      <c r="M328" s="164">
        <f t="shared" si="65"/>
        <v>0</v>
      </c>
      <c r="N328" s="164">
        <f t="shared" si="66"/>
        <v>0</v>
      </c>
      <c r="O328" s="164">
        <f t="shared" si="67"/>
        <v>0</v>
      </c>
      <c r="P328" s="164">
        <f t="shared" si="68"/>
        <v>0</v>
      </c>
      <c r="Q328" s="164">
        <f t="shared" si="69"/>
        <v>0</v>
      </c>
      <c r="R328" s="164">
        <f t="shared" si="70"/>
        <v>0</v>
      </c>
      <c r="S328" s="164">
        <f t="shared" si="71"/>
        <v>0</v>
      </c>
      <c r="T328" s="164">
        <f t="shared" si="72"/>
        <v>0</v>
      </c>
    </row>
    <row r="329" spans="6:20" x14ac:dyDescent="0.2">
      <c r="F329" s="158">
        <v>318</v>
      </c>
      <c r="G329" s="249">
        <f t="shared" si="61"/>
        <v>53327</v>
      </c>
      <c r="H329" s="158">
        <f t="shared" si="62"/>
        <v>31</v>
      </c>
      <c r="I329" s="254">
        <f>VLOOKUP(G329,'Прогноз переменной ставки'!$B$5:$E$304,4,1)</f>
        <v>9.9000000000000005E-2</v>
      </c>
      <c r="J329" s="164">
        <f t="shared" si="55"/>
        <v>0</v>
      </c>
      <c r="K329" s="164">
        <f t="shared" si="63"/>
        <v>0</v>
      </c>
      <c r="L329" s="164">
        <f t="shared" si="64"/>
        <v>0</v>
      </c>
      <c r="M329" s="164">
        <f t="shared" si="65"/>
        <v>0</v>
      </c>
      <c r="N329" s="164">
        <f t="shared" si="66"/>
        <v>0</v>
      </c>
      <c r="O329" s="164">
        <f t="shared" si="67"/>
        <v>0</v>
      </c>
      <c r="P329" s="164">
        <f t="shared" si="68"/>
        <v>0</v>
      </c>
      <c r="Q329" s="164">
        <f t="shared" si="69"/>
        <v>0</v>
      </c>
      <c r="R329" s="164">
        <f t="shared" si="70"/>
        <v>0</v>
      </c>
      <c r="S329" s="164">
        <f t="shared" si="71"/>
        <v>0</v>
      </c>
      <c r="T329" s="164">
        <f t="shared" si="72"/>
        <v>0</v>
      </c>
    </row>
    <row r="330" spans="6:20" x14ac:dyDescent="0.2">
      <c r="F330" s="158">
        <v>319</v>
      </c>
      <c r="G330" s="249">
        <f t="shared" si="61"/>
        <v>53358</v>
      </c>
      <c r="H330" s="158">
        <f t="shared" si="62"/>
        <v>31</v>
      </c>
      <c r="I330" s="254">
        <f>VLOOKUP(G330,'Прогноз переменной ставки'!$B$5:$E$304,4,1)</f>
        <v>9.9000000000000005E-2</v>
      </c>
      <c r="J330" s="164">
        <f t="shared" si="55"/>
        <v>0</v>
      </c>
      <c r="K330" s="164">
        <f t="shared" si="63"/>
        <v>0</v>
      </c>
      <c r="L330" s="164">
        <f t="shared" si="64"/>
        <v>0</v>
      </c>
      <c r="M330" s="164">
        <f t="shared" si="65"/>
        <v>0</v>
      </c>
      <c r="N330" s="164">
        <f t="shared" si="66"/>
        <v>0</v>
      </c>
      <c r="O330" s="164">
        <f t="shared" si="67"/>
        <v>0</v>
      </c>
      <c r="P330" s="164">
        <f t="shared" si="68"/>
        <v>0</v>
      </c>
      <c r="Q330" s="164">
        <f t="shared" si="69"/>
        <v>0</v>
      </c>
      <c r="R330" s="164">
        <f t="shared" si="70"/>
        <v>0</v>
      </c>
      <c r="S330" s="164">
        <f t="shared" si="71"/>
        <v>0</v>
      </c>
      <c r="T330" s="164">
        <f t="shared" si="72"/>
        <v>0</v>
      </c>
    </row>
    <row r="331" spans="6:20" x14ac:dyDescent="0.2">
      <c r="F331" s="158">
        <v>320</v>
      </c>
      <c r="G331" s="249">
        <f t="shared" si="61"/>
        <v>53386</v>
      </c>
      <c r="H331" s="158">
        <f t="shared" si="62"/>
        <v>28</v>
      </c>
      <c r="I331" s="254">
        <f>VLOOKUP(G331,'Прогноз переменной ставки'!$B$5:$E$304,4,1)</f>
        <v>9.9000000000000005E-2</v>
      </c>
      <c r="J331" s="164">
        <f t="shared" si="55"/>
        <v>0</v>
      </c>
      <c r="K331" s="164">
        <f t="shared" si="63"/>
        <v>0</v>
      </c>
      <c r="L331" s="164">
        <f t="shared" si="64"/>
        <v>0</v>
      </c>
      <c r="M331" s="164">
        <f t="shared" si="65"/>
        <v>0</v>
      </c>
      <c r="N331" s="164">
        <f t="shared" si="66"/>
        <v>0</v>
      </c>
      <c r="O331" s="164">
        <f t="shared" si="67"/>
        <v>0</v>
      </c>
      <c r="P331" s="164">
        <f t="shared" si="68"/>
        <v>0</v>
      </c>
      <c r="Q331" s="164">
        <f t="shared" si="69"/>
        <v>0</v>
      </c>
      <c r="R331" s="164">
        <f t="shared" si="70"/>
        <v>0</v>
      </c>
      <c r="S331" s="164">
        <f t="shared" si="71"/>
        <v>0</v>
      </c>
      <c r="T331" s="164">
        <f t="shared" si="72"/>
        <v>0</v>
      </c>
    </row>
    <row r="332" spans="6:20" x14ac:dyDescent="0.2">
      <c r="F332" s="158">
        <v>321</v>
      </c>
      <c r="G332" s="249">
        <f t="shared" si="61"/>
        <v>53417</v>
      </c>
      <c r="H332" s="158">
        <f t="shared" si="62"/>
        <v>31</v>
      </c>
      <c r="I332" s="254">
        <f>VLOOKUP(G332,'Прогноз переменной ставки'!$B$5:$E$304,4,1)</f>
        <v>9.9000000000000005E-2</v>
      </c>
      <c r="J332" s="164">
        <f t="shared" si="55"/>
        <v>0</v>
      </c>
      <c r="K332" s="164">
        <f t="shared" si="63"/>
        <v>0</v>
      </c>
      <c r="L332" s="164">
        <f t="shared" si="64"/>
        <v>0</v>
      </c>
      <c r="M332" s="164">
        <f t="shared" si="65"/>
        <v>0</v>
      </c>
      <c r="N332" s="164">
        <f t="shared" si="66"/>
        <v>0</v>
      </c>
      <c r="O332" s="164">
        <f t="shared" si="67"/>
        <v>0</v>
      </c>
      <c r="P332" s="164">
        <f t="shared" si="68"/>
        <v>0</v>
      </c>
      <c r="Q332" s="164">
        <f t="shared" si="69"/>
        <v>0</v>
      </c>
      <c r="R332" s="164">
        <f t="shared" si="70"/>
        <v>0</v>
      </c>
      <c r="S332" s="164">
        <f t="shared" si="71"/>
        <v>0</v>
      </c>
      <c r="T332" s="164">
        <f t="shared" si="72"/>
        <v>0</v>
      </c>
    </row>
    <row r="333" spans="6:20" x14ac:dyDescent="0.2">
      <c r="F333" s="158">
        <v>322</v>
      </c>
      <c r="G333" s="249">
        <f t="shared" si="61"/>
        <v>53447</v>
      </c>
      <c r="H333" s="158">
        <f t="shared" si="62"/>
        <v>30</v>
      </c>
      <c r="I333" s="254">
        <f>VLOOKUP(G333,'Прогноз переменной ставки'!$B$5:$E$304,4,1)</f>
        <v>9.9000000000000005E-2</v>
      </c>
      <c r="J333" s="164">
        <f t="shared" ref="J333:J371" si="73">IF(F333=$D$4,K333+N333,MIN($D$5,K333+N333))</f>
        <v>0</v>
      </c>
      <c r="K333" s="164">
        <f t="shared" si="63"/>
        <v>0</v>
      </c>
      <c r="L333" s="164">
        <f t="shared" si="64"/>
        <v>0</v>
      </c>
      <c r="M333" s="164">
        <f t="shared" si="65"/>
        <v>0</v>
      </c>
      <c r="N333" s="164">
        <f t="shared" si="66"/>
        <v>0</v>
      </c>
      <c r="O333" s="164">
        <f t="shared" si="67"/>
        <v>0</v>
      </c>
      <c r="P333" s="164">
        <f t="shared" si="68"/>
        <v>0</v>
      </c>
      <c r="Q333" s="164">
        <f t="shared" si="69"/>
        <v>0</v>
      </c>
      <c r="R333" s="164">
        <f t="shared" si="70"/>
        <v>0</v>
      </c>
      <c r="S333" s="164">
        <f t="shared" si="71"/>
        <v>0</v>
      </c>
      <c r="T333" s="164">
        <f t="shared" si="72"/>
        <v>0</v>
      </c>
    </row>
    <row r="334" spans="6:20" x14ac:dyDescent="0.2">
      <c r="F334" s="158">
        <v>323</v>
      </c>
      <c r="G334" s="249">
        <f t="shared" si="61"/>
        <v>53478</v>
      </c>
      <c r="H334" s="158">
        <f t="shared" si="62"/>
        <v>31</v>
      </c>
      <c r="I334" s="254">
        <f>VLOOKUP(G334,'Прогноз переменной ставки'!$B$5:$E$304,4,1)</f>
        <v>9.9000000000000005E-2</v>
      </c>
      <c r="J334" s="164">
        <f t="shared" si="73"/>
        <v>0</v>
      </c>
      <c r="K334" s="164">
        <f t="shared" si="63"/>
        <v>0</v>
      </c>
      <c r="L334" s="164">
        <f t="shared" si="64"/>
        <v>0</v>
      </c>
      <c r="M334" s="164">
        <f t="shared" si="65"/>
        <v>0</v>
      </c>
      <c r="N334" s="164">
        <f t="shared" si="66"/>
        <v>0</v>
      </c>
      <c r="O334" s="164">
        <f t="shared" si="67"/>
        <v>0</v>
      </c>
      <c r="P334" s="164">
        <f t="shared" si="68"/>
        <v>0</v>
      </c>
      <c r="Q334" s="164">
        <f t="shared" si="69"/>
        <v>0</v>
      </c>
      <c r="R334" s="164">
        <f t="shared" si="70"/>
        <v>0</v>
      </c>
      <c r="S334" s="164">
        <f t="shared" si="71"/>
        <v>0</v>
      </c>
      <c r="T334" s="164">
        <f t="shared" si="72"/>
        <v>0</v>
      </c>
    </row>
    <row r="335" spans="6:20" x14ac:dyDescent="0.2">
      <c r="F335" s="158">
        <v>324</v>
      </c>
      <c r="G335" s="249">
        <f t="shared" si="61"/>
        <v>53508</v>
      </c>
      <c r="H335" s="158">
        <f t="shared" si="62"/>
        <v>30</v>
      </c>
      <c r="I335" s="254">
        <f>VLOOKUP(G335,'Прогноз переменной ставки'!$B$5:$E$304,4,1)</f>
        <v>9.9000000000000005E-2</v>
      </c>
      <c r="J335" s="164">
        <f t="shared" si="73"/>
        <v>0</v>
      </c>
      <c r="K335" s="164">
        <f t="shared" si="63"/>
        <v>0</v>
      </c>
      <c r="L335" s="164">
        <f t="shared" si="64"/>
        <v>0</v>
      </c>
      <c r="M335" s="164">
        <f t="shared" si="65"/>
        <v>0</v>
      </c>
      <c r="N335" s="164">
        <f t="shared" si="66"/>
        <v>0</v>
      </c>
      <c r="O335" s="164">
        <f t="shared" si="67"/>
        <v>0</v>
      </c>
      <c r="P335" s="164">
        <f t="shared" si="68"/>
        <v>0</v>
      </c>
      <c r="Q335" s="164">
        <f t="shared" si="69"/>
        <v>0</v>
      </c>
      <c r="R335" s="164">
        <f t="shared" si="70"/>
        <v>0</v>
      </c>
      <c r="S335" s="164">
        <f t="shared" si="71"/>
        <v>0</v>
      </c>
      <c r="T335" s="164">
        <f t="shared" si="72"/>
        <v>0</v>
      </c>
    </row>
    <row r="336" spans="6:20" x14ac:dyDescent="0.2">
      <c r="F336" s="158">
        <v>325</v>
      </c>
      <c r="G336" s="249">
        <f t="shared" si="61"/>
        <v>53539</v>
      </c>
      <c r="H336" s="158">
        <f t="shared" si="62"/>
        <v>31</v>
      </c>
      <c r="I336" s="254">
        <f>VLOOKUP(G336,'Прогноз переменной ставки'!$B$5:$E$304,4,1)</f>
        <v>9.9000000000000005E-2</v>
      </c>
      <c r="J336" s="164">
        <f t="shared" si="73"/>
        <v>0</v>
      </c>
      <c r="K336" s="164">
        <f t="shared" si="63"/>
        <v>0</v>
      </c>
      <c r="L336" s="164">
        <f t="shared" si="64"/>
        <v>0</v>
      </c>
      <c r="M336" s="164">
        <f t="shared" si="65"/>
        <v>0</v>
      </c>
      <c r="N336" s="164">
        <f t="shared" si="66"/>
        <v>0</v>
      </c>
      <c r="O336" s="164">
        <f t="shared" si="67"/>
        <v>0</v>
      </c>
      <c r="P336" s="164">
        <f t="shared" si="68"/>
        <v>0</v>
      </c>
      <c r="Q336" s="164">
        <f t="shared" si="69"/>
        <v>0</v>
      </c>
      <c r="R336" s="164">
        <f t="shared" si="70"/>
        <v>0</v>
      </c>
      <c r="S336" s="164">
        <f t="shared" si="71"/>
        <v>0</v>
      </c>
      <c r="T336" s="164">
        <f t="shared" si="72"/>
        <v>0</v>
      </c>
    </row>
    <row r="337" spans="6:20" x14ac:dyDescent="0.2">
      <c r="F337" s="158">
        <v>326</v>
      </c>
      <c r="G337" s="249">
        <f t="shared" si="61"/>
        <v>53570</v>
      </c>
      <c r="H337" s="158">
        <f t="shared" si="62"/>
        <v>31</v>
      </c>
      <c r="I337" s="254">
        <f>VLOOKUP(G337,'Прогноз переменной ставки'!$B$5:$E$304,4,1)</f>
        <v>9.9000000000000005E-2</v>
      </c>
      <c r="J337" s="164">
        <f t="shared" si="73"/>
        <v>0</v>
      </c>
      <c r="K337" s="164">
        <f t="shared" si="63"/>
        <v>0</v>
      </c>
      <c r="L337" s="164">
        <f t="shared" si="64"/>
        <v>0</v>
      </c>
      <c r="M337" s="164">
        <f t="shared" si="65"/>
        <v>0</v>
      </c>
      <c r="N337" s="164">
        <f t="shared" si="66"/>
        <v>0</v>
      </c>
      <c r="O337" s="164">
        <f t="shared" si="67"/>
        <v>0</v>
      </c>
      <c r="P337" s="164">
        <f t="shared" si="68"/>
        <v>0</v>
      </c>
      <c r="Q337" s="164">
        <f t="shared" si="69"/>
        <v>0</v>
      </c>
      <c r="R337" s="164">
        <f t="shared" si="70"/>
        <v>0</v>
      </c>
      <c r="S337" s="164">
        <f t="shared" si="71"/>
        <v>0</v>
      </c>
      <c r="T337" s="164">
        <f t="shared" si="72"/>
        <v>0</v>
      </c>
    </row>
    <row r="338" spans="6:20" x14ac:dyDescent="0.2">
      <c r="F338" s="158">
        <v>327</v>
      </c>
      <c r="G338" s="249">
        <f t="shared" si="61"/>
        <v>53600</v>
      </c>
      <c r="H338" s="158">
        <f t="shared" si="62"/>
        <v>30</v>
      </c>
      <c r="I338" s="254">
        <f>VLOOKUP(G338,'Прогноз переменной ставки'!$B$5:$E$304,4,1)</f>
        <v>9.9000000000000005E-2</v>
      </c>
      <c r="J338" s="164">
        <f t="shared" si="73"/>
        <v>0</v>
      </c>
      <c r="K338" s="164">
        <f t="shared" si="63"/>
        <v>0</v>
      </c>
      <c r="L338" s="164">
        <f t="shared" si="64"/>
        <v>0</v>
      </c>
      <c r="M338" s="164">
        <f t="shared" si="65"/>
        <v>0</v>
      </c>
      <c r="N338" s="164">
        <f t="shared" si="66"/>
        <v>0</v>
      </c>
      <c r="O338" s="164">
        <f t="shared" si="67"/>
        <v>0</v>
      </c>
      <c r="P338" s="164">
        <f t="shared" si="68"/>
        <v>0</v>
      </c>
      <c r="Q338" s="164">
        <f t="shared" si="69"/>
        <v>0</v>
      </c>
      <c r="R338" s="164">
        <f t="shared" si="70"/>
        <v>0</v>
      </c>
      <c r="S338" s="164">
        <f t="shared" si="71"/>
        <v>0</v>
      </c>
      <c r="T338" s="164">
        <f t="shared" si="72"/>
        <v>0</v>
      </c>
    </row>
    <row r="339" spans="6:20" x14ac:dyDescent="0.2">
      <c r="F339" s="158">
        <v>328</v>
      </c>
      <c r="G339" s="249">
        <f t="shared" si="61"/>
        <v>53631</v>
      </c>
      <c r="H339" s="158">
        <f t="shared" si="62"/>
        <v>31</v>
      </c>
      <c r="I339" s="254">
        <f>VLOOKUP(G339,'Прогноз переменной ставки'!$B$5:$E$304,4,1)</f>
        <v>9.9000000000000005E-2</v>
      </c>
      <c r="J339" s="164">
        <f t="shared" si="73"/>
        <v>0</v>
      </c>
      <c r="K339" s="164">
        <f t="shared" si="63"/>
        <v>0</v>
      </c>
      <c r="L339" s="164">
        <f t="shared" si="64"/>
        <v>0</v>
      </c>
      <c r="M339" s="164">
        <f t="shared" si="65"/>
        <v>0</v>
      </c>
      <c r="N339" s="164">
        <f t="shared" si="66"/>
        <v>0</v>
      </c>
      <c r="O339" s="164">
        <f t="shared" si="67"/>
        <v>0</v>
      </c>
      <c r="P339" s="164">
        <f t="shared" si="68"/>
        <v>0</v>
      </c>
      <c r="Q339" s="164">
        <f t="shared" si="69"/>
        <v>0</v>
      </c>
      <c r="R339" s="164">
        <f t="shared" si="70"/>
        <v>0</v>
      </c>
      <c r="S339" s="164">
        <f t="shared" si="71"/>
        <v>0</v>
      </c>
      <c r="T339" s="164">
        <f t="shared" si="72"/>
        <v>0</v>
      </c>
    </row>
    <row r="340" spans="6:20" x14ac:dyDescent="0.2">
      <c r="F340" s="158">
        <v>329</v>
      </c>
      <c r="G340" s="249">
        <f t="shared" si="61"/>
        <v>53661</v>
      </c>
      <c r="H340" s="158">
        <f t="shared" si="62"/>
        <v>30</v>
      </c>
      <c r="I340" s="254">
        <f>VLOOKUP(G340,'Прогноз переменной ставки'!$B$5:$E$304,4,1)</f>
        <v>9.9000000000000005E-2</v>
      </c>
      <c r="J340" s="164">
        <f t="shared" si="73"/>
        <v>0</v>
      </c>
      <c r="K340" s="164">
        <f t="shared" si="63"/>
        <v>0</v>
      </c>
      <c r="L340" s="164">
        <f t="shared" si="64"/>
        <v>0</v>
      </c>
      <c r="M340" s="164">
        <f t="shared" si="65"/>
        <v>0</v>
      </c>
      <c r="N340" s="164">
        <f t="shared" si="66"/>
        <v>0</v>
      </c>
      <c r="O340" s="164">
        <f t="shared" si="67"/>
        <v>0</v>
      </c>
      <c r="P340" s="164">
        <f t="shared" si="68"/>
        <v>0</v>
      </c>
      <c r="Q340" s="164">
        <f t="shared" si="69"/>
        <v>0</v>
      </c>
      <c r="R340" s="164">
        <f t="shared" si="70"/>
        <v>0</v>
      </c>
      <c r="S340" s="164">
        <f t="shared" si="71"/>
        <v>0</v>
      </c>
      <c r="T340" s="164">
        <f t="shared" si="72"/>
        <v>0</v>
      </c>
    </row>
    <row r="341" spans="6:20" x14ac:dyDescent="0.2">
      <c r="F341" s="158">
        <v>330</v>
      </c>
      <c r="G341" s="249">
        <f t="shared" si="61"/>
        <v>53692</v>
      </c>
      <c r="H341" s="158">
        <f t="shared" si="62"/>
        <v>31</v>
      </c>
      <c r="I341" s="254">
        <f>VLOOKUP(G341,'Прогноз переменной ставки'!$B$5:$E$304,4,1)</f>
        <v>9.9000000000000005E-2</v>
      </c>
      <c r="J341" s="164">
        <f t="shared" si="73"/>
        <v>0</v>
      </c>
      <c r="K341" s="164">
        <f t="shared" si="63"/>
        <v>0</v>
      </c>
      <c r="L341" s="164">
        <f t="shared" si="64"/>
        <v>0</v>
      </c>
      <c r="M341" s="164">
        <f t="shared" si="65"/>
        <v>0</v>
      </c>
      <c r="N341" s="164">
        <f t="shared" si="66"/>
        <v>0</v>
      </c>
      <c r="O341" s="164">
        <f t="shared" si="67"/>
        <v>0</v>
      </c>
      <c r="P341" s="164">
        <f t="shared" si="68"/>
        <v>0</v>
      </c>
      <c r="Q341" s="164">
        <f t="shared" si="69"/>
        <v>0</v>
      </c>
      <c r="R341" s="164">
        <f t="shared" si="70"/>
        <v>0</v>
      </c>
      <c r="S341" s="164">
        <f t="shared" si="71"/>
        <v>0</v>
      </c>
      <c r="T341" s="164">
        <f t="shared" si="72"/>
        <v>0</v>
      </c>
    </row>
    <row r="342" spans="6:20" x14ac:dyDescent="0.2">
      <c r="F342" s="158">
        <v>331</v>
      </c>
      <c r="G342" s="249">
        <f t="shared" si="61"/>
        <v>53723</v>
      </c>
      <c r="H342" s="158">
        <f t="shared" si="62"/>
        <v>31</v>
      </c>
      <c r="I342" s="254">
        <f>VLOOKUP(G342,'Прогноз переменной ставки'!$B$5:$E$304,4,1)</f>
        <v>9.9000000000000005E-2</v>
      </c>
      <c r="J342" s="164">
        <f t="shared" si="73"/>
        <v>0</v>
      </c>
      <c r="K342" s="164">
        <f t="shared" si="63"/>
        <v>0</v>
      </c>
      <c r="L342" s="164">
        <f t="shared" si="64"/>
        <v>0</v>
      </c>
      <c r="M342" s="164">
        <f t="shared" si="65"/>
        <v>0</v>
      </c>
      <c r="N342" s="164">
        <f t="shared" si="66"/>
        <v>0</v>
      </c>
      <c r="O342" s="164">
        <f t="shared" si="67"/>
        <v>0</v>
      </c>
      <c r="P342" s="164">
        <f t="shared" si="68"/>
        <v>0</v>
      </c>
      <c r="Q342" s="164">
        <f t="shared" si="69"/>
        <v>0</v>
      </c>
      <c r="R342" s="164">
        <f t="shared" si="70"/>
        <v>0</v>
      </c>
      <c r="S342" s="164">
        <f t="shared" si="71"/>
        <v>0</v>
      </c>
      <c r="T342" s="164">
        <f t="shared" si="72"/>
        <v>0</v>
      </c>
    </row>
    <row r="343" spans="6:20" x14ac:dyDescent="0.2">
      <c r="F343" s="158">
        <v>332</v>
      </c>
      <c r="G343" s="249">
        <f t="shared" si="61"/>
        <v>53751</v>
      </c>
      <c r="H343" s="158">
        <f t="shared" si="62"/>
        <v>28</v>
      </c>
      <c r="I343" s="254">
        <f>VLOOKUP(G343,'Прогноз переменной ставки'!$B$5:$E$304,4,1)</f>
        <v>9.9000000000000005E-2</v>
      </c>
      <c r="J343" s="164">
        <f t="shared" si="73"/>
        <v>0</v>
      </c>
      <c r="K343" s="164">
        <f t="shared" si="63"/>
        <v>0</v>
      </c>
      <c r="L343" s="164">
        <f t="shared" si="64"/>
        <v>0</v>
      </c>
      <c r="M343" s="164">
        <f t="shared" si="65"/>
        <v>0</v>
      </c>
      <c r="N343" s="164">
        <f t="shared" si="66"/>
        <v>0</v>
      </c>
      <c r="O343" s="164">
        <f t="shared" si="67"/>
        <v>0</v>
      </c>
      <c r="P343" s="164">
        <f t="shared" si="68"/>
        <v>0</v>
      </c>
      <c r="Q343" s="164">
        <f t="shared" si="69"/>
        <v>0</v>
      </c>
      <c r="R343" s="164">
        <f t="shared" si="70"/>
        <v>0</v>
      </c>
      <c r="S343" s="164">
        <f t="shared" si="71"/>
        <v>0</v>
      </c>
      <c r="T343" s="164">
        <f t="shared" si="72"/>
        <v>0</v>
      </c>
    </row>
    <row r="344" spans="6:20" x14ac:dyDescent="0.2">
      <c r="F344" s="158">
        <v>333</v>
      </c>
      <c r="G344" s="249">
        <f t="shared" si="61"/>
        <v>53782</v>
      </c>
      <c r="H344" s="158">
        <f t="shared" si="62"/>
        <v>31</v>
      </c>
      <c r="I344" s="254">
        <f>VLOOKUP(G344,'Прогноз переменной ставки'!$B$5:$E$304,4,1)</f>
        <v>9.9000000000000005E-2</v>
      </c>
      <c r="J344" s="164">
        <f t="shared" si="73"/>
        <v>0</v>
      </c>
      <c r="K344" s="164">
        <f t="shared" si="63"/>
        <v>0</v>
      </c>
      <c r="L344" s="164">
        <f t="shared" si="64"/>
        <v>0</v>
      </c>
      <c r="M344" s="164">
        <f t="shared" si="65"/>
        <v>0</v>
      </c>
      <c r="N344" s="164">
        <f t="shared" si="66"/>
        <v>0</v>
      </c>
      <c r="O344" s="164">
        <f t="shared" si="67"/>
        <v>0</v>
      </c>
      <c r="P344" s="164">
        <f t="shared" si="68"/>
        <v>0</v>
      </c>
      <c r="Q344" s="164">
        <f t="shared" si="69"/>
        <v>0</v>
      </c>
      <c r="R344" s="164">
        <f t="shared" si="70"/>
        <v>0</v>
      </c>
      <c r="S344" s="164">
        <f t="shared" si="71"/>
        <v>0</v>
      </c>
      <c r="T344" s="164">
        <f t="shared" si="72"/>
        <v>0</v>
      </c>
    </row>
    <row r="345" spans="6:20" x14ac:dyDescent="0.2">
      <c r="F345" s="158">
        <v>334</v>
      </c>
      <c r="G345" s="249">
        <f t="shared" si="61"/>
        <v>53812</v>
      </c>
      <c r="H345" s="158">
        <f t="shared" si="62"/>
        <v>30</v>
      </c>
      <c r="I345" s="254">
        <f>VLOOKUP(G345,'Прогноз переменной ставки'!$B$5:$E$304,4,1)</f>
        <v>9.9000000000000005E-2</v>
      </c>
      <c r="J345" s="164">
        <f t="shared" si="73"/>
        <v>0</v>
      </c>
      <c r="K345" s="164">
        <f t="shared" si="63"/>
        <v>0</v>
      </c>
      <c r="L345" s="164">
        <f t="shared" si="64"/>
        <v>0</v>
      </c>
      <c r="M345" s="164">
        <f t="shared" si="65"/>
        <v>0</v>
      </c>
      <c r="N345" s="164">
        <f t="shared" si="66"/>
        <v>0</v>
      </c>
      <c r="O345" s="164">
        <f t="shared" si="67"/>
        <v>0</v>
      </c>
      <c r="P345" s="164">
        <f t="shared" si="68"/>
        <v>0</v>
      </c>
      <c r="Q345" s="164">
        <f t="shared" si="69"/>
        <v>0</v>
      </c>
      <c r="R345" s="164">
        <f t="shared" si="70"/>
        <v>0</v>
      </c>
      <c r="S345" s="164">
        <f t="shared" si="71"/>
        <v>0</v>
      </c>
      <c r="T345" s="164">
        <f t="shared" si="72"/>
        <v>0</v>
      </c>
    </row>
    <row r="346" spans="6:20" x14ac:dyDescent="0.2">
      <c r="F346" s="158">
        <v>335</v>
      </c>
      <c r="G346" s="249">
        <f t="shared" si="61"/>
        <v>53843</v>
      </c>
      <c r="H346" s="158">
        <f t="shared" si="62"/>
        <v>31</v>
      </c>
      <c r="I346" s="254">
        <f>VLOOKUP(G346,'Прогноз переменной ставки'!$B$5:$E$304,4,1)</f>
        <v>9.9000000000000005E-2</v>
      </c>
      <c r="J346" s="164">
        <f t="shared" si="73"/>
        <v>0</v>
      </c>
      <c r="K346" s="164">
        <f t="shared" si="63"/>
        <v>0</v>
      </c>
      <c r="L346" s="164">
        <f t="shared" si="64"/>
        <v>0</v>
      </c>
      <c r="M346" s="164">
        <f t="shared" si="65"/>
        <v>0</v>
      </c>
      <c r="N346" s="164">
        <f t="shared" si="66"/>
        <v>0</v>
      </c>
      <c r="O346" s="164">
        <f t="shared" si="67"/>
        <v>0</v>
      </c>
      <c r="P346" s="164">
        <f t="shared" si="68"/>
        <v>0</v>
      </c>
      <c r="Q346" s="164">
        <f t="shared" si="69"/>
        <v>0</v>
      </c>
      <c r="R346" s="164">
        <f t="shared" si="70"/>
        <v>0</v>
      </c>
      <c r="S346" s="164">
        <f t="shared" si="71"/>
        <v>0</v>
      </c>
      <c r="T346" s="164">
        <f t="shared" si="72"/>
        <v>0</v>
      </c>
    </row>
    <row r="347" spans="6:20" x14ac:dyDescent="0.2">
      <c r="F347" s="158">
        <v>336</v>
      </c>
      <c r="G347" s="249">
        <f t="shared" si="61"/>
        <v>53873</v>
      </c>
      <c r="H347" s="158">
        <f t="shared" si="62"/>
        <v>30</v>
      </c>
      <c r="I347" s="254">
        <f>VLOOKUP(G347,'Прогноз переменной ставки'!$B$5:$E$304,4,1)</f>
        <v>9.9000000000000005E-2</v>
      </c>
      <c r="J347" s="164">
        <f t="shared" si="73"/>
        <v>0</v>
      </c>
      <c r="K347" s="164">
        <f t="shared" si="63"/>
        <v>0</v>
      </c>
      <c r="L347" s="164">
        <f t="shared" si="64"/>
        <v>0</v>
      </c>
      <c r="M347" s="164">
        <f t="shared" si="65"/>
        <v>0</v>
      </c>
      <c r="N347" s="164">
        <f t="shared" si="66"/>
        <v>0</v>
      </c>
      <c r="O347" s="164">
        <f t="shared" si="67"/>
        <v>0</v>
      </c>
      <c r="P347" s="164">
        <f t="shared" si="68"/>
        <v>0</v>
      </c>
      <c r="Q347" s="164">
        <f t="shared" si="69"/>
        <v>0</v>
      </c>
      <c r="R347" s="164">
        <f t="shared" si="70"/>
        <v>0</v>
      </c>
      <c r="S347" s="164">
        <f t="shared" si="71"/>
        <v>0</v>
      </c>
      <c r="T347" s="164">
        <f t="shared" si="72"/>
        <v>0</v>
      </c>
    </row>
    <row r="348" spans="6:20" x14ac:dyDescent="0.2">
      <c r="F348" s="158">
        <v>337</v>
      </c>
      <c r="G348" s="249">
        <f t="shared" si="61"/>
        <v>53904</v>
      </c>
      <c r="H348" s="158">
        <f t="shared" si="62"/>
        <v>31</v>
      </c>
      <c r="I348" s="254">
        <f>VLOOKUP(G348,'Прогноз переменной ставки'!$B$5:$E$304,4,1)</f>
        <v>9.9000000000000005E-2</v>
      </c>
      <c r="J348" s="164">
        <f t="shared" si="73"/>
        <v>0</v>
      </c>
      <c r="K348" s="164">
        <f t="shared" si="63"/>
        <v>0</v>
      </c>
      <c r="L348" s="164">
        <f t="shared" si="64"/>
        <v>0</v>
      </c>
      <c r="M348" s="164">
        <f t="shared" si="65"/>
        <v>0</v>
      </c>
      <c r="N348" s="164">
        <f t="shared" si="66"/>
        <v>0</v>
      </c>
      <c r="O348" s="164">
        <f t="shared" si="67"/>
        <v>0</v>
      </c>
      <c r="P348" s="164">
        <f t="shared" si="68"/>
        <v>0</v>
      </c>
      <c r="Q348" s="164">
        <f t="shared" si="69"/>
        <v>0</v>
      </c>
      <c r="R348" s="164">
        <f t="shared" si="70"/>
        <v>0</v>
      </c>
      <c r="S348" s="164">
        <f t="shared" si="71"/>
        <v>0</v>
      </c>
      <c r="T348" s="164">
        <f t="shared" si="72"/>
        <v>0</v>
      </c>
    </row>
    <row r="349" spans="6:20" x14ac:dyDescent="0.2">
      <c r="F349" s="158">
        <v>338</v>
      </c>
      <c r="G349" s="249">
        <f t="shared" si="61"/>
        <v>53935</v>
      </c>
      <c r="H349" s="158">
        <f t="shared" si="62"/>
        <v>31</v>
      </c>
      <c r="I349" s="254">
        <f>VLOOKUP(G349,'Прогноз переменной ставки'!$B$5:$E$304,4,1)</f>
        <v>9.9000000000000005E-2</v>
      </c>
      <c r="J349" s="164">
        <f t="shared" si="73"/>
        <v>0</v>
      </c>
      <c r="K349" s="164">
        <f t="shared" si="63"/>
        <v>0</v>
      </c>
      <c r="L349" s="164">
        <f t="shared" si="64"/>
        <v>0</v>
      </c>
      <c r="M349" s="164">
        <f t="shared" si="65"/>
        <v>0</v>
      </c>
      <c r="N349" s="164">
        <f t="shared" si="66"/>
        <v>0</v>
      </c>
      <c r="O349" s="164">
        <f t="shared" si="67"/>
        <v>0</v>
      </c>
      <c r="P349" s="164">
        <f t="shared" si="68"/>
        <v>0</v>
      </c>
      <c r="Q349" s="164">
        <f t="shared" si="69"/>
        <v>0</v>
      </c>
      <c r="R349" s="164">
        <f t="shared" si="70"/>
        <v>0</v>
      </c>
      <c r="S349" s="164">
        <f t="shared" si="71"/>
        <v>0</v>
      </c>
      <c r="T349" s="164">
        <f t="shared" si="72"/>
        <v>0</v>
      </c>
    </row>
    <row r="350" spans="6:20" x14ac:dyDescent="0.2">
      <c r="F350" s="158">
        <v>339</v>
      </c>
      <c r="G350" s="249">
        <f t="shared" si="61"/>
        <v>53965</v>
      </c>
      <c r="H350" s="158">
        <f t="shared" si="62"/>
        <v>30</v>
      </c>
      <c r="I350" s="254">
        <f>VLOOKUP(G350,'Прогноз переменной ставки'!$B$5:$E$304,4,1)</f>
        <v>9.9000000000000005E-2</v>
      </c>
      <c r="J350" s="164">
        <f t="shared" si="73"/>
        <v>0</v>
      </c>
      <c r="K350" s="164">
        <f t="shared" si="63"/>
        <v>0</v>
      </c>
      <c r="L350" s="164">
        <f t="shared" si="64"/>
        <v>0</v>
      </c>
      <c r="M350" s="164">
        <f t="shared" si="65"/>
        <v>0</v>
      </c>
      <c r="N350" s="164">
        <f t="shared" si="66"/>
        <v>0</v>
      </c>
      <c r="O350" s="164">
        <f t="shared" si="67"/>
        <v>0</v>
      </c>
      <c r="P350" s="164">
        <f t="shared" si="68"/>
        <v>0</v>
      </c>
      <c r="Q350" s="164">
        <f t="shared" si="69"/>
        <v>0</v>
      </c>
      <c r="R350" s="164">
        <f t="shared" si="70"/>
        <v>0</v>
      </c>
      <c r="S350" s="164">
        <f t="shared" si="71"/>
        <v>0</v>
      </c>
      <c r="T350" s="164">
        <f t="shared" si="72"/>
        <v>0</v>
      </c>
    </row>
    <row r="351" spans="6:20" x14ac:dyDescent="0.2">
      <c r="F351" s="158">
        <v>340</v>
      </c>
      <c r="G351" s="249">
        <f t="shared" si="61"/>
        <v>53996</v>
      </c>
      <c r="H351" s="158">
        <f t="shared" si="62"/>
        <v>31</v>
      </c>
      <c r="I351" s="254">
        <f>VLOOKUP(G351,'Прогноз переменной ставки'!$B$5:$E$304,4,1)</f>
        <v>9.9000000000000005E-2</v>
      </c>
      <c r="J351" s="164">
        <f t="shared" si="73"/>
        <v>0</v>
      </c>
      <c r="K351" s="164">
        <f t="shared" si="63"/>
        <v>0</v>
      </c>
      <c r="L351" s="164">
        <f t="shared" si="64"/>
        <v>0</v>
      </c>
      <c r="M351" s="164">
        <f t="shared" si="65"/>
        <v>0</v>
      </c>
      <c r="N351" s="164">
        <f t="shared" si="66"/>
        <v>0</v>
      </c>
      <c r="O351" s="164">
        <f t="shared" si="67"/>
        <v>0</v>
      </c>
      <c r="P351" s="164">
        <f t="shared" si="68"/>
        <v>0</v>
      </c>
      <c r="Q351" s="164">
        <f t="shared" si="69"/>
        <v>0</v>
      </c>
      <c r="R351" s="164">
        <f t="shared" si="70"/>
        <v>0</v>
      </c>
      <c r="S351" s="164">
        <f t="shared" si="71"/>
        <v>0</v>
      </c>
      <c r="T351" s="164">
        <f t="shared" si="72"/>
        <v>0</v>
      </c>
    </row>
    <row r="352" spans="6:20" x14ac:dyDescent="0.2">
      <c r="F352" s="158">
        <v>341</v>
      </c>
      <c r="G352" s="249">
        <f t="shared" si="61"/>
        <v>54026</v>
      </c>
      <c r="H352" s="158">
        <f t="shared" si="62"/>
        <v>30</v>
      </c>
      <c r="I352" s="254">
        <f>VLOOKUP(G352,'Прогноз переменной ставки'!$B$5:$E$304,4,1)</f>
        <v>9.9000000000000005E-2</v>
      </c>
      <c r="J352" s="164">
        <f t="shared" si="73"/>
        <v>0</v>
      </c>
      <c r="K352" s="164">
        <f t="shared" si="63"/>
        <v>0</v>
      </c>
      <c r="L352" s="164">
        <f t="shared" si="64"/>
        <v>0</v>
      </c>
      <c r="M352" s="164">
        <f t="shared" si="65"/>
        <v>0</v>
      </c>
      <c r="N352" s="164">
        <f t="shared" si="66"/>
        <v>0</v>
      </c>
      <c r="O352" s="164">
        <f t="shared" si="67"/>
        <v>0</v>
      </c>
      <c r="P352" s="164">
        <f t="shared" si="68"/>
        <v>0</v>
      </c>
      <c r="Q352" s="164">
        <f t="shared" si="69"/>
        <v>0</v>
      </c>
      <c r="R352" s="164">
        <f t="shared" si="70"/>
        <v>0</v>
      </c>
      <c r="S352" s="164">
        <f t="shared" si="71"/>
        <v>0</v>
      </c>
      <c r="T352" s="164">
        <f t="shared" si="72"/>
        <v>0</v>
      </c>
    </row>
    <row r="353" spans="6:20" x14ac:dyDescent="0.2">
      <c r="F353" s="158">
        <v>342</v>
      </c>
      <c r="G353" s="249">
        <f t="shared" si="61"/>
        <v>54057</v>
      </c>
      <c r="H353" s="158">
        <f t="shared" si="62"/>
        <v>31</v>
      </c>
      <c r="I353" s="254">
        <f>VLOOKUP(G353,'Прогноз переменной ставки'!$B$5:$E$304,4,1)</f>
        <v>9.9000000000000005E-2</v>
      </c>
      <c r="J353" s="164">
        <f t="shared" si="73"/>
        <v>0</v>
      </c>
      <c r="K353" s="164">
        <f t="shared" si="63"/>
        <v>0</v>
      </c>
      <c r="L353" s="164">
        <f t="shared" si="64"/>
        <v>0</v>
      </c>
      <c r="M353" s="164">
        <f t="shared" si="65"/>
        <v>0</v>
      </c>
      <c r="N353" s="164">
        <f t="shared" si="66"/>
        <v>0</v>
      </c>
      <c r="O353" s="164">
        <f t="shared" si="67"/>
        <v>0</v>
      </c>
      <c r="P353" s="164">
        <f t="shared" si="68"/>
        <v>0</v>
      </c>
      <c r="Q353" s="164">
        <f t="shared" si="69"/>
        <v>0</v>
      </c>
      <c r="R353" s="164">
        <f t="shared" si="70"/>
        <v>0</v>
      </c>
      <c r="S353" s="164">
        <f t="shared" si="71"/>
        <v>0</v>
      </c>
      <c r="T353" s="164">
        <f t="shared" si="72"/>
        <v>0</v>
      </c>
    </row>
    <row r="354" spans="6:20" x14ac:dyDescent="0.2">
      <c r="F354" s="158">
        <v>343</v>
      </c>
      <c r="G354" s="249">
        <f t="shared" si="61"/>
        <v>54088</v>
      </c>
      <c r="H354" s="158">
        <f t="shared" si="62"/>
        <v>31</v>
      </c>
      <c r="I354" s="254">
        <f>VLOOKUP(G354,'Прогноз переменной ставки'!$B$5:$E$304,4,1)</f>
        <v>9.9000000000000005E-2</v>
      </c>
      <c r="J354" s="164">
        <f t="shared" si="73"/>
        <v>0</v>
      </c>
      <c r="K354" s="164">
        <f t="shared" si="63"/>
        <v>0</v>
      </c>
      <c r="L354" s="164">
        <f t="shared" si="64"/>
        <v>0</v>
      </c>
      <c r="M354" s="164">
        <f t="shared" si="65"/>
        <v>0</v>
      </c>
      <c r="N354" s="164">
        <f t="shared" si="66"/>
        <v>0</v>
      </c>
      <c r="O354" s="164">
        <f t="shared" si="67"/>
        <v>0</v>
      </c>
      <c r="P354" s="164">
        <f t="shared" si="68"/>
        <v>0</v>
      </c>
      <c r="Q354" s="164">
        <f t="shared" si="69"/>
        <v>0</v>
      </c>
      <c r="R354" s="164">
        <f t="shared" si="70"/>
        <v>0</v>
      </c>
      <c r="S354" s="164">
        <f t="shared" si="71"/>
        <v>0</v>
      </c>
      <c r="T354" s="164">
        <f t="shared" si="72"/>
        <v>0</v>
      </c>
    </row>
    <row r="355" spans="6:20" x14ac:dyDescent="0.2">
      <c r="F355" s="158">
        <v>344</v>
      </c>
      <c r="G355" s="249">
        <f t="shared" si="61"/>
        <v>54117</v>
      </c>
      <c r="H355" s="158">
        <f t="shared" si="62"/>
        <v>29</v>
      </c>
      <c r="I355" s="254">
        <f>VLOOKUP(G355,'Прогноз переменной ставки'!$B$5:$E$304,4,1)</f>
        <v>9.9000000000000005E-2</v>
      </c>
      <c r="J355" s="164">
        <f t="shared" si="73"/>
        <v>0</v>
      </c>
      <c r="K355" s="164">
        <f t="shared" si="63"/>
        <v>0</v>
      </c>
      <c r="L355" s="164">
        <f t="shared" si="64"/>
        <v>0</v>
      </c>
      <c r="M355" s="164">
        <f t="shared" si="65"/>
        <v>0</v>
      </c>
      <c r="N355" s="164">
        <f t="shared" si="66"/>
        <v>0</v>
      </c>
      <c r="O355" s="164">
        <f t="shared" si="67"/>
        <v>0</v>
      </c>
      <c r="P355" s="164">
        <f t="shared" si="68"/>
        <v>0</v>
      </c>
      <c r="Q355" s="164">
        <f t="shared" si="69"/>
        <v>0</v>
      </c>
      <c r="R355" s="164">
        <f t="shared" si="70"/>
        <v>0</v>
      </c>
      <c r="S355" s="164">
        <f t="shared" si="71"/>
        <v>0</v>
      </c>
      <c r="T355" s="164">
        <f t="shared" si="72"/>
        <v>0</v>
      </c>
    </row>
    <row r="356" spans="6:20" x14ac:dyDescent="0.2">
      <c r="F356" s="158">
        <v>345</v>
      </c>
      <c r="G356" s="249">
        <f t="shared" si="61"/>
        <v>54148</v>
      </c>
      <c r="H356" s="158">
        <f t="shared" si="62"/>
        <v>31</v>
      </c>
      <c r="I356" s="254">
        <f>VLOOKUP(G356,'Прогноз переменной ставки'!$B$5:$E$304,4,1)</f>
        <v>9.9000000000000005E-2</v>
      </c>
      <c r="J356" s="164">
        <f t="shared" si="73"/>
        <v>0</v>
      </c>
      <c r="K356" s="164">
        <f t="shared" si="63"/>
        <v>0</v>
      </c>
      <c r="L356" s="164">
        <f t="shared" si="64"/>
        <v>0</v>
      </c>
      <c r="M356" s="164">
        <f t="shared" si="65"/>
        <v>0</v>
      </c>
      <c r="N356" s="164">
        <f t="shared" si="66"/>
        <v>0</v>
      </c>
      <c r="O356" s="164">
        <f t="shared" si="67"/>
        <v>0</v>
      </c>
      <c r="P356" s="164">
        <f t="shared" si="68"/>
        <v>0</v>
      </c>
      <c r="Q356" s="164">
        <f t="shared" si="69"/>
        <v>0</v>
      </c>
      <c r="R356" s="164">
        <f t="shared" si="70"/>
        <v>0</v>
      </c>
      <c r="S356" s="164">
        <f t="shared" si="71"/>
        <v>0</v>
      </c>
      <c r="T356" s="164">
        <f t="shared" si="72"/>
        <v>0</v>
      </c>
    </row>
    <row r="357" spans="6:20" x14ac:dyDescent="0.2">
      <c r="F357" s="158">
        <v>346</v>
      </c>
      <c r="G357" s="249">
        <f t="shared" si="61"/>
        <v>54178</v>
      </c>
      <c r="H357" s="158">
        <f t="shared" si="62"/>
        <v>30</v>
      </c>
      <c r="I357" s="254">
        <f>VLOOKUP(G357,'Прогноз переменной ставки'!$B$5:$E$304,4,1)</f>
        <v>9.9000000000000005E-2</v>
      </c>
      <c r="J357" s="164">
        <f t="shared" si="73"/>
        <v>0</v>
      </c>
      <c r="K357" s="164">
        <f t="shared" si="63"/>
        <v>0</v>
      </c>
      <c r="L357" s="164">
        <f t="shared" si="64"/>
        <v>0</v>
      </c>
      <c r="M357" s="164">
        <f t="shared" si="65"/>
        <v>0</v>
      </c>
      <c r="N357" s="164">
        <f t="shared" si="66"/>
        <v>0</v>
      </c>
      <c r="O357" s="164">
        <f t="shared" si="67"/>
        <v>0</v>
      </c>
      <c r="P357" s="164">
        <f t="shared" si="68"/>
        <v>0</v>
      </c>
      <c r="Q357" s="164">
        <f t="shared" si="69"/>
        <v>0</v>
      </c>
      <c r="R357" s="164">
        <f t="shared" si="70"/>
        <v>0</v>
      </c>
      <c r="S357" s="164">
        <f t="shared" si="71"/>
        <v>0</v>
      </c>
      <c r="T357" s="164">
        <f t="shared" si="72"/>
        <v>0</v>
      </c>
    </row>
    <row r="358" spans="6:20" x14ac:dyDescent="0.2">
      <c r="F358" s="158">
        <v>347</v>
      </c>
      <c r="G358" s="249">
        <f t="shared" si="61"/>
        <v>54209</v>
      </c>
      <c r="H358" s="158">
        <f t="shared" si="62"/>
        <v>31</v>
      </c>
      <c r="I358" s="254">
        <f>VLOOKUP(G358,'Прогноз переменной ставки'!$B$5:$E$304,4,1)</f>
        <v>9.9000000000000005E-2</v>
      </c>
      <c r="J358" s="164">
        <f t="shared" si="73"/>
        <v>0</v>
      </c>
      <c r="K358" s="164">
        <f t="shared" si="63"/>
        <v>0</v>
      </c>
      <c r="L358" s="164">
        <f t="shared" si="64"/>
        <v>0</v>
      </c>
      <c r="M358" s="164">
        <f t="shared" si="65"/>
        <v>0</v>
      </c>
      <c r="N358" s="164">
        <f t="shared" si="66"/>
        <v>0</v>
      </c>
      <c r="O358" s="164">
        <f t="shared" si="67"/>
        <v>0</v>
      </c>
      <c r="P358" s="164">
        <f t="shared" si="68"/>
        <v>0</v>
      </c>
      <c r="Q358" s="164">
        <f t="shared" si="69"/>
        <v>0</v>
      </c>
      <c r="R358" s="164">
        <f t="shared" si="70"/>
        <v>0</v>
      </c>
      <c r="S358" s="164">
        <f t="shared" si="71"/>
        <v>0</v>
      </c>
      <c r="T358" s="164">
        <f t="shared" si="72"/>
        <v>0</v>
      </c>
    </row>
    <row r="359" spans="6:20" x14ac:dyDescent="0.2">
      <c r="F359" s="158">
        <v>348</v>
      </c>
      <c r="G359" s="249">
        <f t="shared" si="61"/>
        <v>54239</v>
      </c>
      <c r="H359" s="158">
        <f t="shared" si="62"/>
        <v>30</v>
      </c>
      <c r="I359" s="254">
        <f>VLOOKUP(G359,'Прогноз переменной ставки'!$B$5:$E$304,4,1)</f>
        <v>9.9000000000000005E-2</v>
      </c>
      <c r="J359" s="164">
        <f t="shared" si="73"/>
        <v>0</v>
      </c>
      <c r="K359" s="164">
        <f t="shared" si="63"/>
        <v>0</v>
      </c>
      <c r="L359" s="164">
        <f t="shared" si="64"/>
        <v>0</v>
      </c>
      <c r="M359" s="164">
        <f t="shared" si="65"/>
        <v>0</v>
      </c>
      <c r="N359" s="164">
        <f t="shared" si="66"/>
        <v>0</v>
      </c>
      <c r="O359" s="164">
        <f t="shared" si="67"/>
        <v>0</v>
      </c>
      <c r="P359" s="164">
        <f t="shared" si="68"/>
        <v>0</v>
      </c>
      <c r="Q359" s="164">
        <f t="shared" si="69"/>
        <v>0</v>
      </c>
      <c r="R359" s="164">
        <f t="shared" si="70"/>
        <v>0</v>
      </c>
      <c r="S359" s="164">
        <f t="shared" si="71"/>
        <v>0</v>
      </c>
      <c r="T359" s="164">
        <f t="shared" si="72"/>
        <v>0</v>
      </c>
    </row>
    <row r="360" spans="6:20" x14ac:dyDescent="0.2">
      <c r="F360" s="158">
        <v>349</v>
      </c>
      <c r="G360" s="249">
        <f t="shared" si="61"/>
        <v>54270</v>
      </c>
      <c r="H360" s="158">
        <f t="shared" si="62"/>
        <v>31</v>
      </c>
      <c r="I360" s="254">
        <f>VLOOKUP(G360,'Прогноз переменной ставки'!$B$5:$E$304,4,1)</f>
        <v>9.9000000000000005E-2</v>
      </c>
      <c r="J360" s="164">
        <f t="shared" si="73"/>
        <v>0</v>
      </c>
      <c r="K360" s="164">
        <f t="shared" si="63"/>
        <v>0</v>
      </c>
      <c r="L360" s="164">
        <f t="shared" si="64"/>
        <v>0</v>
      </c>
      <c r="M360" s="164">
        <f t="shared" si="65"/>
        <v>0</v>
      </c>
      <c r="N360" s="164">
        <f t="shared" si="66"/>
        <v>0</v>
      </c>
      <c r="O360" s="164">
        <f t="shared" si="67"/>
        <v>0</v>
      </c>
      <c r="P360" s="164">
        <f t="shared" si="68"/>
        <v>0</v>
      </c>
      <c r="Q360" s="164">
        <f t="shared" si="69"/>
        <v>0</v>
      </c>
      <c r="R360" s="164">
        <f t="shared" si="70"/>
        <v>0</v>
      </c>
      <c r="S360" s="164">
        <f t="shared" si="71"/>
        <v>0</v>
      </c>
      <c r="T360" s="164">
        <f t="shared" si="72"/>
        <v>0</v>
      </c>
    </row>
    <row r="361" spans="6:20" x14ac:dyDescent="0.2">
      <c r="F361" s="158">
        <v>350</v>
      </c>
      <c r="G361" s="249">
        <f t="shared" si="61"/>
        <v>54301</v>
      </c>
      <c r="H361" s="158">
        <f t="shared" si="62"/>
        <v>31</v>
      </c>
      <c r="I361" s="254">
        <f>VLOOKUP(G361,'Прогноз переменной ставки'!$B$5:$E$304,4,1)</f>
        <v>9.9000000000000005E-2</v>
      </c>
      <c r="J361" s="164">
        <f t="shared" si="73"/>
        <v>0</v>
      </c>
      <c r="K361" s="164">
        <f t="shared" si="63"/>
        <v>0</v>
      </c>
      <c r="L361" s="164">
        <f t="shared" si="64"/>
        <v>0</v>
      </c>
      <c r="M361" s="164">
        <f t="shared" si="65"/>
        <v>0</v>
      </c>
      <c r="N361" s="164">
        <f t="shared" si="66"/>
        <v>0</v>
      </c>
      <c r="O361" s="164">
        <f t="shared" si="67"/>
        <v>0</v>
      </c>
      <c r="P361" s="164">
        <f t="shared" si="68"/>
        <v>0</v>
      </c>
      <c r="Q361" s="164">
        <f t="shared" si="69"/>
        <v>0</v>
      </c>
      <c r="R361" s="164">
        <f t="shared" si="70"/>
        <v>0</v>
      </c>
      <c r="S361" s="164">
        <f t="shared" si="71"/>
        <v>0</v>
      </c>
      <c r="T361" s="164">
        <f t="shared" si="72"/>
        <v>0</v>
      </c>
    </row>
    <row r="362" spans="6:20" x14ac:dyDescent="0.2">
      <c r="F362" s="158">
        <v>351</v>
      </c>
      <c r="G362" s="249">
        <f t="shared" si="61"/>
        <v>54331</v>
      </c>
      <c r="H362" s="158">
        <f t="shared" si="62"/>
        <v>30</v>
      </c>
      <c r="I362" s="254">
        <f>VLOOKUP(G362,'Прогноз переменной ставки'!$B$5:$E$304,4,1)</f>
        <v>9.9000000000000005E-2</v>
      </c>
      <c r="J362" s="164">
        <f t="shared" si="73"/>
        <v>0</v>
      </c>
      <c r="K362" s="164">
        <f t="shared" si="63"/>
        <v>0</v>
      </c>
      <c r="L362" s="164">
        <f t="shared" si="64"/>
        <v>0</v>
      </c>
      <c r="M362" s="164">
        <f t="shared" si="65"/>
        <v>0</v>
      </c>
      <c r="N362" s="164">
        <f t="shared" si="66"/>
        <v>0</v>
      </c>
      <c r="O362" s="164">
        <f t="shared" si="67"/>
        <v>0</v>
      </c>
      <c r="P362" s="164">
        <f t="shared" si="68"/>
        <v>0</v>
      </c>
      <c r="Q362" s="164">
        <f t="shared" si="69"/>
        <v>0</v>
      </c>
      <c r="R362" s="164">
        <f t="shared" si="70"/>
        <v>0</v>
      </c>
      <c r="S362" s="164">
        <f t="shared" si="71"/>
        <v>0</v>
      </c>
      <c r="T362" s="164">
        <f t="shared" si="72"/>
        <v>0</v>
      </c>
    </row>
    <row r="363" spans="6:20" x14ac:dyDescent="0.2">
      <c r="F363" s="158">
        <v>352</v>
      </c>
      <c r="G363" s="249">
        <f t="shared" si="61"/>
        <v>54362</v>
      </c>
      <c r="H363" s="158">
        <f t="shared" si="62"/>
        <v>31</v>
      </c>
      <c r="I363" s="254">
        <f>VLOOKUP(G363,'Прогноз переменной ставки'!$B$5:$E$304,4,1)</f>
        <v>9.9000000000000005E-2</v>
      </c>
      <c r="J363" s="164">
        <f t="shared" si="73"/>
        <v>0</v>
      </c>
      <c r="K363" s="164">
        <f t="shared" si="63"/>
        <v>0</v>
      </c>
      <c r="L363" s="164">
        <f t="shared" si="64"/>
        <v>0</v>
      </c>
      <c r="M363" s="164">
        <f t="shared" si="65"/>
        <v>0</v>
      </c>
      <c r="N363" s="164">
        <f t="shared" si="66"/>
        <v>0</v>
      </c>
      <c r="O363" s="164">
        <f t="shared" si="67"/>
        <v>0</v>
      </c>
      <c r="P363" s="164">
        <f t="shared" si="68"/>
        <v>0</v>
      </c>
      <c r="Q363" s="164">
        <f t="shared" si="69"/>
        <v>0</v>
      </c>
      <c r="R363" s="164">
        <f t="shared" si="70"/>
        <v>0</v>
      </c>
      <c r="S363" s="164">
        <f t="shared" si="71"/>
        <v>0</v>
      </c>
      <c r="T363" s="164">
        <f t="shared" si="72"/>
        <v>0</v>
      </c>
    </row>
    <row r="364" spans="6:20" x14ac:dyDescent="0.2">
      <c r="F364" s="158">
        <v>353</v>
      </c>
      <c r="G364" s="249">
        <f t="shared" si="61"/>
        <v>54392</v>
      </c>
      <c r="H364" s="158">
        <f t="shared" si="62"/>
        <v>30</v>
      </c>
      <c r="I364" s="254">
        <f>VLOOKUP(G364,'Прогноз переменной ставки'!$B$5:$E$304,4,1)</f>
        <v>9.9000000000000005E-2</v>
      </c>
      <c r="J364" s="164">
        <f t="shared" si="73"/>
        <v>0</v>
      </c>
      <c r="K364" s="164">
        <f t="shared" si="63"/>
        <v>0</v>
      </c>
      <c r="L364" s="164">
        <f t="shared" si="64"/>
        <v>0</v>
      </c>
      <c r="M364" s="164">
        <f t="shared" si="65"/>
        <v>0</v>
      </c>
      <c r="N364" s="164">
        <f t="shared" si="66"/>
        <v>0</v>
      </c>
      <c r="O364" s="164">
        <f t="shared" si="67"/>
        <v>0</v>
      </c>
      <c r="P364" s="164">
        <f t="shared" si="68"/>
        <v>0</v>
      </c>
      <c r="Q364" s="164">
        <f t="shared" si="69"/>
        <v>0</v>
      </c>
      <c r="R364" s="164">
        <f t="shared" si="70"/>
        <v>0</v>
      </c>
      <c r="S364" s="164">
        <f t="shared" si="71"/>
        <v>0</v>
      </c>
      <c r="T364" s="164">
        <f t="shared" si="72"/>
        <v>0</v>
      </c>
    </row>
    <row r="365" spans="6:20" x14ac:dyDescent="0.2">
      <c r="F365" s="158">
        <v>354</v>
      </c>
      <c r="G365" s="249">
        <f t="shared" si="61"/>
        <v>54423</v>
      </c>
      <c r="H365" s="158">
        <f t="shared" si="62"/>
        <v>31</v>
      </c>
      <c r="I365" s="254">
        <f>VLOOKUP(G365,'Прогноз переменной ставки'!$B$5:$E$304,4,1)</f>
        <v>9.9000000000000005E-2</v>
      </c>
      <c r="J365" s="164">
        <f t="shared" si="73"/>
        <v>0</v>
      </c>
      <c r="K365" s="164">
        <f t="shared" si="63"/>
        <v>0</v>
      </c>
      <c r="L365" s="164">
        <f t="shared" si="64"/>
        <v>0</v>
      </c>
      <c r="M365" s="164">
        <f t="shared" si="65"/>
        <v>0</v>
      </c>
      <c r="N365" s="164">
        <f t="shared" si="66"/>
        <v>0</v>
      </c>
      <c r="O365" s="164">
        <f t="shared" si="67"/>
        <v>0</v>
      </c>
      <c r="P365" s="164">
        <f t="shared" si="68"/>
        <v>0</v>
      </c>
      <c r="Q365" s="164">
        <f t="shared" si="69"/>
        <v>0</v>
      </c>
      <c r="R365" s="164">
        <f t="shared" si="70"/>
        <v>0</v>
      </c>
      <c r="S365" s="164">
        <f t="shared" si="71"/>
        <v>0</v>
      </c>
      <c r="T365" s="164">
        <f t="shared" si="72"/>
        <v>0</v>
      </c>
    </row>
    <row r="366" spans="6:20" x14ac:dyDescent="0.2">
      <c r="F366" s="158">
        <v>355</v>
      </c>
      <c r="G366" s="249">
        <f t="shared" si="61"/>
        <v>54454</v>
      </c>
      <c r="H366" s="158">
        <f t="shared" si="62"/>
        <v>31</v>
      </c>
      <c r="I366" s="254">
        <f>VLOOKUP(G366,'Прогноз переменной ставки'!$B$5:$E$304,4,1)</f>
        <v>9.9000000000000005E-2</v>
      </c>
      <c r="J366" s="164">
        <f t="shared" si="73"/>
        <v>0</v>
      </c>
      <c r="K366" s="164">
        <f t="shared" si="63"/>
        <v>0</v>
      </c>
      <c r="L366" s="164">
        <f t="shared" si="64"/>
        <v>0</v>
      </c>
      <c r="M366" s="164">
        <f t="shared" si="65"/>
        <v>0</v>
      </c>
      <c r="N366" s="164">
        <f t="shared" si="66"/>
        <v>0</v>
      </c>
      <c r="O366" s="164">
        <f t="shared" si="67"/>
        <v>0</v>
      </c>
      <c r="P366" s="164">
        <f t="shared" si="68"/>
        <v>0</v>
      </c>
      <c r="Q366" s="164">
        <f t="shared" si="69"/>
        <v>0</v>
      </c>
      <c r="R366" s="164">
        <f t="shared" si="70"/>
        <v>0</v>
      </c>
      <c r="S366" s="164">
        <f t="shared" si="71"/>
        <v>0</v>
      </c>
      <c r="T366" s="164">
        <f t="shared" si="72"/>
        <v>0</v>
      </c>
    </row>
    <row r="367" spans="6:20" x14ac:dyDescent="0.2">
      <c r="F367" s="158">
        <v>356</v>
      </c>
      <c r="G367" s="249">
        <f t="shared" si="61"/>
        <v>54482</v>
      </c>
      <c r="H367" s="158">
        <f t="shared" si="62"/>
        <v>28</v>
      </c>
      <c r="I367" s="254">
        <f>VLOOKUP(G367,'Прогноз переменной ставки'!$B$5:$E$304,4,1)</f>
        <v>9.9000000000000005E-2</v>
      </c>
      <c r="J367" s="164">
        <f t="shared" si="73"/>
        <v>0</v>
      </c>
      <c r="K367" s="164">
        <f t="shared" si="63"/>
        <v>0</v>
      </c>
      <c r="L367" s="164">
        <f t="shared" si="64"/>
        <v>0</v>
      </c>
      <c r="M367" s="164">
        <f t="shared" si="65"/>
        <v>0</v>
      </c>
      <c r="N367" s="164">
        <f t="shared" si="66"/>
        <v>0</v>
      </c>
      <c r="O367" s="164">
        <f t="shared" si="67"/>
        <v>0</v>
      </c>
      <c r="P367" s="164">
        <f t="shared" si="68"/>
        <v>0</v>
      </c>
      <c r="Q367" s="164">
        <f t="shared" si="69"/>
        <v>0</v>
      </c>
      <c r="R367" s="164">
        <f t="shared" si="70"/>
        <v>0</v>
      </c>
      <c r="S367" s="164">
        <f t="shared" si="71"/>
        <v>0</v>
      </c>
      <c r="T367" s="164">
        <f t="shared" si="72"/>
        <v>0</v>
      </c>
    </row>
    <row r="368" spans="6:20" x14ac:dyDescent="0.2">
      <c r="F368" s="158">
        <v>357</v>
      </c>
      <c r="G368" s="249">
        <f t="shared" si="61"/>
        <v>54513</v>
      </c>
      <c r="H368" s="158">
        <f t="shared" si="62"/>
        <v>31</v>
      </c>
      <c r="I368" s="254">
        <f>VLOOKUP(G368,'Прогноз переменной ставки'!$B$5:$E$304,4,1)</f>
        <v>9.9000000000000005E-2</v>
      </c>
      <c r="J368" s="164">
        <f t="shared" si="73"/>
        <v>0</v>
      </c>
      <c r="K368" s="164">
        <f t="shared" si="63"/>
        <v>0</v>
      </c>
      <c r="L368" s="164">
        <f t="shared" si="64"/>
        <v>0</v>
      </c>
      <c r="M368" s="164">
        <f t="shared" si="65"/>
        <v>0</v>
      </c>
      <c r="N368" s="164">
        <f t="shared" si="66"/>
        <v>0</v>
      </c>
      <c r="O368" s="164">
        <f t="shared" si="67"/>
        <v>0</v>
      </c>
      <c r="P368" s="164">
        <f t="shared" si="68"/>
        <v>0</v>
      </c>
      <c r="Q368" s="164">
        <f t="shared" si="69"/>
        <v>0</v>
      </c>
      <c r="R368" s="164">
        <f t="shared" si="70"/>
        <v>0</v>
      </c>
      <c r="S368" s="164">
        <f t="shared" si="71"/>
        <v>0</v>
      </c>
      <c r="T368" s="164">
        <f t="shared" si="72"/>
        <v>0</v>
      </c>
    </row>
    <row r="369" spans="6:20" x14ac:dyDescent="0.2">
      <c r="F369" s="158">
        <v>358</v>
      </c>
      <c r="G369" s="249">
        <f t="shared" si="61"/>
        <v>54543</v>
      </c>
      <c r="H369" s="158">
        <f t="shared" si="62"/>
        <v>30</v>
      </c>
      <c r="I369" s="254">
        <f>VLOOKUP(G369,'Прогноз переменной ставки'!$B$5:$E$304,4,1)</f>
        <v>9.9000000000000005E-2</v>
      </c>
      <c r="J369" s="164">
        <f t="shared" si="73"/>
        <v>0</v>
      </c>
      <c r="K369" s="164">
        <f t="shared" si="63"/>
        <v>0</v>
      </c>
      <c r="L369" s="164">
        <f t="shared" si="64"/>
        <v>0</v>
      </c>
      <c r="M369" s="164">
        <f t="shared" si="65"/>
        <v>0</v>
      </c>
      <c r="N369" s="164">
        <f t="shared" si="66"/>
        <v>0</v>
      </c>
      <c r="O369" s="164">
        <f t="shared" si="67"/>
        <v>0</v>
      </c>
      <c r="P369" s="164">
        <f t="shared" si="68"/>
        <v>0</v>
      </c>
      <c r="Q369" s="164">
        <f t="shared" si="69"/>
        <v>0</v>
      </c>
      <c r="R369" s="164">
        <f t="shared" si="70"/>
        <v>0</v>
      </c>
      <c r="S369" s="164">
        <f t="shared" si="71"/>
        <v>0</v>
      </c>
      <c r="T369" s="164">
        <f t="shared" si="72"/>
        <v>0</v>
      </c>
    </row>
    <row r="370" spans="6:20" x14ac:dyDescent="0.2">
      <c r="F370" s="158">
        <v>359</v>
      </c>
      <c r="G370" s="249">
        <f t="shared" si="61"/>
        <v>54574</v>
      </c>
      <c r="H370" s="158">
        <f t="shared" si="62"/>
        <v>31</v>
      </c>
      <c r="I370" s="254">
        <f>VLOOKUP(G370,'Прогноз переменной ставки'!$B$5:$E$304,4,1)</f>
        <v>9.9000000000000005E-2</v>
      </c>
      <c r="J370" s="164">
        <f t="shared" si="73"/>
        <v>0</v>
      </c>
      <c r="K370" s="164">
        <f t="shared" si="63"/>
        <v>0</v>
      </c>
      <c r="L370" s="164">
        <f t="shared" si="64"/>
        <v>0</v>
      </c>
      <c r="M370" s="164">
        <f t="shared" si="65"/>
        <v>0</v>
      </c>
      <c r="N370" s="164">
        <f t="shared" si="66"/>
        <v>0</v>
      </c>
      <c r="O370" s="164">
        <f t="shared" si="67"/>
        <v>0</v>
      </c>
      <c r="P370" s="164">
        <f t="shared" si="68"/>
        <v>0</v>
      </c>
      <c r="Q370" s="164">
        <f t="shared" si="69"/>
        <v>0</v>
      </c>
      <c r="R370" s="164">
        <f t="shared" si="70"/>
        <v>0</v>
      </c>
      <c r="S370" s="164">
        <f t="shared" si="71"/>
        <v>0</v>
      </c>
      <c r="T370" s="164">
        <f t="shared" si="72"/>
        <v>0</v>
      </c>
    </row>
    <row r="371" spans="6:20" x14ac:dyDescent="0.2">
      <c r="F371" s="158">
        <v>360</v>
      </c>
      <c r="G371" s="249">
        <f t="shared" si="61"/>
        <v>54604</v>
      </c>
      <c r="H371" s="158">
        <f t="shared" si="62"/>
        <v>30</v>
      </c>
      <c r="I371" s="254">
        <f>VLOOKUP(G371,'Прогноз переменной ставки'!$B$5:$E$304,4,1)</f>
        <v>9.9000000000000005E-2</v>
      </c>
      <c r="J371" s="164">
        <f t="shared" si="73"/>
        <v>0</v>
      </c>
      <c r="K371" s="164">
        <f t="shared" si="63"/>
        <v>0</v>
      </c>
      <c r="L371" s="164">
        <f t="shared" si="64"/>
        <v>0</v>
      </c>
      <c r="M371" s="164">
        <f t="shared" si="65"/>
        <v>0</v>
      </c>
      <c r="N371" s="164">
        <f t="shared" si="66"/>
        <v>0</v>
      </c>
      <c r="O371" s="164">
        <f t="shared" si="67"/>
        <v>0</v>
      </c>
      <c r="P371" s="164">
        <f t="shared" si="68"/>
        <v>0</v>
      </c>
      <c r="Q371" s="164">
        <f t="shared" si="69"/>
        <v>0</v>
      </c>
      <c r="R371" s="164">
        <f t="shared" si="70"/>
        <v>0</v>
      </c>
      <c r="S371" s="164">
        <f t="shared" si="71"/>
        <v>0</v>
      </c>
      <c r="T371" s="164">
        <f t="shared" si="72"/>
        <v>0</v>
      </c>
    </row>
    <row r="372" spans="6:20" x14ac:dyDescent="0.2">
      <c r="F372" s="158">
        <v>361</v>
      </c>
      <c r="G372" s="249">
        <f t="shared" ref="G372" si="74">EOMONTH($D$9,F372-1)</f>
        <v>54635</v>
      </c>
      <c r="H372" s="158">
        <f t="shared" ref="H372" si="75">G372-G371</f>
        <v>31</v>
      </c>
      <c r="I372" s="254">
        <f>VLOOKUP(G372,'Прогноз переменной ставки'!$B$5:$E$304,4,1)</f>
        <v>9.9000000000000005E-2</v>
      </c>
      <c r="J372" s="164">
        <f t="shared" ref="J372" si="76">IF(F372=$D$4,K372+N372,MIN($D$5,K372+N372))</f>
        <v>0</v>
      </c>
      <c r="K372" s="164">
        <f t="shared" ref="K372" si="77">L372+M372</f>
        <v>0</v>
      </c>
      <c r="L372" s="164">
        <f t="shared" ref="L372" si="78">S371</f>
        <v>0</v>
      </c>
      <c r="M372" s="164">
        <f t="shared" ref="M372" si="79">T371</f>
        <v>0</v>
      </c>
      <c r="N372" s="164">
        <f t="shared" ref="N372" si="80">L372*I372/365.25*H372</f>
        <v>0</v>
      </c>
      <c r="O372" s="164">
        <f t="shared" ref="O372" si="81">MIN(J372-Q372-P372,L372)</f>
        <v>0</v>
      </c>
      <c r="P372" s="164">
        <f t="shared" ref="P372" si="82">MIN(J372-Q372,N372)</f>
        <v>0</v>
      </c>
      <c r="Q372" s="164">
        <f t="shared" ref="Q372" si="83">MIN(J372,M372)</f>
        <v>0</v>
      </c>
      <c r="R372" s="164">
        <f t="shared" ref="R372" si="84">MAX(N372-P372,0)</f>
        <v>0</v>
      </c>
      <c r="S372" s="164">
        <f t="shared" ref="S372" si="85">L372-O372</f>
        <v>0</v>
      </c>
      <c r="T372" s="164">
        <f t="shared" ref="T372" si="86">M372+R372-Q372</f>
        <v>0</v>
      </c>
    </row>
    <row r="373" spans="6:20" ht="15" x14ac:dyDescent="0.25">
      <c r="F373"/>
      <c r="G373"/>
    </row>
    <row r="374" spans="6:20" ht="15" x14ac:dyDescent="0.25">
      <c r="F374"/>
      <c r="G374"/>
    </row>
    <row r="375" spans="6:20" ht="15" x14ac:dyDescent="0.25">
      <c r="F375"/>
      <c r="G375"/>
    </row>
    <row r="376" spans="6:20" ht="15" x14ac:dyDescent="0.25">
      <c r="F376"/>
      <c r="G376"/>
    </row>
    <row r="377" spans="6:20" ht="15" x14ac:dyDescent="0.25">
      <c r="F377"/>
      <c r="G377"/>
    </row>
    <row r="378" spans="6:20" ht="15" x14ac:dyDescent="0.25">
      <c r="F378"/>
      <c r="G378"/>
    </row>
    <row r="379" spans="6:20" ht="15" x14ac:dyDescent="0.25">
      <c r="F379"/>
      <c r="G379"/>
    </row>
    <row r="380" spans="6:20" ht="15" x14ac:dyDescent="0.25">
      <c r="F380"/>
      <c r="G380"/>
    </row>
    <row r="381" spans="6:20" ht="15" x14ac:dyDescent="0.25">
      <c r="F381"/>
      <c r="G381"/>
    </row>
    <row r="382" spans="6:20" ht="15" x14ac:dyDescent="0.25">
      <c r="F382"/>
      <c r="G382"/>
    </row>
    <row r="383" spans="6:20" ht="15" x14ac:dyDescent="0.25">
      <c r="F383"/>
      <c r="G383"/>
    </row>
    <row r="384" spans="6:20" ht="15" x14ac:dyDescent="0.25">
      <c r="F384"/>
      <c r="G384"/>
    </row>
    <row r="385" spans="6:7" ht="15" x14ac:dyDescent="0.25">
      <c r="F385"/>
      <c r="G385"/>
    </row>
    <row r="386" spans="6:7" ht="15" x14ac:dyDescent="0.25">
      <c r="F386"/>
      <c r="G386"/>
    </row>
    <row r="387" spans="6:7" ht="15" x14ac:dyDescent="0.25">
      <c r="F387"/>
      <c r="G387"/>
    </row>
    <row r="388" spans="6:7" ht="15" x14ac:dyDescent="0.25">
      <c r="F388"/>
      <c r="G388"/>
    </row>
    <row r="389" spans="6:7" ht="15" x14ac:dyDescent="0.25">
      <c r="F389"/>
      <c r="G389"/>
    </row>
    <row r="390" spans="6:7" ht="15" x14ac:dyDescent="0.25">
      <c r="F390"/>
      <c r="G390"/>
    </row>
    <row r="391" spans="6:7" ht="15" x14ac:dyDescent="0.25">
      <c r="F391"/>
      <c r="G391"/>
    </row>
    <row r="392" spans="6:7" ht="15" x14ac:dyDescent="0.25">
      <c r="F392"/>
      <c r="G392"/>
    </row>
    <row r="393" spans="6:7" ht="15" x14ac:dyDescent="0.25">
      <c r="F393"/>
      <c r="G393"/>
    </row>
    <row r="394" spans="6:7" ht="15" x14ac:dyDescent="0.25">
      <c r="F394"/>
      <c r="G394"/>
    </row>
    <row r="395" spans="6:7" ht="15" x14ac:dyDescent="0.25">
      <c r="F395"/>
      <c r="G395"/>
    </row>
    <row r="396" spans="6:7" ht="15" x14ac:dyDescent="0.25">
      <c r="F396"/>
      <c r="G396"/>
    </row>
    <row r="397" spans="6:7" ht="15" x14ac:dyDescent="0.25">
      <c r="F397"/>
      <c r="G397"/>
    </row>
    <row r="398" spans="6:7" ht="15" x14ac:dyDescent="0.25">
      <c r="F398"/>
      <c r="G398"/>
    </row>
    <row r="399" spans="6:7" ht="15" x14ac:dyDescent="0.25">
      <c r="F399"/>
      <c r="G399"/>
    </row>
    <row r="400" spans="6:7" ht="15" x14ac:dyDescent="0.25">
      <c r="F400"/>
      <c r="G400"/>
    </row>
    <row r="401" spans="6:7" ht="15" x14ac:dyDescent="0.25">
      <c r="F401"/>
      <c r="G401"/>
    </row>
    <row r="402" spans="6:7" ht="15" x14ac:dyDescent="0.25">
      <c r="F402"/>
      <c r="G402"/>
    </row>
    <row r="403" spans="6:7" ht="15" x14ac:dyDescent="0.25">
      <c r="F403"/>
      <c r="G403"/>
    </row>
    <row r="404" spans="6:7" ht="15" x14ac:dyDescent="0.25">
      <c r="F404"/>
      <c r="G404"/>
    </row>
    <row r="405" spans="6:7" ht="15" x14ac:dyDescent="0.25">
      <c r="F405"/>
      <c r="G405"/>
    </row>
    <row r="406" spans="6:7" ht="15" x14ac:dyDescent="0.25">
      <c r="F406"/>
      <c r="G406"/>
    </row>
    <row r="407" spans="6:7" ht="15" x14ac:dyDescent="0.25">
      <c r="F407"/>
      <c r="G407"/>
    </row>
    <row r="408" spans="6:7" ht="15" x14ac:dyDescent="0.25">
      <c r="F408"/>
      <c r="G408"/>
    </row>
    <row r="409" spans="6:7" ht="15" x14ac:dyDescent="0.25">
      <c r="F409"/>
      <c r="G409"/>
    </row>
    <row r="410" spans="6:7" ht="15" x14ac:dyDescent="0.25">
      <c r="F410"/>
      <c r="G410"/>
    </row>
    <row r="411" spans="6:7" ht="15" x14ac:dyDescent="0.25">
      <c r="F411"/>
      <c r="G411"/>
    </row>
    <row r="412" spans="6:7" ht="15" x14ac:dyDescent="0.25">
      <c r="F412"/>
      <c r="G412"/>
    </row>
    <row r="413" spans="6:7" ht="15" x14ac:dyDescent="0.25">
      <c r="F413"/>
      <c r="G413"/>
    </row>
    <row r="414" spans="6:7" ht="15" x14ac:dyDescent="0.25">
      <c r="F414"/>
      <c r="G414"/>
    </row>
    <row r="415" spans="6:7" ht="15" x14ac:dyDescent="0.25">
      <c r="F415"/>
      <c r="G415"/>
    </row>
    <row r="416" spans="6:7" ht="15" x14ac:dyDescent="0.25">
      <c r="F416"/>
      <c r="G416"/>
    </row>
    <row r="417" spans="6:7" ht="15" x14ac:dyDescent="0.25">
      <c r="F417"/>
      <c r="G417"/>
    </row>
    <row r="418" spans="6:7" ht="15" x14ac:dyDescent="0.25">
      <c r="F418"/>
      <c r="G418"/>
    </row>
    <row r="419" spans="6:7" ht="15" x14ac:dyDescent="0.25">
      <c r="F419"/>
      <c r="G419"/>
    </row>
    <row r="420" spans="6:7" ht="15" x14ac:dyDescent="0.25">
      <c r="F420"/>
      <c r="G420"/>
    </row>
    <row r="421" spans="6:7" ht="15" x14ac:dyDescent="0.25">
      <c r="F421"/>
      <c r="G421"/>
    </row>
    <row r="422" spans="6:7" ht="15" x14ac:dyDescent="0.25">
      <c r="F422"/>
      <c r="G422"/>
    </row>
    <row r="423" spans="6:7" ht="15" x14ac:dyDescent="0.25">
      <c r="F423"/>
      <c r="G423"/>
    </row>
    <row r="424" spans="6:7" ht="15" x14ac:dyDescent="0.25">
      <c r="F424"/>
      <c r="G424"/>
    </row>
    <row r="425" spans="6:7" ht="15" x14ac:dyDescent="0.25">
      <c r="F425"/>
      <c r="G425"/>
    </row>
    <row r="426" spans="6:7" ht="15" x14ac:dyDescent="0.25">
      <c r="F426"/>
      <c r="G426"/>
    </row>
    <row r="427" spans="6:7" ht="15" x14ac:dyDescent="0.25">
      <c r="F427"/>
      <c r="G427"/>
    </row>
    <row r="428" spans="6:7" ht="15" x14ac:dyDescent="0.25">
      <c r="F428"/>
      <c r="G428"/>
    </row>
    <row r="429" spans="6:7" ht="15" x14ac:dyDescent="0.25">
      <c r="F429"/>
      <c r="G429"/>
    </row>
    <row r="430" spans="6:7" ht="15" x14ac:dyDescent="0.25">
      <c r="F430"/>
      <c r="G430"/>
    </row>
    <row r="431" spans="6:7" ht="15" x14ac:dyDescent="0.25">
      <c r="F431"/>
      <c r="G431"/>
    </row>
    <row r="432" spans="6:7" ht="15" x14ac:dyDescent="0.25">
      <c r="F432"/>
      <c r="G432"/>
    </row>
    <row r="433" spans="6:7" ht="15" x14ac:dyDescent="0.25">
      <c r="F433"/>
      <c r="G433"/>
    </row>
    <row r="434" spans="6:7" ht="15" x14ac:dyDescent="0.25">
      <c r="F434"/>
      <c r="G434"/>
    </row>
    <row r="435" spans="6:7" ht="15" x14ac:dyDescent="0.25">
      <c r="F435"/>
      <c r="G435"/>
    </row>
    <row r="436" spans="6:7" ht="15" x14ac:dyDescent="0.25">
      <c r="F436"/>
      <c r="G436"/>
    </row>
    <row r="437" spans="6:7" ht="15" x14ac:dyDescent="0.25">
      <c r="F437"/>
      <c r="G437"/>
    </row>
    <row r="438" spans="6:7" ht="15" x14ac:dyDescent="0.25">
      <c r="F438"/>
      <c r="G438"/>
    </row>
    <row r="439" spans="6:7" ht="15" x14ac:dyDescent="0.25">
      <c r="F439"/>
      <c r="G439"/>
    </row>
    <row r="440" spans="6:7" ht="15" x14ac:dyDescent="0.25">
      <c r="F440"/>
      <c r="G440"/>
    </row>
    <row r="441" spans="6:7" ht="15" x14ac:dyDescent="0.25">
      <c r="F441"/>
      <c r="G441"/>
    </row>
    <row r="442" spans="6:7" ht="15" x14ac:dyDescent="0.25">
      <c r="F442"/>
      <c r="G442"/>
    </row>
    <row r="443" spans="6:7" ht="15" x14ac:dyDescent="0.25">
      <c r="F443"/>
      <c r="G443"/>
    </row>
    <row r="444" spans="6:7" ht="15" x14ac:dyDescent="0.25">
      <c r="F444"/>
      <c r="G444"/>
    </row>
    <row r="445" spans="6:7" ht="15" x14ac:dyDescent="0.25">
      <c r="F445"/>
      <c r="G445"/>
    </row>
    <row r="446" spans="6:7" ht="15" x14ac:dyDescent="0.25">
      <c r="F446"/>
      <c r="G446"/>
    </row>
    <row r="447" spans="6:7" ht="15" x14ac:dyDescent="0.25">
      <c r="F447"/>
      <c r="G447"/>
    </row>
    <row r="448" spans="6:7" ht="15" x14ac:dyDescent="0.25">
      <c r="F448"/>
      <c r="G448"/>
    </row>
    <row r="449" spans="6:7" ht="15" x14ac:dyDescent="0.25">
      <c r="F449"/>
      <c r="G449"/>
    </row>
    <row r="450" spans="6:7" ht="15" x14ac:dyDescent="0.25">
      <c r="F450"/>
      <c r="G450"/>
    </row>
    <row r="451" spans="6:7" ht="15" x14ac:dyDescent="0.25">
      <c r="F451"/>
      <c r="G451"/>
    </row>
    <row r="452" spans="6:7" ht="15" x14ac:dyDescent="0.25">
      <c r="F452"/>
      <c r="G452"/>
    </row>
    <row r="453" spans="6:7" ht="15" x14ac:dyDescent="0.25">
      <c r="F453"/>
      <c r="G453"/>
    </row>
    <row r="454" spans="6:7" ht="15" x14ac:dyDescent="0.25">
      <c r="F454"/>
      <c r="G454"/>
    </row>
    <row r="455" spans="6:7" ht="15" x14ac:dyDescent="0.25">
      <c r="F455"/>
      <c r="G455"/>
    </row>
    <row r="456" spans="6:7" ht="15" x14ac:dyDescent="0.25">
      <c r="F456"/>
      <c r="G456"/>
    </row>
    <row r="457" spans="6:7" ht="15" x14ac:dyDescent="0.25">
      <c r="F457"/>
      <c r="G457"/>
    </row>
    <row r="458" spans="6:7" ht="15" x14ac:dyDescent="0.25">
      <c r="F458"/>
      <c r="G458"/>
    </row>
    <row r="459" spans="6:7" ht="15" x14ac:dyDescent="0.25">
      <c r="F459"/>
      <c r="G459"/>
    </row>
    <row r="460" spans="6:7" ht="15" x14ac:dyDescent="0.25">
      <c r="F460"/>
      <c r="G460"/>
    </row>
    <row r="461" spans="6:7" ht="15" x14ac:dyDescent="0.25">
      <c r="F461"/>
      <c r="G461"/>
    </row>
    <row r="462" spans="6:7" ht="15" x14ac:dyDescent="0.25">
      <c r="F462"/>
      <c r="G462"/>
    </row>
    <row r="463" spans="6:7" ht="15" x14ac:dyDescent="0.25">
      <c r="F463"/>
      <c r="G463"/>
    </row>
    <row r="464" spans="6:7" ht="15" x14ac:dyDescent="0.25">
      <c r="F464"/>
      <c r="G464"/>
    </row>
    <row r="465" spans="6:7" ht="15" x14ac:dyDescent="0.25">
      <c r="F465"/>
      <c r="G465"/>
    </row>
    <row r="466" spans="6:7" ht="15" x14ac:dyDescent="0.25">
      <c r="F466"/>
      <c r="G466"/>
    </row>
    <row r="467" spans="6:7" ht="15" x14ac:dyDescent="0.25">
      <c r="F467"/>
      <c r="G467"/>
    </row>
    <row r="468" spans="6:7" ht="15" x14ac:dyDescent="0.25">
      <c r="F468"/>
      <c r="G468"/>
    </row>
    <row r="469" spans="6:7" ht="15" x14ac:dyDescent="0.25">
      <c r="F469"/>
      <c r="G469"/>
    </row>
    <row r="470" spans="6:7" ht="15" x14ac:dyDescent="0.25">
      <c r="F470"/>
      <c r="G470"/>
    </row>
    <row r="471" spans="6:7" ht="15" x14ac:dyDescent="0.25">
      <c r="F471"/>
      <c r="G471"/>
    </row>
    <row r="472" spans="6:7" ht="15" x14ac:dyDescent="0.25">
      <c r="F472"/>
      <c r="G472"/>
    </row>
    <row r="473" spans="6:7" ht="15" x14ac:dyDescent="0.25">
      <c r="F473"/>
      <c r="G473"/>
    </row>
    <row r="474" spans="6:7" ht="15" x14ac:dyDescent="0.25">
      <c r="F474"/>
      <c r="G474"/>
    </row>
    <row r="475" spans="6:7" ht="15" x14ac:dyDescent="0.25">
      <c r="F475"/>
      <c r="G475"/>
    </row>
    <row r="476" spans="6:7" ht="15" x14ac:dyDescent="0.25">
      <c r="F476"/>
      <c r="G476"/>
    </row>
    <row r="477" spans="6:7" ht="15" x14ac:dyDescent="0.25">
      <c r="F477"/>
      <c r="G477"/>
    </row>
    <row r="478" spans="6:7" ht="15" x14ac:dyDescent="0.25">
      <c r="F478"/>
      <c r="G478"/>
    </row>
    <row r="479" spans="6:7" ht="15" x14ac:dyDescent="0.25">
      <c r="F479"/>
      <c r="G479"/>
    </row>
    <row r="480" spans="6:7" ht="15" x14ac:dyDescent="0.25">
      <c r="F480"/>
      <c r="G480"/>
    </row>
    <row r="481" spans="6:7" ht="15" x14ac:dyDescent="0.25">
      <c r="F481"/>
      <c r="G481"/>
    </row>
    <row r="482" spans="6:7" ht="15" x14ac:dyDescent="0.25">
      <c r="F482"/>
      <c r="G482"/>
    </row>
    <row r="483" spans="6:7" ht="15" x14ac:dyDescent="0.25">
      <c r="F483"/>
      <c r="G483"/>
    </row>
    <row r="484" spans="6:7" ht="15" x14ac:dyDescent="0.25">
      <c r="F484"/>
      <c r="G484"/>
    </row>
    <row r="485" spans="6:7" ht="15" x14ac:dyDescent="0.25">
      <c r="F485"/>
      <c r="G485"/>
    </row>
    <row r="486" spans="6:7" ht="15" x14ac:dyDescent="0.25">
      <c r="F486"/>
      <c r="G486"/>
    </row>
    <row r="487" spans="6:7" ht="15" x14ac:dyDescent="0.25">
      <c r="F487"/>
      <c r="G487"/>
    </row>
    <row r="488" spans="6:7" ht="15" x14ac:dyDescent="0.25">
      <c r="F488"/>
      <c r="G488"/>
    </row>
    <row r="489" spans="6:7" ht="15" x14ac:dyDescent="0.25">
      <c r="F489"/>
      <c r="G489"/>
    </row>
    <row r="490" spans="6:7" ht="15" x14ac:dyDescent="0.25">
      <c r="F490"/>
      <c r="G490"/>
    </row>
    <row r="491" spans="6:7" ht="15" x14ac:dyDescent="0.25">
      <c r="F491"/>
      <c r="G491"/>
    </row>
    <row r="492" spans="6:7" ht="15" x14ac:dyDescent="0.25">
      <c r="F492"/>
      <c r="G492"/>
    </row>
    <row r="493" spans="6:7" ht="15" x14ac:dyDescent="0.25">
      <c r="F493"/>
      <c r="G493"/>
    </row>
    <row r="494" spans="6:7" ht="15" x14ac:dyDescent="0.25">
      <c r="F494"/>
      <c r="G494"/>
    </row>
    <row r="495" spans="6:7" ht="15" x14ac:dyDescent="0.25">
      <c r="F495"/>
      <c r="G495"/>
    </row>
    <row r="496" spans="6:7" ht="15" x14ac:dyDescent="0.25">
      <c r="F496"/>
      <c r="G496"/>
    </row>
    <row r="497" spans="6:7" ht="15" x14ac:dyDescent="0.25">
      <c r="F497"/>
      <c r="G497"/>
    </row>
    <row r="498" spans="6:7" ht="15" x14ac:dyDescent="0.25">
      <c r="F498"/>
      <c r="G498"/>
    </row>
    <row r="499" spans="6:7" ht="15" x14ac:dyDescent="0.25">
      <c r="F499"/>
      <c r="G499"/>
    </row>
    <row r="500" spans="6:7" ht="15" x14ac:dyDescent="0.25">
      <c r="F500"/>
      <c r="G500"/>
    </row>
    <row r="501" spans="6:7" ht="15" x14ac:dyDescent="0.25">
      <c r="F501"/>
      <c r="G501"/>
    </row>
    <row r="502" spans="6:7" ht="15" x14ac:dyDescent="0.25">
      <c r="F502"/>
      <c r="G502"/>
    </row>
    <row r="503" spans="6:7" ht="15" x14ac:dyDescent="0.25">
      <c r="F503"/>
      <c r="G503"/>
    </row>
    <row r="504" spans="6:7" ht="15" x14ac:dyDescent="0.25">
      <c r="F504"/>
      <c r="G504"/>
    </row>
    <row r="505" spans="6:7" ht="15" x14ac:dyDescent="0.25">
      <c r="F505"/>
      <c r="G505"/>
    </row>
    <row r="506" spans="6:7" ht="15" x14ac:dyDescent="0.25">
      <c r="F506"/>
      <c r="G506"/>
    </row>
    <row r="507" spans="6:7" ht="15" x14ac:dyDescent="0.25">
      <c r="F507"/>
      <c r="G507"/>
    </row>
    <row r="508" spans="6:7" ht="15" x14ac:dyDescent="0.25">
      <c r="F508"/>
      <c r="G508"/>
    </row>
    <row r="509" spans="6:7" ht="15" x14ac:dyDescent="0.25">
      <c r="F509"/>
      <c r="G509"/>
    </row>
    <row r="510" spans="6:7" ht="15" x14ac:dyDescent="0.25">
      <c r="F510"/>
      <c r="G510"/>
    </row>
    <row r="511" spans="6:7" ht="15" x14ac:dyDescent="0.25">
      <c r="F511"/>
      <c r="G511"/>
    </row>
    <row r="512" spans="6:7" ht="15" x14ac:dyDescent="0.25">
      <c r="F512"/>
      <c r="G512"/>
    </row>
    <row r="513" spans="6:7" ht="15" x14ac:dyDescent="0.25">
      <c r="F513"/>
      <c r="G513"/>
    </row>
    <row r="514" spans="6:7" ht="15" x14ac:dyDescent="0.25">
      <c r="F514"/>
      <c r="G514"/>
    </row>
    <row r="515" spans="6:7" ht="15" x14ac:dyDescent="0.25">
      <c r="F515"/>
      <c r="G515"/>
    </row>
    <row r="516" spans="6:7" ht="15" x14ac:dyDescent="0.25">
      <c r="F516"/>
      <c r="G516"/>
    </row>
    <row r="517" spans="6:7" ht="15" x14ac:dyDescent="0.25">
      <c r="F517"/>
      <c r="G517"/>
    </row>
    <row r="518" spans="6:7" ht="15" x14ac:dyDescent="0.25">
      <c r="F518"/>
      <c r="G518"/>
    </row>
    <row r="519" spans="6:7" ht="15" x14ac:dyDescent="0.25">
      <c r="F519"/>
      <c r="G519"/>
    </row>
    <row r="520" spans="6:7" ht="15" x14ac:dyDescent="0.25">
      <c r="F520"/>
      <c r="G520"/>
    </row>
    <row r="521" spans="6:7" ht="15" x14ac:dyDescent="0.25">
      <c r="F521"/>
      <c r="G521"/>
    </row>
    <row r="522" spans="6:7" ht="15" x14ac:dyDescent="0.25">
      <c r="F522"/>
      <c r="G522"/>
    </row>
    <row r="523" spans="6:7" ht="15" x14ac:dyDescent="0.25">
      <c r="F523"/>
      <c r="G523"/>
    </row>
    <row r="524" spans="6:7" ht="15" x14ac:dyDescent="0.25">
      <c r="F524"/>
      <c r="G524"/>
    </row>
    <row r="525" spans="6:7" ht="15" x14ac:dyDescent="0.25">
      <c r="F525"/>
      <c r="G525"/>
    </row>
    <row r="526" spans="6:7" ht="15" x14ac:dyDescent="0.25">
      <c r="F526"/>
      <c r="G526"/>
    </row>
    <row r="527" spans="6:7" ht="15" x14ac:dyDescent="0.25">
      <c r="F527"/>
      <c r="G527"/>
    </row>
    <row r="528" spans="6:7" ht="15" x14ac:dyDescent="0.25">
      <c r="F528"/>
      <c r="G528"/>
    </row>
    <row r="529" spans="6:7" ht="15" x14ac:dyDescent="0.25">
      <c r="F529"/>
      <c r="G529"/>
    </row>
    <row r="530" spans="6:7" ht="15" x14ac:dyDescent="0.25">
      <c r="F530"/>
      <c r="G530"/>
    </row>
    <row r="531" spans="6:7" ht="15" x14ac:dyDescent="0.25">
      <c r="F531"/>
      <c r="G531"/>
    </row>
    <row r="532" spans="6:7" ht="15" x14ac:dyDescent="0.25">
      <c r="F532"/>
      <c r="G532"/>
    </row>
    <row r="533" spans="6:7" ht="15" x14ac:dyDescent="0.25">
      <c r="F533"/>
      <c r="G533"/>
    </row>
    <row r="534" spans="6:7" ht="15" x14ac:dyDescent="0.25">
      <c r="F534"/>
      <c r="G534"/>
    </row>
    <row r="535" spans="6:7" ht="15" x14ac:dyDescent="0.25">
      <c r="F535"/>
      <c r="G535"/>
    </row>
    <row r="536" spans="6:7" ht="15" x14ac:dyDescent="0.25">
      <c r="F536"/>
      <c r="G536"/>
    </row>
    <row r="537" spans="6:7" ht="15" x14ac:dyDescent="0.25">
      <c r="F537"/>
      <c r="G537"/>
    </row>
    <row r="538" spans="6:7" ht="15" x14ac:dyDescent="0.25">
      <c r="F538"/>
      <c r="G538"/>
    </row>
    <row r="539" spans="6:7" ht="15" x14ac:dyDescent="0.25">
      <c r="F539"/>
      <c r="G539"/>
    </row>
    <row r="540" spans="6:7" ht="15" x14ac:dyDescent="0.25">
      <c r="F540"/>
      <c r="G540"/>
    </row>
    <row r="541" spans="6:7" ht="15" x14ac:dyDescent="0.25">
      <c r="F541"/>
      <c r="G541"/>
    </row>
    <row r="542" spans="6:7" ht="15" x14ac:dyDescent="0.25">
      <c r="F542"/>
      <c r="G542"/>
    </row>
    <row r="543" spans="6:7" ht="15" x14ac:dyDescent="0.25">
      <c r="F543"/>
      <c r="G543"/>
    </row>
    <row r="544" spans="6:7" ht="15" x14ac:dyDescent="0.25">
      <c r="F544"/>
      <c r="G544"/>
    </row>
    <row r="545" spans="6:7" ht="15" x14ac:dyDescent="0.25">
      <c r="F545"/>
      <c r="G545"/>
    </row>
    <row r="546" spans="6:7" ht="15" x14ac:dyDescent="0.25">
      <c r="F546"/>
      <c r="G546"/>
    </row>
    <row r="547" spans="6:7" ht="15" x14ac:dyDescent="0.25">
      <c r="F547"/>
      <c r="G547"/>
    </row>
    <row r="548" spans="6:7" ht="15" x14ac:dyDescent="0.25">
      <c r="F548"/>
      <c r="G548"/>
    </row>
    <row r="549" spans="6:7" ht="15" x14ac:dyDescent="0.25">
      <c r="F549"/>
      <c r="G549"/>
    </row>
  </sheetData>
  <customSheetViews>
    <customSheetView guid="{A6ED9047-BF5F-4715-989F-6B73F8A8D111}" state="hidden">
      <selection activeCell="L51" sqref="L5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678"/>
  <sheetViews>
    <sheetView workbookViewId="0">
      <selection activeCell="C39" sqref="C39"/>
    </sheetView>
  </sheetViews>
  <sheetFormatPr defaultColWidth="9.140625" defaultRowHeight="12.75" x14ac:dyDescent="0.2"/>
  <cols>
    <col min="1" max="1" width="4.5703125" style="144" customWidth="1"/>
    <col min="2" max="2" width="18.42578125" style="144" customWidth="1"/>
    <col min="3" max="3" width="16.85546875" style="144" bestFit="1" customWidth="1"/>
    <col min="4" max="4" width="14.140625" style="144" bestFit="1" customWidth="1"/>
    <col min="5" max="5" width="19" style="144" customWidth="1"/>
    <col min="6" max="16384" width="9.140625" style="144"/>
  </cols>
  <sheetData>
    <row r="1" spans="1:5" ht="15" x14ac:dyDescent="0.25">
      <c r="B1" s="198" t="s">
        <v>320</v>
      </c>
      <c r="C1" s="226">
        <f>IF('Калькулятор_от дохода'!$P$103="да",0,0.7%)</f>
        <v>0</v>
      </c>
      <c r="E1" s="144" t="s">
        <v>388</v>
      </c>
    </row>
    <row r="2" spans="1:5" ht="38.25" x14ac:dyDescent="0.2">
      <c r="B2" s="198" t="s">
        <v>321</v>
      </c>
      <c r="C2" s="254">
        <f>IF('Калькулятор_от дохода'!$P$37="да",0,0)</f>
        <v>0</v>
      </c>
      <c r="E2" s="279">
        <f>IF('Калькулятор_от дохода'!$P$44="да",0.5%,0)</f>
        <v>0</v>
      </c>
    </row>
    <row r="4" spans="1:5" ht="25.5" x14ac:dyDescent="0.2">
      <c r="B4" s="198" t="s">
        <v>322</v>
      </c>
      <c r="C4" s="198" t="s">
        <v>323</v>
      </c>
      <c r="D4" s="198" t="s">
        <v>324</v>
      </c>
      <c r="E4" s="198" t="s">
        <v>325</v>
      </c>
    </row>
    <row r="5" spans="1:5" x14ac:dyDescent="0.2">
      <c r="A5" s="144">
        <v>1</v>
      </c>
      <c r="B5" s="256">
        <v>42614</v>
      </c>
      <c r="C5" s="254">
        <v>5.2599999999999994E-2</v>
      </c>
      <c r="D5" s="254">
        <f>C5+4.9%</f>
        <v>0.1016</v>
      </c>
      <c r="E5" s="254">
        <f>D5+$C$1+$C$2+$E$2</f>
        <v>0.1016</v>
      </c>
    </row>
    <row r="6" spans="1:5" x14ac:dyDescent="0.2">
      <c r="A6" s="144">
        <v>2</v>
      </c>
      <c r="B6" s="256">
        <v>42644</v>
      </c>
      <c r="C6" s="254">
        <v>3.6499999999999998E-2</v>
      </c>
      <c r="D6" s="254">
        <f t="shared" ref="D6:D8" si="0">C6+4.9%</f>
        <v>8.5499999999999993E-2</v>
      </c>
      <c r="E6" s="254">
        <f t="shared" ref="E6:E69" si="1">D6+$C$1+$C$2+$E$2</f>
        <v>8.5499999999999993E-2</v>
      </c>
    </row>
    <row r="7" spans="1:5" x14ac:dyDescent="0.2">
      <c r="A7" s="144">
        <v>3</v>
      </c>
      <c r="B7" s="256">
        <v>42675</v>
      </c>
      <c r="C7" s="254">
        <v>3.6499999999999998E-2</v>
      </c>
      <c r="D7" s="254">
        <f t="shared" si="0"/>
        <v>8.5499999999999993E-2</v>
      </c>
      <c r="E7" s="254">
        <f t="shared" si="1"/>
        <v>8.5499999999999993E-2</v>
      </c>
    </row>
    <row r="8" spans="1:5" x14ac:dyDescent="0.2">
      <c r="A8" s="144">
        <v>4</v>
      </c>
      <c r="B8" s="256">
        <v>42705</v>
      </c>
      <c r="C8" s="254">
        <v>3.6499999999999998E-2</v>
      </c>
      <c r="D8" s="254">
        <f t="shared" si="0"/>
        <v>8.5499999999999993E-2</v>
      </c>
      <c r="E8" s="254">
        <f t="shared" si="1"/>
        <v>8.5499999999999993E-2</v>
      </c>
    </row>
    <row r="9" spans="1:5" x14ac:dyDescent="0.2">
      <c r="A9" s="144">
        <v>5</v>
      </c>
      <c r="B9" s="256">
        <v>42736</v>
      </c>
      <c r="C9" s="254">
        <v>4.1700000000000001E-2</v>
      </c>
      <c r="D9" s="254">
        <f>C9+5.9%</f>
        <v>0.10070000000000001</v>
      </c>
      <c r="E9" s="254">
        <f t="shared" si="1"/>
        <v>0.10070000000000001</v>
      </c>
    </row>
    <row r="10" spans="1:5" x14ac:dyDescent="0.2">
      <c r="A10" s="144">
        <v>6</v>
      </c>
      <c r="B10" s="256">
        <v>42767</v>
      </c>
      <c r="C10" s="254">
        <v>4.1700000000000001E-2</v>
      </c>
      <c r="D10" s="254">
        <f t="shared" ref="D10:D73" si="2">C10+5.9%</f>
        <v>0.10070000000000001</v>
      </c>
      <c r="E10" s="254">
        <f t="shared" si="1"/>
        <v>0.10070000000000001</v>
      </c>
    </row>
    <row r="11" spans="1:5" x14ac:dyDescent="0.2">
      <c r="A11" s="144">
        <v>7</v>
      </c>
      <c r="B11" s="256">
        <v>42795</v>
      </c>
      <c r="C11" s="254">
        <v>4.1700000000000001E-2</v>
      </c>
      <c r="D11" s="254">
        <f t="shared" si="2"/>
        <v>0.10070000000000001</v>
      </c>
      <c r="E11" s="254">
        <f t="shared" si="1"/>
        <v>0.10070000000000001</v>
      </c>
    </row>
    <row r="12" spans="1:5" x14ac:dyDescent="0.2">
      <c r="A12" s="144">
        <v>8</v>
      </c>
      <c r="B12" s="256">
        <v>42826</v>
      </c>
      <c r="C12" s="254">
        <v>4.9799999999999997E-2</v>
      </c>
      <c r="D12" s="254">
        <f t="shared" si="2"/>
        <v>0.10880000000000001</v>
      </c>
      <c r="E12" s="254">
        <f t="shared" si="1"/>
        <v>0.10880000000000001</v>
      </c>
    </row>
    <row r="13" spans="1:5" x14ac:dyDescent="0.2">
      <c r="A13" s="144">
        <v>9</v>
      </c>
      <c r="B13" s="256">
        <v>42856</v>
      </c>
      <c r="C13" s="254">
        <v>4.9799999999999997E-2</v>
      </c>
      <c r="D13" s="254">
        <f t="shared" si="2"/>
        <v>0.10880000000000001</v>
      </c>
      <c r="E13" s="254">
        <f t="shared" si="1"/>
        <v>0.10880000000000001</v>
      </c>
    </row>
    <row r="14" spans="1:5" x14ac:dyDescent="0.2">
      <c r="A14" s="144">
        <v>10</v>
      </c>
      <c r="B14" s="256">
        <v>42887</v>
      </c>
      <c r="C14" s="254">
        <v>4.9799999999999997E-2</v>
      </c>
      <c r="D14" s="254">
        <f t="shared" si="2"/>
        <v>0.10880000000000001</v>
      </c>
      <c r="E14" s="254">
        <f t="shared" si="1"/>
        <v>0.10880000000000001</v>
      </c>
    </row>
    <row r="15" spans="1:5" x14ac:dyDescent="0.2">
      <c r="A15" s="144">
        <v>11</v>
      </c>
      <c r="B15" s="256">
        <v>42917</v>
      </c>
      <c r="C15" s="254">
        <v>3.3300000000000003E-2</v>
      </c>
      <c r="D15" s="254">
        <f t="shared" si="2"/>
        <v>9.2300000000000007E-2</v>
      </c>
      <c r="E15" s="254">
        <f t="shared" si="1"/>
        <v>9.2300000000000007E-2</v>
      </c>
    </row>
    <row r="16" spans="1:5" x14ac:dyDescent="0.2">
      <c r="A16" s="144">
        <v>12</v>
      </c>
      <c r="B16" s="256">
        <v>42948</v>
      </c>
      <c r="C16" s="254">
        <v>3.3300000000000003E-2</v>
      </c>
      <c r="D16" s="254">
        <f t="shared" si="2"/>
        <v>9.2300000000000007E-2</v>
      </c>
      <c r="E16" s="254">
        <f t="shared" si="1"/>
        <v>9.2300000000000007E-2</v>
      </c>
    </row>
    <row r="17" spans="1:5" x14ac:dyDescent="0.2">
      <c r="A17" s="144">
        <v>13</v>
      </c>
      <c r="B17" s="256">
        <v>42979</v>
      </c>
      <c r="C17" s="254">
        <v>3.3300000000000003E-2</v>
      </c>
      <c r="D17" s="254">
        <f t="shared" si="2"/>
        <v>9.2300000000000007E-2</v>
      </c>
      <c r="E17" s="254">
        <f t="shared" si="1"/>
        <v>9.2300000000000007E-2</v>
      </c>
    </row>
    <row r="18" spans="1:5" x14ac:dyDescent="0.2">
      <c r="A18" s="144">
        <v>14</v>
      </c>
      <c r="B18" s="256">
        <v>43009</v>
      </c>
      <c r="C18" s="254">
        <v>5.4999999999999997E-3</v>
      </c>
      <c r="D18" s="254">
        <f t="shared" si="2"/>
        <v>6.4500000000000002E-2</v>
      </c>
      <c r="E18" s="254">
        <f t="shared" si="1"/>
        <v>6.4500000000000002E-2</v>
      </c>
    </row>
    <row r="19" spans="1:5" x14ac:dyDescent="0.2">
      <c r="A19" s="144">
        <v>15</v>
      </c>
      <c r="B19" s="256">
        <v>43040</v>
      </c>
      <c r="C19" s="254">
        <v>5.4999999999999997E-3</v>
      </c>
      <c r="D19" s="254">
        <f t="shared" si="2"/>
        <v>6.4500000000000002E-2</v>
      </c>
      <c r="E19" s="254">
        <f t="shared" si="1"/>
        <v>6.4500000000000002E-2</v>
      </c>
    </row>
    <row r="20" spans="1:5" x14ac:dyDescent="0.2">
      <c r="A20" s="144">
        <v>16</v>
      </c>
      <c r="B20" s="256">
        <v>43070</v>
      </c>
      <c r="C20" s="254">
        <v>5.4999999999999997E-3</v>
      </c>
      <c r="D20" s="254">
        <f t="shared" si="2"/>
        <v>6.4500000000000002E-2</v>
      </c>
      <c r="E20" s="254">
        <f t="shared" si="1"/>
        <v>6.4500000000000002E-2</v>
      </c>
    </row>
    <row r="21" spans="1:5" x14ac:dyDescent="0.2">
      <c r="A21" s="144">
        <v>17</v>
      </c>
      <c r="B21" s="256">
        <v>43101</v>
      </c>
      <c r="C21" s="254">
        <v>1.0800000000000001E-2</v>
      </c>
      <c r="D21" s="254">
        <f t="shared" si="2"/>
        <v>6.9800000000000001E-2</v>
      </c>
      <c r="E21" s="254">
        <f t="shared" si="1"/>
        <v>6.9800000000000001E-2</v>
      </c>
    </row>
    <row r="22" spans="1:5" x14ac:dyDescent="0.2">
      <c r="A22" s="144">
        <v>18</v>
      </c>
      <c r="B22" s="256">
        <v>43132</v>
      </c>
      <c r="C22" s="254">
        <v>1.0800000000000001E-2</v>
      </c>
      <c r="D22" s="254">
        <f t="shared" si="2"/>
        <v>6.9800000000000001E-2</v>
      </c>
      <c r="E22" s="254">
        <f t="shared" si="1"/>
        <v>6.9800000000000001E-2</v>
      </c>
    </row>
    <row r="23" spans="1:5" x14ac:dyDescent="0.2">
      <c r="A23" s="144">
        <v>19</v>
      </c>
      <c r="B23" s="256">
        <v>43160</v>
      </c>
      <c r="C23" s="254">
        <v>1.0800000000000001E-2</v>
      </c>
      <c r="D23" s="254">
        <f t="shared" si="2"/>
        <v>6.9800000000000001E-2</v>
      </c>
      <c r="E23" s="254">
        <f t="shared" si="1"/>
        <v>6.9800000000000001E-2</v>
      </c>
    </row>
    <row r="24" spans="1:5" x14ac:dyDescent="0.2">
      <c r="A24" s="144">
        <v>20</v>
      </c>
      <c r="B24" s="256">
        <v>43191</v>
      </c>
      <c r="C24" s="254">
        <v>3.7699999999999997E-2</v>
      </c>
      <c r="D24" s="254">
        <f t="shared" si="2"/>
        <v>9.6700000000000008E-2</v>
      </c>
      <c r="E24" s="254">
        <f t="shared" si="1"/>
        <v>9.6700000000000008E-2</v>
      </c>
    </row>
    <row r="25" spans="1:5" x14ac:dyDescent="0.2">
      <c r="A25" s="144">
        <v>21</v>
      </c>
      <c r="B25" s="256">
        <v>43221</v>
      </c>
      <c r="C25" s="254">
        <v>3.7699999999999997E-2</v>
      </c>
      <c r="D25" s="254">
        <f t="shared" si="2"/>
        <v>9.6700000000000008E-2</v>
      </c>
      <c r="E25" s="254">
        <f t="shared" si="1"/>
        <v>9.6700000000000008E-2</v>
      </c>
    </row>
    <row r="26" spans="1:5" x14ac:dyDescent="0.2">
      <c r="A26" s="144">
        <v>22</v>
      </c>
      <c r="B26" s="256">
        <v>43252</v>
      </c>
      <c r="C26" s="254">
        <v>3.7699999999999997E-2</v>
      </c>
      <c r="D26" s="254">
        <f t="shared" si="2"/>
        <v>9.6700000000000008E-2</v>
      </c>
      <c r="E26" s="254">
        <f t="shared" si="1"/>
        <v>9.6700000000000008E-2</v>
      </c>
    </row>
    <row r="27" spans="1:5" x14ac:dyDescent="0.2">
      <c r="A27" s="144">
        <v>23</v>
      </c>
      <c r="B27" s="256">
        <v>43282</v>
      </c>
      <c r="C27" s="254">
        <v>4.2099999999999999E-2</v>
      </c>
      <c r="D27" s="254">
        <f t="shared" si="2"/>
        <v>0.1011</v>
      </c>
      <c r="E27" s="254">
        <f t="shared" si="1"/>
        <v>0.1011</v>
      </c>
    </row>
    <row r="28" spans="1:5" x14ac:dyDescent="0.2">
      <c r="A28" s="144">
        <v>24</v>
      </c>
      <c r="B28" s="256">
        <v>43313</v>
      </c>
      <c r="C28" s="254">
        <v>4.2099999999999999E-2</v>
      </c>
      <c r="D28" s="254">
        <f t="shared" si="2"/>
        <v>0.1011</v>
      </c>
      <c r="E28" s="254">
        <f t="shared" si="1"/>
        <v>0.1011</v>
      </c>
    </row>
    <row r="29" spans="1:5" x14ac:dyDescent="0.2">
      <c r="A29" s="144">
        <v>25</v>
      </c>
      <c r="B29" s="256">
        <v>43344</v>
      </c>
      <c r="C29" s="254">
        <v>4.2099999999999999E-2</v>
      </c>
      <c r="D29" s="254">
        <f t="shared" si="2"/>
        <v>0.1011</v>
      </c>
      <c r="E29" s="254">
        <f t="shared" si="1"/>
        <v>0.1011</v>
      </c>
    </row>
    <row r="30" spans="1:5" x14ac:dyDescent="0.2">
      <c r="A30" s="144">
        <v>26</v>
      </c>
      <c r="B30" s="256">
        <v>43374</v>
      </c>
      <c r="C30" s="254">
        <v>3.09E-2</v>
      </c>
      <c r="D30" s="254">
        <f t="shared" si="2"/>
        <v>8.9900000000000008E-2</v>
      </c>
      <c r="E30" s="254">
        <f t="shared" si="1"/>
        <v>8.9900000000000008E-2</v>
      </c>
    </row>
    <row r="31" spans="1:5" x14ac:dyDescent="0.2">
      <c r="A31" s="144">
        <v>27</v>
      </c>
      <c r="B31" s="256">
        <v>43405</v>
      </c>
      <c r="C31" s="254">
        <v>3.09E-2</v>
      </c>
      <c r="D31" s="254">
        <f t="shared" si="2"/>
        <v>8.9900000000000008E-2</v>
      </c>
      <c r="E31" s="254">
        <f t="shared" si="1"/>
        <v>8.9900000000000008E-2</v>
      </c>
    </row>
    <row r="32" spans="1:5" x14ac:dyDescent="0.2">
      <c r="A32" s="144">
        <v>28</v>
      </c>
      <c r="B32" s="256">
        <v>43435</v>
      </c>
      <c r="C32" s="254">
        <v>3.09E-2</v>
      </c>
      <c r="D32" s="254">
        <f t="shared" si="2"/>
        <v>8.9900000000000008E-2</v>
      </c>
      <c r="E32" s="254">
        <f t="shared" si="1"/>
        <v>8.9900000000000008E-2</v>
      </c>
    </row>
    <row r="33" spans="1:5" x14ac:dyDescent="0.2">
      <c r="A33" s="144">
        <v>29</v>
      </c>
      <c r="B33" s="256">
        <v>43466</v>
      </c>
      <c r="C33" s="254">
        <v>4.0500000000000001E-2</v>
      </c>
      <c r="D33" s="254">
        <f t="shared" si="2"/>
        <v>9.9500000000000005E-2</v>
      </c>
      <c r="E33" s="254">
        <f t="shared" si="1"/>
        <v>9.9500000000000005E-2</v>
      </c>
    </row>
    <row r="34" spans="1:5" x14ac:dyDescent="0.2">
      <c r="A34" s="144">
        <v>30</v>
      </c>
      <c r="B34" s="256">
        <v>43497</v>
      </c>
      <c r="C34" s="254">
        <v>4.0500000000000001E-2</v>
      </c>
      <c r="D34" s="254">
        <f t="shared" si="2"/>
        <v>9.9500000000000005E-2</v>
      </c>
      <c r="E34" s="254">
        <f t="shared" si="1"/>
        <v>9.9500000000000005E-2</v>
      </c>
    </row>
    <row r="35" spans="1:5" x14ac:dyDescent="0.2">
      <c r="A35" s="144">
        <v>31</v>
      </c>
      <c r="B35" s="256">
        <v>43525</v>
      </c>
      <c r="C35" s="254">
        <v>4.0500000000000001E-2</v>
      </c>
      <c r="D35" s="254">
        <f t="shared" si="2"/>
        <v>9.9500000000000005E-2</v>
      </c>
      <c r="E35" s="254">
        <f t="shared" si="1"/>
        <v>9.9500000000000005E-2</v>
      </c>
    </row>
    <row r="36" spans="1:5" x14ac:dyDescent="0.2">
      <c r="A36" s="144">
        <v>32</v>
      </c>
      <c r="B36" s="256">
        <v>43556</v>
      </c>
      <c r="C36" s="254">
        <v>9.2299999999999993E-2</v>
      </c>
      <c r="D36" s="254">
        <f t="shared" si="2"/>
        <v>0.15129999999999999</v>
      </c>
      <c r="E36" s="254">
        <f t="shared" si="1"/>
        <v>0.15129999999999999</v>
      </c>
    </row>
    <row r="37" spans="1:5" x14ac:dyDescent="0.2">
      <c r="A37" s="144">
        <v>33</v>
      </c>
      <c r="B37" s="256">
        <v>43586</v>
      </c>
      <c r="C37" s="254">
        <v>9.2299999999999993E-2</v>
      </c>
      <c r="D37" s="254">
        <f t="shared" si="2"/>
        <v>0.15129999999999999</v>
      </c>
      <c r="E37" s="254">
        <f t="shared" si="1"/>
        <v>0.15129999999999999</v>
      </c>
    </row>
    <row r="38" spans="1:5" x14ac:dyDescent="0.2">
      <c r="A38" s="144">
        <v>34</v>
      </c>
      <c r="B38" s="256">
        <v>43617</v>
      </c>
      <c r="C38" s="254">
        <v>9.2299999999999993E-2</v>
      </c>
      <c r="D38" s="254">
        <f t="shared" si="2"/>
        <v>0.15129999999999999</v>
      </c>
      <c r="E38" s="254">
        <f t="shared" si="1"/>
        <v>0.15129999999999999</v>
      </c>
    </row>
    <row r="39" spans="1:5" x14ac:dyDescent="0.2">
      <c r="A39" s="144">
        <v>35</v>
      </c>
      <c r="B39" s="256">
        <v>43647</v>
      </c>
      <c r="C39" s="254">
        <v>4.0899999999999999E-2</v>
      </c>
      <c r="D39" s="254">
        <f t="shared" si="2"/>
        <v>9.9900000000000003E-2</v>
      </c>
      <c r="E39" s="254">
        <f t="shared" si="1"/>
        <v>9.9900000000000003E-2</v>
      </c>
    </row>
    <row r="40" spans="1:5" x14ac:dyDescent="0.2">
      <c r="A40" s="144">
        <v>36</v>
      </c>
      <c r="B40" s="256">
        <v>43678</v>
      </c>
      <c r="C40" s="254">
        <v>4.0899999999999999E-2</v>
      </c>
      <c r="D40" s="254">
        <f t="shared" si="2"/>
        <v>9.9900000000000003E-2</v>
      </c>
      <c r="E40" s="254">
        <f t="shared" si="1"/>
        <v>9.9900000000000003E-2</v>
      </c>
    </row>
    <row r="41" spans="1:5" x14ac:dyDescent="0.2">
      <c r="A41" s="144">
        <v>37</v>
      </c>
      <c r="B41" s="256">
        <v>43709</v>
      </c>
      <c r="C41" s="254">
        <v>4.0899999999999999E-2</v>
      </c>
      <c r="D41" s="254">
        <f t="shared" si="2"/>
        <v>9.9900000000000003E-2</v>
      </c>
      <c r="E41" s="254">
        <f t="shared" si="1"/>
        <v>9.9900000000000003E-2</v>
      </c>
    </row>
    <row r="42" spans="1:5" x14ac:dyDescent="0.2">
      <c r="A42" s="144">
        <v>38</v>
      </c>
      <c r="B42" s="256">
        <v>43739</v>
      </c>
      <c r="C42" s="254">
        <v>4.0899999999999999E-2</v>
      </c>
      <c r="D42" s="254">
        <f t="shared" si="2"/>
        <v>9.9900000000000003E-2</v>
      </c>
      <c r="E42" s="254">
        <f t="shared" si="1"/>
        <v>9.9900000000000003E-2</v>
      </c>
    </row>
    <row r="43" spans="1:5" x14ac:dyDescent="0.2">
      <c r="A43" s="144">
        <v>39</v>
      </c>
      <c r="B43" s="256">
        <v>43770</v>
      </c>
      <c r="C43" s="254">
        <v>4.0899999999999999E-2</v>
      </c>
      <c r="D43" s="254">
        <f t="shared" si="2"/>
        <v>9.9900000000000003E-2</v>
      </c>
      <c r="E43" s="254">
        <f t="shared" si="1"/>
        <v>9.9900000000000003E-2</v>
      </c>
    </row>
    <row r="44" spans="1:5" x14ac:dyDescent="0.2">
      <c r="A44" s="144">
        <v>40</v>
      </c>
      <c r="B44" s="256">
        <v>43800</v>
      </c>
      <c r="C44" s="254">
        <v>4.0899999999999999E-2</v>
      </c>
      <c r="D44" s="254">
        <f t="shared" si="2"/>
        <v>9.9900000000000003E-2</v>
      </c>
      <c r="E44" s="254">
        <f t="shared" si="1"/>
        <v>9.9900000000000003E-2</v>
      </c>
    </row>
    <row r="45" spans="1:5" x14ac:dyDescent="0.2">
      <c r="A45" s="144">
        <v>41</v>
      </c>
      <c r="B45" s="256">
        <v>43831</v>
      </c>
      <c r="C45" s="254">
        <v>3.9999999999999994E-2</v>
      </c>
      <c r="D45" s="254">
        <f t="shared" si="2"/>
        <v>9.9000000000000005E-2</v>
      </c>
      <c r="E45" s="254">
        <f t="shared" si="1"/>
        <v>9.9000000000000005E-2</v>
      </c>
    </row>
    <row r="46" spans="1:5" x14ac:dyDescent="0.2">
      <c r="A46" s="144">
        <v>42</v>
      </c>
      <c r="B46" s="256">
        <v>43862</v>
      </c>
      <c r="C46" s="254">
        <v>3.9999999999999994E-2</v>
      </c>
      <c r="D46" s="254">
        <f t="shared" si="2"/>
        <v>9.9000000000000005E-2</v>
      </c>
      <c r="E46" s="254">
        <f t="shared" si="1"/>
        <v>9.9000000000000005E-2</v>
      </c>
    </row>
    <row r="47" spans="1:5" x14ac:dyDescent="0.2">
      <c r="A47" s="144">
        <v>43</v>
      </c>
      <c r="B47" s="256">
        <v>43891</v>
      </c>
      <c r="C47" s="254">
        <v>3.9999999999999994E-2</v>
      </c>
      <c r="D47" s="254">
        <f t="shared" si="2"/>
        <v>9.9000000000000005E-2</v>
      </c>
      <c r="E47" s="254">
        <f t="shared" si="1"/>
        <v>9.9000000000000005E-2</v>
      </c>
    </row>
    <row r="48" spans="1:5" x14ac:dyDescent="0.2">
      <c r="A48" s="144">
        <v>44</v>
      </c>
      <c r="B48" s="256">
        <v>43922</v>
      </c>
      <c r="C48" s="254">
        <v>3.9999999999999994E-2</v>
      </c>
      <c r="D48" s="254">
        <f t="shared" si="2"/>
        <v>9.9000000000000005E-2</v>
      </c>
      <c r="E48" s="254">
        <f t="shared" si="1"/>
        <v>9.9000000000000005E-2</v>
      </c>
    </row>
    <row r="49" spans="1:5" x14ac:dyDescent="0.2">
      <c r="A49" s="144">
        <v>45</v>
      </c>
      <c r="B49" s="256">
        <v>43952</v>
      </c>
      <c r="C49" s="254">
        <v>3.9999999999999994E-2</v>
      </c>
      <c r="D49" s="254">
        <f t="shared" si="2"/>
        <v>9.9000000000000005E-2</v>
      </c>
      <c r="E49" s="254">
        <f t="shared" si="1"/>
        <v>9.9000000000000005E-2</v>
      </c>
    </row>
    <row r="50" spans="1:5" x14ac:dyDescent="0.2">
      <c r="A50" s="144">
        <v>46</v>
      </c>
      <c r="B50" s="256">
        <v>43983</v>
      </c>
      <c r="C50" s="254">
        <v>3.9999999999999994E-2</v>
      </c>
      <c r="D50" s="254">
        <f t="shared" si="2"/>
        <v>9.9000000000000005E-2</v>
      </c>
      <c r="E50" s="254">
        <f t="shared" si="1"/>
        <v>9.9000000000000005E-2</v>
      </c>
    </row>
    <row r="51" spans="1:5" x14ac:dyDescent="0.2">
      <c r="A51" s="144">
        <v>47</v>
      </c>
      <c r="B51" s="256">
        <v>44013</v>
      </c>
      <c r="C51" s="254">
        <v>3.9999999999999994E-2</v>
      </c>
      <c r="D51" s="254">
        <f t="shared" si="2"/>
        <v>9.9000000000000005E-2</v>
      </c>
      <c r="E51" s="254">
        <f t="shared" si="1"/>
        <v>9.9000000000000005E-2</v>
      </c>
    </row>
    <row r="52" spans="1:5" x14ac:dyDescent="0.2">
      <c r="A52" s="144">
        <v>48</v>
      </c>
      <c r="B52" s="256">
        <v>44044</v>
      </c>
      <c r="C52" s="254">
        <v>3.9999999999999994E-2</v>
      </c>
      <c r="D52" s="254">
        <f t="shared" si="2"/>
        <v>9.9000000000000005E-2</v>
      </c>
      <c r="E52" s="254">
        <f t="shared" si="1"/>
        <v>9.9000000000000005E-2</v>
      </c>
    </row>
    <row r="53" spans="1:5" x14ac:dyDescent="0.2">
      <c r="A53" s="144">
        <v>49</v>
      </c>
      <c r="B53" s="256">
        <v>44075</v>
      </c>
      <c r="C53" s="254">
        <v>3.9999999999999994E-2</v>
      </c>
      <c r="D53" s="254">
        <f t="shared" si="2"/>
        <v>9.9000000000000005E-2</v>
      </c>
      <c r="E53" s="254">
        <f t="shared" si="1"/>
        <v>9.9000000000000005E-2</v>
      </c>
    </row>
    <row r="54" spans="1:5" x14ac:dyDescent="0.2">
      <c r="A54" s="144">
        <v>50</v>
      </c>
      <c r="B54" s="256">
        <v>44105</v>
      </c>
      <c r="C54" s="254">
        <v>3.9999999999999994E-2</v>
      </c>
      <c r="D54" s="254">
        <f t="shared" si="2"/>
        <v>9.9000000000000005E-2</v>
      </c>
      <c r="E54" s="254">
        <f t="shared" si="1"/>
        <v>9.9000000000000005E-2</v>
      </c>
    </row>
    <row r="55" spans="1:5" x14ac:dyDescent="0.2">
      <c r="A55" s="144">
        <v>51</v>
      </c>
      <c r="B55" s="256">
        <v>44136</v>
      </c>
      <c r="C55" s="254">
        <v>3.9999999999999994E-2</v>
      </c>
      <c r="D55" s="254">
        <f t="shared" si="2"/>
        <v>9.9000000000000005E-2</v>
      </c>
      <c r="E55" s="254">
        <f t="shared" si="1"/>
        <v>9.9000000000000005E-2</v>
      </c>
    </row>
    <row r="56" spans="1:5" x14ac:dyDescent="0.2">
      <c r="A56" s="144">
        <v>52</v>
      </c>
      <c r="B56" s="256">
        <v>44166</v>
      </c>
      <c r="C56" s="254">
        <v>3.9999999999999994E-2</v>
      </c>
      <c r="D56" s="254">
        <f t="shared" si="2"/>
        <v>9.9000000000000005E-2</v>
      </c>
      <c r="E56" s="254">
        <f t="shared" si="1"/>
        <v>9.9000000000000005E-2</v>
      </c>
    </row>
    <row r="57" spans="1:5" x14ac:dyDescent="0.2">
      <c r="A57" s="144">
        <v>53</v>
      </c>
      <c r="B57" s="256">
        <v>44197</v>
      </c>
      <c r="C57" s="254">
        <v>3.9999999999999994E-2</v>
      </c>
      <c r="D57" s="254">
        <f t="shared" si="2"/>
        <v>9.9000000000000005E-2</v>
      </c>
      <c r="E57" s="254">
        <f t="shared" si="1"/>
        <v>9.9000000000000005E-2</v>
      </c>
    </row>
    <row r="58" spans="1:5" x14ac:dyDescent="0.2">
      <c r="A58" s="144">
        <v>54</v>
      </c>
      <c r="B58" s="256">
        <v>44228</v>
      </c>
      <c r="C58" s="254">
        <v>3.9999999999999994E-2</v>
      </c>
      <c r="D58" s="254">
        <f t="shared" si="2"/>
        <v>9.9000000000000005E-2</v>
      </c>
      <c r="E58" s="254">
        <f t="shared" si="1"/>
        <v>9.9000000000000005E-2</v>
      </c>
    </row>
    <row r="59" spans="1:5" x14ac:dyDescent="0.2">
      <c r="A59" s="144">
        <v>55</v>
      </c>
      <c r="B59" s="256">
        <v>44256</v>
      </c>
      <c r="C59" s="254">
        <v>3.9999999999999994E-2</v>
      </c>
      <c r="D59" s="254">
        <f t="shared" si="2"/>
        <v>9.9000000000000005E-2</v>
      </c>
      <c r="E59" s="254">
        <f t="shared" si="1"/>
        <v>9.9000000000000005E-2</v>
      </c>
    </row>
    <row r="60" spans="1:5" x14ac:dyDescent="0.2">
      <c r="A60" s="144">
        <v>56</v>
      </c>
      <c r="B60" s="256">
        <v>44287</v>
      </c>
      <c r="C60" s="254">
        <v>3.9999999999999994E-2</v>
      </c>
      <c r="D60" s="254">
        <f t="shared" si="2"/>
        <v>9.9000000000000005E-2</v>
      </c>
      <c r="E60" s="254">
        <f t="shared" si="1"/>
        <v>9.9000000000000005E-2</v>
      </c>
    </row>
    <row r="61" spans="1:5" x14ac:dyDescent="0.2">
      <c r="A61" s="144">
        <v>57</v>
      </c>
      <c r="B61" s="256">
        <v>44317</v>
      </c>
      <c r="C61" s="254">
        <v>3.9999999999999994E-2</v>
      </c>
      <c r="D61" s="254">
        <f t="shared" si="2"/>
        <v>9.9000000000000005E-2</v>
      </c>
      <c r="E61" s="254">
        <f t="shared" si="1"/>
        <v>9.9000000000000005E-2</v>
      </c>
    </row>
    <row r="62" spans="1:5" x14ac:dyDescent="0.2">
      <c r="A62" s="144">
        <v>58</v>
      </c>
      <c r="B62" s="256">
        <v>44348</v>
      </c>
      <c r="C62" s="254">
        <v>3.9999999999999994E-2</v>
      </c>
      <c r="D62" s="254">
        <f t="shared" si="2"/>
        <v>9.9000000000000005E-2</v>
      </c>
      <c r="E62" s="254">
        <f t="shared" si="1"/>
        <v>9.9000000000000005E-2</v>
      </c>
    </row>
    <row r="63" spans="1:5" x14ac:dyDescent="0.2">
      <c r="A63" s="144">
        <v>59</v>
      </c>
      <c r="B63" s="256">
        <v>44378</v>
      </c>
      <c r="C63" s="254">
        <v>3.9999999999999994E-2</v>
      </c>
      <c r="D63" s="254">
        <f t="shared" si="2"/>
        <v>9.9000000000000005E-2</v>
      </c>
      <c r="E63" s="254">
        <f t="shared" si="1"/>
        <v>9.9000000000000005E-2</v>
      </c>
    </row>
    <row r="64" spans="1:5" x14ac:dyDescent="0.2">
      <c r="A64" s="144">
        <v>60</v>
      </c>
      <c r="B64" s="256">
        <v>44409</v>
      </c>
      <c r="C64" s="254">
        <v>3.9999999999999994E-2</v>
      </c>
      <c r="D64" s="254">
        <f t="shared" si="2"/>
        <v>9.9000000000000005E-2</v>
      </c>
      <c r="E64" s="254">
        <f t="shared" si="1"/>
        <v>9.9000000000000005E-2</v>
      </c>
    </row>
    <row r="65" spans="1:5" x14ac:dyDescent="0.2">
      <c r="A65" s="144">
        <v>61</v>
      </c>
      <c r="B65" s="256">
        <v>44440</v>
      </c>
      <c r="C65" s="254">
        <v>3.9999999999999994E-2</v>
      </c>
      <c r="D65" s="254">
        <f t="shared" si="2"/>
        <v>9.9000000000000005E-2</v>
      </c>
      <c r="E65" s="254">
        <f t="shared" si="1"/>
        <v>9.9000000000000005E-2</v>
      </c>
    </row>
    <row r="66" spans="1:5" x14ac:dyDescent="0.2">
      <c r="A66" s="144">
        <v>62</v>
      </c>
      <c r="B66" s="256">
        <v>44470</v>
      </c>
      <c r="C66" s="254">
        <v>3.9999999999999994E-2</v>
      </c>
      <c r="D66" s="254">
        <f t="shared" si="2"/>
        <v>9.9000000000000005E-2</v>
      </c>
      <c r="E66" s="254">
        <f t="shared" si="1"/>
        <v>9.9000000000000005E-2</v>
      </c>
    </row>
    <row r="67" spans="1:5" x14ac:dyDescent="0.2">
      <c r="A67" s="144">
        <v>63</v>
      </c>
      <c r="B67" s="256">
        <v>44501</v>
      </c>
      <c r="C67" s="254">
        <v>3.9999999999999994E-2</v>
      </c>
      <c r="D67" s="254">
        <f t="shared" si="2"/>
        <v>9.9000000000000005E-2</v>
      </c>
      <c r="E67" s="254">
        <f t="shared" si="1"/>
        <v>9.9000000000000005E-2</v>
      </c>
    </row>
    <row r="68" spans="1:5" x14ac:dyDescent="0.2">
      <c r="A68" s="144">
        <v>64</v>
      </c>
      <c r="B68" s="256">
        <v>44531</v>
      </c>
      <c r="C68" s="254">
        <v>3.9999999999999994E-2</v>
      </c>
      <c r="D68" s="254">
        <f t="shared" si="2"/>
        <v>9.9000000000000005E-2</v>
      </c>
      <c r="E68" s="254">
        <f t="shared" si="1"/>
        <v>9.9000000000000005E-2</v>
      </c>
    </row>
    <row r="69" spans="1:5" x14ac:dyDescent="0.2">
      <c r="A69" s="144">
        <v>65</v>
      </c>
      <c r="B69" s="256">
        <v>44562</v>
      </c>
      <c r="C69" s="254">
        <v>3.9999999999999994E-2</v>
      </c>
      <c r="D69" s="254">
        <f t="shared" si="2"/>
        <v>9.9000000000000005E-2</v>
      </c>
      <c r="E69" s="254">
        <f t="shared" si="1"/>
        <v>9.9000000000000005E-2</v>
      </c>
    </row>
    <row r="70" spans="1:5" x14ac:dyDescent="0.2">
      <c r="A70" s="144">
        <v>66</v>
      </c>
      <c r="B70" s="256">
        <v>44593</v>
      </c>
      <c r="C70" s="254">
        <v>3.9999999999999994E-2</v>
      </c>
      <c r="D70" s="254">
        <f t="shared" si="2"/>
        <v>9.9000000000000005E-2</v>
      </c>
      <c r="E70" s="254">
        <f t="shared" ref="E70:E133" si="3">D70+$C$1+$C$2+$E$2</f>
        <v>9.9000000000000005E-2</v>
      </c>
    </row>
    <row r="71" spans="1:5" x14ac:dyDescent="0.2">
      <c r="A71" s="144">
        <v>67</v>
      </c>
      <c r="B71" s="256">
        <v>44621</v>
      </c>
      <c r="C71" s="254">
        <v>3.9999999999999994E-2</v>
      </c>
      <c r="D71" s="254">
        <f t="shared" si="2"/>
        <v>9.9000000000000005E-2</v>
      </c>
      <c r="E71" s="254">
        <f t="shared" si="3"/>
        <v>9.9000000000000005E-2</v>
      </c>
    </row>
    <row r="72" spans="1:5" x14ac:dyDescent="0.2">
      <c r="A72" s="144">
        <v>68</v>
      </c>
      <c r="B72" s="256">
        <v>44652</v>
      </c>
      <c r="C72" s="254">
        <v>3.9999999999999994E-2</v>
      </c>
      <c r="D72" s="254">
        <f t="shared" si="2"/>
        <v>9.9000000000000005E-2</v>
      </c>
      <c r="E72" s="254">
        <f t="shared" si="3"/>
        <v>9.9000000000000005E-2</v>
      </c>
    </row>
    <row r="73" spans="1:5" x14ac:dyDescent="0.2">
      <c r="A73" s="144">
        <v>69</v>
      </c>
      <c r="B73" s="256">
        <v>44682</v>
      </c>
      <c r="C73" s="254">
        <v>3.9999999999999994E-2</v>
      </c>
      <c r="D73" s="254">
        <f t="shared" si="2"/>
        <v>9.9000000000000005E-2</v>
      </c>
      <c r="E73" s="254">
        <f t="shared" si="3"/>
        <v>9.9000000000000005E-2</v>
      </c>
    </row>
    <row r="74" spans="1:5" x14ac:dyDescent="0.2">
      <c r="A74" s="144">
        <v>70</v>
      </c>
      <c r="B74" s="256">
        <v>44713</v>
      </c>
      <c r="C74" s="254">
        <v>3.9999999999999994E-2</v>
      </c>
      <c r="D74" s="254">
        <f t="shared" ref="D74:D137" si="4">C74+5.9%</f>
        <v>9.9000000000000005E-2</v>
      </c>
      <c r="E74" s="254">
        <f t="shared" si="3"/>
        <v>9.9000000000000005E-2</v>
      </c>
    </row>
    <row r="75" spans="1:5" x14ac:dyDescent="0.2">
      <c r="A75" s="144">
        <v>71</v>
      </c>
      <c r="B75" s="256">
        <v>44743</v>
      </c>
      <c r="C75" s="254">
        <v>3.9999999999999994E-2</v>
      </c>
      <c r="D75" s="254">
        <f t="shared" si="4"/>
        <v>9.9000000000000005E-2</v>
      </c>
      <c r="E75" s="254">
        <f t="shared" si="3"/>
        <v>9.9000000000000005E-2</v>
      </c>
    </row>
    <row r="76" spans="1:5" x14ac:dyDescent="0.2">
      <c r="A76" s="144">
        <v>72</v>
      </c>
      <c r="B76" s="256">
        <v>44774</v>
      </c>
      <c r="C76" s="254">
        <v>3.9999999999999994E-2</v>
      </c>
      <c r="D76" s="254">
        <f t="shared" si="4"/>
        <v>9.9000000000000005E-2</v>
      </c>
      <c r="E76" s="254">
        <f t="shared" si="3"/>
        <v>9.9000000000000005E-2</v>
      </c>
    </row>
    <row r="77" spans="1:5" x14ac:dyDescent="0.2">
      <c r="A77" s="144">
        <v>73</v>
      </c>
      <c r="B77" s="256">
        <v>44805</v>
      </c>
      <c r="C77" s="254">
        <v>3.9999999999999994E-2</v>
      </c>
      <c r="D77" s="254">
        <f t="shared" si="4"/>
        <v>9.9000000000000005E-2</v>
      </c>
      <c r="E77" s="254">
        <f t="shared" si="3"/>
        <v>9.9000000000000005E-2</v>
      </c>
    </row>
    <row r="78" spans="1:5" x14ac:dyDescent="0.2">
      <c r="A78" s="144">
        <v>74</v>
      </c>
      <c r="B78" s="256">
        <v>44835</v>
      </c>
      <c r="C78" s="254">
        <v>3.9999999999999994E-2</v>
      </c>
      <c r="D78" s="254">
        <f t="shared" si="4"/>
        <v>9.9000000000000005E-2</v>
      </c>
      <c r="E78" s="254">
        <f t="shared" si="3"/>
        <v>9.9000000000000005E-2</v>
      </c>
    </row>
    <row r="79" spans="1:5" x14ac:dyDescent="0.2">
      <c r="A79" s="144">
        <v>75</v>
      </c>
      <c r="B79" s="256">
        <v>44866</v>
      </c>
      <c r="C79" s="254">
        <v>3.9999999999999994E-2</v>
      </c>
      <c r="D79" s="254">
        <f t="shared" si="4"/>
        <v>9.9000000000000005E-2</v>
      </c>
      <c r="E79" s="254">
        <f t="shared" si="3"/>
        <v>9.9000000000000005E-2</v>
      </c>
    </row>
    <row r="80" spans="1:5" x14ac:dyDescent="0.2">
      <c r="A80" s="144">
        <v>76</v>
      </c>
      <c r="B80" s="256">
        <v>44896</v>
      </c>
      <c r="C80" s="254">
        <v>3.9999999999999994E-2</v>
      </c>
      <c r="D80" s="254">
        <f t="shared" si="4"/>
        <v>9.9000000000000005E-2</v>
      </c>
      <c r="E80" s="254">
        <f t="shared" si="3"/>
        <v>9.9000000000000005E-2</v>
      </c>
    </row>
    <row r="81" spans="1:5" x14ac:dyDescent="0.2">
      <c r="A81" s="144">
        <v>77</v>
      </c>
      <c r="B81" s="256">
        <v>44927</v>
      </c>
      <c r="C81" s="254">
        <v>3.9999999999999994E-2</v>
      </c>
      <c r="D81" s="254">
        <f t="shared" si="4"/>
        <v>9.9000000000000005E-2</v>
      </c>
      <c r="E81" s="254">
        <f t="shared" si="3"/>
        <v>9.9000000000000005E-2</v>
      </c>
    </row>
    <row r="82" spans="1:5" x14ac:dyDescent="0.2">
      <c r="A82" s="144">
        <v>78</v>
      </c>
      <c r="B82" s="256">
        <v>44958</v>
      </c>
      <c r="C82" s="254">
        <v>3.9999999999999994E-2</v>
      </c>
      <c r="D82" s="254">
        <f t="shared" si="4"/>
        <v>9.9000000000000005E-2</v>
      </c>
      <c r="E82" s="254">
        <f t="shared" si="3"/>
        <v>9.9000000000000005E-2</v>
      </c>
    </row>
    <row r="83" spans="1:5" x14ac:dyDescent="0.2">
      <c r="A83" s="144">
        <v>79</v>
      </c>
      <c r="B83" s="256">
        <v>44986</v>
      </c>
      <c r="C83" s="254">
        <v>3.9999999999999994E-2</v>
      </c>
      <c r="D83" s="254">
        <f t="shared" si="4"/>
        <v>9.9000000000000005E-2</v>
      </c>
      <c r="E83" s="254">
        <f t="shared" si="3"/>
        <v>9.9000000000000005E-2</v>
      </c>
    </row>
    <row r="84" spans="1:5" x14ac:dyDescent="0.2">
      <c r="A84" s="144">
        <v>80</v>
      </c>
      <c r="B84" s="256">
        <v>45017</v>
      </c>
      <c r="C84" s="254">
        <v>3.9999999999999994E-2</v>
      </c>
      <c r="D84" s="254">
        <f t="shared" si="4"/>
        <v>9.9000000000000005E-2</v>
      </c>
      <c r="E84" s="254">
        <f t="shared" si="3"/>
        <v>9.9000000000000005E-2</v>
      </c>
    </row>
    <row r="85" spans="1:5" x14ac:dyDescent="0.2">
      <c r="A85" s="144">
        <v>81</v>
      </c>
      <c r="B85" s="256">
        <v>45047</v>
      </c>
      <c r="C85" s="254">
        <v>3.9999999999999994E-2</v>
      </c>
      <c r="D85" s="254">
        <f t="shared" si="4"/>
        <v>9.9000000000000005E-2</v>
      </c>
      <c r="E85" s="254">
        <f t="shared" si="3"/>
        <v>9.9000000000000005E-2</v>
      </c>
    </row>
    <row r="86" spans="1:5" x14ac:dyDescent="0.2">
      <c r="A86" s="144">
        <v>82</v>
      </c>
      <c r="B86" s="256">
        <v>45078</v>
      </c>
      <c r="C86" s="254">
        <v>3.9999999999999994E-2</v>
      </c>
      <c r="D86" s="254">
        <f t="shared" si="4"/>
        <v>9.9000000000000005E-2</v>
      </c>
      <c r="E86" s="254">
        <f t="shared" si="3"/>
        <v>9.9000000000000005E-2</v>
      </c>
    </row>
    <row r="87" spans="1:5" x14ac:dyDescent="0.2">
      <c r="A87" s="144">
        <v>83</v>
      </c>
      <c r="B87" s="256">
        <v>45108</v>
      </c>
      <c r="C87" s="254">
        <v>3.9999999999999994E-2</v>
      </c>
      <c r="D87" s="254">
        <f t="shared" si="4"/>
        <v>9.9000000000000005E-2</v>
      </c>
      <c r="E87" s="254">
        <f t="shared" si="3"/>
        <v>9.9000000000000005E-2</v>
      </c>
    </row>
    <row r="88" spans="1:5" x14ac:dyDescent="0.2">
      <c r="A88" s="144">
        <v>84</v>
      </c>
      <c r="B88" s="256">
        <v>45139</v>
      </c>
      <c r="C88" s="254">
        <v>3.9999999999999994E-2</v>
      </c>
      <c r="D88" s="254">
        <f t="shared" si="4"/>
        <v>9.9000000000000005E-2</v>
      </c>
      <c r="E88" s="254">
        <f t="shared" si="3"/>
        <v>9.9000000000000005E-2</v>
      </c>
    </row>
    <row r="89" spans="1:5" x14ac:dyDescent="0.2">
      <c r="A89" s="144">
        <v>85</v>
      </c>
      <c r="B89" s="256">
        <v>45170</v>
      </c>
      <c r="C89" s="254">
        <v>3.9999999999999994E-2</v>
      </c>
      <c r="D89" s="254">
        <f t="shared" si="4"/>
        <v>9.9000000000000005E-2</v>
      </c>
      <c r="E89" s="254">
        <f t="shared" si="3"/>
        <v>9.9000000000000005E-2</v>
      </c>
    </row>
    <row r="90" spans="1:5" x14ac:dyDescent="0.2">
      <c r="A90" s="144">
        <v>86</v>
      </c>
      <c r="B90" s="256">
        <v>45200</v>
      </c>
      <c r="C90" s="254">
        <v>3.9999999999999994E-2</v>
      </c>
      <c r="D90" s="254">
        <f t="shared" si="4"/>
        <v>9.9000000000000005E-2</v>
      </c>
      <c r="E90" s="254">
        <f t="shared" si="3"/>
        <v>9.9000000000000005E-2</v>
      </c>
    </row>
    <row r="91" spans="1:5" x14ac:dyDescent="0.2">
      <c r="A91" s="144">
        <v>87</v>
      </c>
      <c r="B91" s="256">
        <v>45231</v>
      </c>
      <c r="C91" s="254">
        <v>3.9999999999999994E-2</v>
      </c>
      <c r="D91" s="254">
        <f t="shared" si="4"/>
        <v>9.9000000000000005E-2</v>
      </c>
      <c r="E91" s="254">
        <f t="shared" si="3"/>
        <v>9.9000000000000005E-2</v>
      </c>
    </row>
    <row r="92" spans="1:5" x14ac:dyDescent="0.2">
      <c r="A92" s="144">
        <v>88</v>
      </c>
      <c r="B92" s="256">
        <v>45261</v>
      </c>
      <c r="C92" s="254">
        <v>3.9999999999999994E-2</v>
      </c>
      <c r="D92" s="254">
        <f t="shared" si="4"/>
        <v>9.9000000000000005E-2</v>
      </c>
      <c r="E92" s="254">
        <f t="shared" si="3"/>
        <v>9.9000000000000005E-2</v>
      </c>
    </row>
    <row r="93" spans="1:5" x14ac:dyDescent="0.2">
      <c r="A93" s="144">
        <v>89</v>
      </c>
      <c r="B93" s="256">
        <v>45292</v>
      </c>
      <c r="C93" s="254">
        <v>3.9999999999999994E-2</v>
      </c>
      <c r="D93" s="254">
        <f t="shared" si="4"/>
        <v>9.9000000000000005E-2</v>
      </c>
      <c r="E93" s="254">
        <f t="shared" si="3"/>
        <v>9.9000000000000005E-2</v>
      </c>
    </row>
    <row r="94" spans="1:5" x14ac:dyDescent="0.2">
      <c r="A94" s="144">
        <v>90</v>
      </c>
      <c r="B94" s="256">
        <v>45323</v>
      </c>
      <c r="C94" s="254">
        <v>3.9999999999999994E-2</v>
      </c>
      <c r="D94" s="254">
        <f t="shared" si="4"/>
        <v>9.9000000000000005E-2</v>
      </c>
      <c r="E94" s="254">
        <f t="shared" si="3"/>
        <v>9.9000000000000005E-2</v>
      </c>
    </row>
    <row r="95" spans="1:5" x14ac:dyDescent="0.2">
      <c r="A95" s="144">
        <v>91</v>
      </c>
      <c r="B95" s="256">
        <v>45352</v>
      </c>
      <c r="C95" s="254">
        <v>3.9999999999999994E-2</v>
      </c>
      <c r="D95" s="254">
        <f t="shared" si="4"/>
        <v>9.9000000000000005E-2</v>
      </c>
      <c r="E95" s="254">
        <f t="shared" si="3"/>
        <v>9.9000000000000005E-2</v>
      </c>
    </row>
    <row r="96" spans="1:5" x14ac:dyDescent="0.2">
      <c r="A96" s="144">
        <v>92</v>
      </c>
      <c r="B96" s="256">
        <v>45383</v>
      </c>
      <c r="C96" s="254">
        <v>3.9999999999999994E-2</v>
      </c>
      <c r="D96" s="254">
        <f t="shared" si="4"/>
        <v>9.9000000000000005E-2</v>
      </c>
      <c r="E96" s="254">
        <f t="shared" si="3"/>
        <v>9.9000000000000005E-2</v>
      </c>
    </row>
    <row r="97" spans="1:5" x14ac:dyDescent="0.2">
      <c r="A97" s="144">
        <v>93</v>
      </c>
      <c r="B97" s="256">
        <v>45413</v>
      </c>
      <c r="C97" s="254">
        <v>3.9999999999999994E-2</v>
      </c>
      <c r="D97" s="254">
        <f t="shared" si="4"/>
        <v>9.9000000000000005E-2</v>
      </c>
      <c r="E97" s="254">
        <f t="shared" si="3"/>
        <v>9.9000000000000005E-2</v>
      </c>
    </row>
    <row r="98" spans="1:5" x14ac:dyDescent="0.2">
      <c r="A98" s="144">
        <v>94</v>
      </c>
      <c r="B98" s="256">
        <v>45444</v>
      </c>
      <c r="C98" s="254">
        <v>3.9999999999999994E-2</v>
      </c>
      <c r="D98" s="254">
        <f t="shared" si="4"/>
        <v>9.9000000000000005E-2</v>
      </c>
      <c r="E98" s="254">
        <f t="shared" si="3"/>
        <v>9.9000000000000005E-2</v>
      </c>
    </row>
    <row r="99" spans="1:5" x14ac:dyDescent="0.2">
      <c r="A99" s="144">
        <v>95</v>
      </c>
      <c r="B99" s="256">
        <v>45474</v>
      </c>
      <c r="C99" s="254">
        <v>3.9999999999999994E-2</v>
      </c>
      <c r="D99" s="254">
        <f t="shared" si="4"/>
        <v>9.9000000000000005E-2</v>
      </c>
      <c r="E99" s="254">
        <f t="shared" si="3"/>
        <v>9.9000000000000005E-2</v>
      </c>
    </row>
    <row r="100" spans="1:5" x14ac:dyDescent="0.2">
      <c r="A100" s="144">
        <v>96</v>
      </c>
      <c r="B100" s="256">
        <v>45505</v>
      </c>
      <c r="C100" s="254">
        <v>3.9999999999999994E-2</v>
      </c>
      <c r="D100" s="254">
        <f t="shared" si="4"/>
        <v>9.9000000000000005E-2</v>
      </c>
      <c r="E100" s="254">
        <f t="shared" si="3"/>
        <v>9.9000000000000005E-2</v>
      </c>
    </row>
    <row r="101" spans="1:5" x14ac:dyDescent="0.2">
      <c r="A101" s="144">
        <v>97</v>
      </c>
      <c r="B101" s="256">
        <v>45536</v>
      </c>
      <c r="C101" s="254">
        <v>3.9999999999999994E-2</v>
      </c>
      <c r="D101" s="254">
        <f t="shared" si="4"/>
        <v>9.9000000000000005E-2</v>
      </c>
      <c r="E101" s="254">
        <f t="shared" si="3"/>
        <v>9.9000000000000005E-2</v>
      </c>
    </row>
    <row r="102" spans="1:5" x14ac:dyDescent="0.2">
      <c r="A102" s="144">
        <v>98</v>
      </c>
      <c r="B102" s="256">
        <v>45566</v>
      </c>
      <c r="C102" s="254">
        <v>3.9999999999999994E-2</v>
      </c>
      <c r="D102" s="254">
        <f t="shared" si="4"/>
        <v>9.9000000000000005E-2</v>
      </c>
      <c r="E102" s="254">
        <f t="shared" si="3"/>
        <v>9.9000000000000005E-2</v>
      </c>
    </row>
    <row r="103" spans="1:5" x14ac:dyDescent="0.2">
      <c r="A103" s="144">
        <v>99</v>
      </c>
      <c r="B103" s="256">
        <v>45597</v>
      </c>
      <c r="C103" s="254">
        <v>3.9999999999999994E-2</v>
      </c>
      <c r="D103" s="254">
        <f t="shared" si="4"/>
        <v>9.9000000000000005E-2</v>
      </c>
      <c r="E103" s="254">
        <f t="shared" si="3"/>
        <v>9.9000000000000005E-2</v>
      </c>
    </row>
    <row r="104" spans="1:5" x14ac:dyDescent="0.2">
      <c r="A104" s="144">
        <v>100</v>
      </c>
      <c r="B104" s="256">
        <v>45627</v>
      </c>
      <c r="C104" s="254">
        <v>3.9999999999999994E-2</v>
      </c>
      <c r="D104" s="254">
        <f t="shared" si="4"/>
        <v>9.9000000000000005E-2</v>
      </c>
      <c r="E104" s="254">
        <f t="shared" si="3"/>
        <v>9.9000000000000005E-2</v>
      </c>
    </row>
    <row r="105" spans="1:5" x14ac:dyDescent="0.2">
      <c r="A105" s="144">
        <v>101</v>
      </c>
      <c r="B105" s="256">
        <v>45658</v>
      </c>
      <c r="C105" s="254">
        <v>3.9999999999999994E-2</v>
      </c>
      <c r="D105" s="254">
        <f t="shared" si="4"/>
        <v>9.9000000000000005E-2</v>
      </c>
      <c r="E105" s="254">
        <f t="shared" si="3"/>
        <v>9.9000000000000005E-2</v>
      </c>
    </row>
    <row r="106" spans="1:5" x14ac:dyDescent="0.2">
      <c r="A106" s="144">
        <v>102</v>
      </c>
      <c r="B106" s="256">
        <v>45689</v>
      </c>
      <c r="C106" s="254">
        <v>3.9999999999999994E-2</v>
      </c>
      <c r="D106" s="254">
        <f t="shared" si="4"/>
        <v>9.9000000000000005E-2</v>
      </c>
      <c r="E106" s="254">
        <f t="shared" si="3"/>
        <v>9.9000000000000005E-2</v>
      </c>
    </row>
    <row r="107" spans="1:5" x14ac:dyDescent="0.2">
      <c r="A107" s="144">
        <v>103</v>
      </c>
      <c r="B107" s="256">
        <v>45717</v>
      </c>
      <c r="C107" s="254">
        <v>3.9999999999999994E-2</v>
      </c>
      <c r="D107" s="254">
        <f t="shared" si="4"/>
        <v>9.9000000000000005E-2</v>
      </c>
      <c r="E107" s="254">
        <f t="shared" si="3"/>
        <v>9.9000000000000005E-2</v>
      </c>
    </row>
    <row r="108" spans="1:5" x14ac:dyDescent="0.2">
      <c r="A108" s="144">
        <v>104</v>
      </c>
      <c r="B108" s="256">
        <v>45748</v>
      </c>
      <c r="C108" s="254">
        <v>3.9999999999999994E-2</v>
      </c>
      <c r="D108" s="254">
        <f t="shared" si="4"/>
        <v>9.9000000000000005E-2</v>
      </c>
      <c r="E108" s="254">
        <f t="shared" si="3"/>
        <v>9.9000000000000005E-2</v>
      </c>
    </row>
    <row r="109" spans="1:5" x14ac:dyDescent="0.2">
      <c r="A109" s="144">
        <v>105</v>
      </c>
      <c r="B109" s="256">
        <v>45778</v>
      </c>
      <c r="C109" s="254">
        <v>3.9999999999999994E-2</v>
      </c>
      <c r="D109" s="254">
        <f t="shared" si="4"/>
        <v>9.9000000000000005E-2</v>
      </c>
      <c r="E109" s="254">
        <f t="shared" si="3"/>
        <v>9.9000000000000005E-2</v>
      </c>
    </row>
    <row r="110" spans="1:5" x14ac:dyDescent="0.2">
      <c r="A110" s="144">
        <v>106</v>
      </c>
      <c r="B110" s="256">
        <v>45809</v>
      </c>
      <c r="C110" s="254">
        <v>3.9999999999999994E-2</v>
      </c>
      <c r="D110" s="254">
        <f t="shared" si="4"/>
        <v>9.9000000000000005E-2</v>
      </c>
      <c r="E110" s="254">
        <f t="shared" si="3"/>
        <v>9.9000000000000005E-2</v>
      </c>
    </row>
    <row r="111" spans="1:5" x14ac:dyDescent="0.2">
      <c r="A111" s="144">
        <v>107</v>
      </c>
      <c r="B111" s="256">
        <v>45839</v>
      </c>
      <c r="C111" s="254">
        <v>3.9999999999999994E-2</v>
      </c>
      <c r="D111" s="254">
        <f t="shared" si="4"/>
        <v>9.9000000000000005E-2</v>
      </c>
      <c r="E111" s="254">
        <f t="shared" si="3"/>
        <v>9.9000000000000005E-2</v>
      </c>
    </row>
    <row r="112" spans="1:5" x14ac:dyDescent="0.2">
      <c r="A112" s="144">
        <v>108</v>
      </c>
      <c r="B112" s="256">
        <v>45870</v>
      </c>
      <c r="C112" s="254">
        <v>3.9999999999999994E-2</v>
      </c>
      <c r="D112" s="254">
        <f t="shared" si="4"/>
        <v>9.9000000000000005E-2</v>
      </c>
      <c r="E112" s="254">
        <f t="shared" si="3"/>
        <v>9.9000000000000005E-2</v>
      </c>
    </row>
    <row r="113" spans="1:5" x14ac:dyDescent="0.2">
      <c r="A113" s="144">
        <v>109</v>
      </c>
      <c r="B113" s="256">
        <v>45901</v>
      </c>
      <c r="C113" s="254">
        <v>3.9999999999999994E-2</v>
      </c>
      <c r="D113" s="254">
        <f t="shared" si="4"/>
        <v>9.9000000000000005E-2</v>
      </c>
      <c r="E113" s="254">
        <f t="shared" si="3"/>
        <v>9.9000000000000005E-2</v>
      </c>
    </row>
    <row r="114" spans="1:5" x14ac:dyDescent="0.2">
      <c r="A114" s="144">
        <v>110</v>
      </c>
      <c r="B114" s="256">
        <v>45931</v>
      </c>
      <c r="C114" s="254">
        <v>3.9999999999999994E-2</v>
      </c>
      <c r="D114" s="254">
        <f t="shared" si="4"/>
        <v>9.9000000000000005E-2</v>
      </c>
      <c r="E114" s="254">
        <f t="shared" si="3"/>
        <v>9.9000000000000005E-2</v>
      </c>
    </row>
    <row r="115" spans="1:5" x14ac:dyDescent="0.2">
      <c r="A115" s="144">
        <v>111</v>
      </c>
      <c r="B115" s="256">
        <v>45962</v>
      </c>
      <c r="C115" s="254">
        <v>3.9999999999999994E-2</v>
      </c>
      <c r="D115" s="254">
        <f t="shared" si="4"/>
        <v>9.9000000000000005E-2</v>
      </c>
      <c r="E115" s="254">
        <f t="shared" si="3"/>
        <v>9.9000000000000005E-2</v>
      </c>
    </row>
    <row r="116" spans="1:5" x14ac:dyDescent="0.2">
      <c r="A116" s="144">
        <v>112</v>
      </c>
      <c r="B116" s="256">
        <v>45992</v>
      </c>
      <c r="C116" s="254">
        <v>3.9999999999999994E-2</v>
      </c>
      <c r="D116" s="254">
        <f t="shared" si="4"/>
        <v>9.9000000000000005E-2</v>
      </c>
      <c r="E116" s="254">
        <f t="shared" si="3"/>
        <v>9.9000000000000005E-2</v>
      </c>
    </row>
    <row r="117" spans="1:5" x14ac:dyDescent="0.2">
      <c r="A117" s="144">
        <v>113</v>
      </c>
      <c r="B117" s="256">
        <v>46023</v>
      </c>
      <c r="C117" s="254">
        <v>3.9999999999999994E-2</v>
      </c>
      <c r="D117" s="254">
        <f t="shared" si="4"/>
        <v>9.9000000000000005E-2</v>
      </c>
      <c r="E117" s="254">
        <f t="shared" si="3"/>
        <v>9.9000000000000005E-2</v>
      </c>
    </row>
    <row r="118" spans="1:5" x14ac:dyDescent="0.2">
      <c r="A118" s="144">
        <v>114</v>
      </c>
      <c r="B118" s="256">
        <v>46054</v>
      </c>
      <c r="C118" s="254">
        <v>3.9999999999999994E-2</v>
      </c>
      <c r="D118" s="254">
        <f t="shared" si="4"/>
        <v>9.9000000000000005E-2</v>
      </c>
      <c r="E118" s="254">
        <f t="shared" si="3"/>
        <v>9.9000000000000005E-2</v>
      </c>
    </row>
    <row r="119" spans="1:5" x14ac:dyDescent="0.2">
      <c r="A119" s="144">
        <v>115</v>
      </c>
      <c r="B119" s="256">
        <v>46082</v>
      </c>
      <c r="C119" s="254">
        <v>3.9999999999999994E-2</v>
      </c>
      <c r="D119" s="254">
        <f t="shared" si="4"/>
        <v>9.9000000000000005E-2</v>
      </c>
      <c r="E119" s="254">
        <f t="shared" si="3"/>
        <v>9.9000000000000005E-2</v>
      </c>
    </row>
    <row r="120" spans="1:5" x14ac:dyDescent="0.2">
      <c r="A120" s="144">
        <v>116</v>
      </c>
      <c r="B120" s="256">
        <v>46113</v>
      </c>
      <c r="C120" s="254">
        <v>3.9999999999999994E-2</v>
      </c>
      <c r="D120" s="254">
        <f t="shared" si="4"/>
        <v>9.9000000000000005E-2</v>
      </c>
      <c r="E120" s="254">
        <f t="shared" si="3"/>
        <v>9.9000000000000005E-2</v>
      </c>
    </row>
    <row r="121" spans="1:5" x14ac:dyDescent="0.2">
      <c r="A121" s="144">
        <v>117</v>
      </c>
      <c r="B121" s="256">
        <v>46143</v>
      </c>
      <c r="C121" s="254">
        <v>3.9999999999999994E-2</v>
      </c>
      <c r="D121" s="254">
        <f t="shared" si="4"/>
        <v>9.9000000000000005E-2</v>
      </c>
      <c r="E121" s="254">
        <f t="shared" si="3"/>
        <v>9.9000000000000005E-2</v>
      </c>
    </row>
    <row r="122" spans="1:5" x14ac:dyDescent="0.2">
      <c r="A122" s="144">
        <v>118</v>
      </c>
      <c r="B122" s="256">
        <v>46174</v>
      </c>
      <c r="C122" s="254">
        <v>3.9999999999999994E-2</v>
      </c>
      <c r="D122" s="254">
        <f t="shared" si="4"/>
        <v>9.9000000000000005E-2</v>
      </c>
      <c r="E122" s="254">
        <f t="shared" si="3"/>
        <v>9.9000000000000005E-2</v>
      </c>
    </row>
    <row r="123" spans="1:5" x14ac:dyDescent="0.2">
      <c r="A123" s="144">
        <v>119</v>
      </c>
      <c r="B123" s="256">
        <v>46204</v>
      </c>
      <c r="C123" s="254">
        <v>3.9999999999999994E-2</v>
      </c>
      <c r="D123" s="254">
        <f t="shared" si="4"/>
        <v>9.9000000000000005E-2</v>
      </c>
      <c r="E123" s="254">
        <f t="shared" si="3"/>
        <v>9.9000000000000005E-2</v>
      </c>
    </row>
    <row r="124" spans="1:5" x14ac:dyDescent="0.2">
      <c r="A124" s="144">
        <v>120</v>
      </c>
      <c r="B124" s="256">
        <v>46235</v>
      </c>
      <c r="C124" s="254">
        <v>3.9999999999999994E-2</v>
      </c>
      <c r="D124" s="254">
        <f t="shared" si="4"/>
        <v>9.9000000000000005E-2</v>
      </c>
      <c r="E124" s="254">
        <f t="shared" si="3"/>
        <v>9.9000000000000005E-2</v>
      </c>
    </row>
    <row r="125" spans="1:5" x14ac:dyDescent="0.2">
      <c r="A125" s="144">
        <v>121</v>
      </c>
      <c r="B125" s="256">
        <v>46266</v>
      </c>
      <c r="C125" s="254">
        <v>3.9999999999999994E-2</v>
      </c>
      <c r="D125" s="254">
        <f t="shared" si="4"/>
        <v>9.9000000000000005E-2</v>
      </c>
      <c r="E125" s="254">
        <f t="shared" si="3"/>
        <v>9.9000000000000005E-2</v>
      </c>
    </row>
    <row r="126" spans="1:5" x14ac:dyDescent="0.2">
      <c r="A126" s="144">
        <v>122</v>
      </c>
      <c r="B126" s="256">
        <v>46296</v>
      </c>
      <c r="C126" s="254">
        <v>3.9999999999999994E-2</v>
      </c>
      <c r="D126" s="254">
        <f t="shared" si="4"/>
        <v>9.9000000000000005E-2</v>
      </c>
      <c r="E126" s="254">
        <f t="shared" si="3"/>
        <v>9.9000000000000005E-2</v>
      </c>
    </row>
    <row r="127" spans="1:5" x14ac:dyDescent="0.2">
      <c r="A127" s="144">
        <v>123</v>
      </c>
      <c r="B127" s="256">
        <v>46327</v>
      </c>
      <c r="C127" s="254">
        <v>3.9999999999999994E-2</v>
      </c>
      <c r="D127" s="254">
        <f t="shared" si="4"/>
        <v>9.9000000000000005E-2</v>
      </c>
      <c r="E127" s="254">
        <f t="shared" si="3"/>
        <v>9.9000000000000005E-2</v>
      </c>
    </row>
    <row r="128" spans="1:5" x14ac:dyDescent="0.2">
      <c r="A128" s="144">
        <v>124</v>
      </c>
      <c r="B128" s="256">
        <v>46357</v>
      </c>
      <c r="C128" s="254">
        <v>3.9999999999999994E-2</v>
      </c>
      <c r="D128" s="254">
        <f t="shared" si="4"/>
        <v>9.9000000000000005E-2</v>
      </c>
      <c r="E128" s="254">
        <f t="shared" si="3"/>
        <v>9.9000000000000005E-2</v>
      </c>
    </row>
    <row r="129" spans="1:5" x14ac:dyDescent="0.2">
      <c r="A129" s="144">
        <v>125</v>
      </c>
      <c r="B129" s="256">
        <v>46388</v>
      </c>
      <c r="C129" s="254">
        <v>3.9999999999999994E-2</v>
      </c>
      <c r="D129" s="254">
        <f t="shared" si="4"/>
        <v>9.9000000000000005E-2</v>
      </c>
      <c r="E129" s="254">
        <f t="shared" si="3"/>
        <v>9.9000000000000005E-2</v>
      </c>
    </row>
    <row r="130" spans="1:5" x14ac:dyDescent="0.2">
      <c r="A130" s="144">
        <v>126</v>
      </c>
      <c r="B130" s="256">
        <v>46419</v>
      </c>
      <c r="C130" s="254">
        <v>3.9999999999999994E-2</v>
      </c>
      <c r="D130" s="254">
        <f t="shared" si="4"/>
        <v>9.9000000000000005E-2</v>
      </c>
      <c r="E130" s="254">
        <f t="shared" si="3"/>
        <v>9.9000000000000005E-2</v>
      </c>
    </row>
    <row r="131" spans="1:5" x14ac:dyDescent="0.2">
      <c r="A131" s="144">
        <v>127</v>
      </c>
      <c r="B131" s="256">
        <v>46447</v>
      </c>
      <c r="C131" s="254">
        <v>3.9999999999999994E-2</v>
      </c>
      <c r="D131" s="254">
        <f t="shared" si="4"/>
        <v>9.9000000000000005E-2</v>
      </c>
      <c r="E131" s="254">
        <f t="shared" si="3"/>
        <v>9.9000000000000005E-2</v>
      </c>
    </row>
    <row r="132" spans="1:5" x14ac:dyDescent="0.2">
      <c r="A132" s="144">
        <v>128</v>
      </c>
      <c r="B132" s="256">
        <v>46478</v>
      </c>
      <c r="C132" s="254">
        <v>3.9999999999999994E-2</v>
      </c>
      <c r="D132" s="254">
        <f t="shared" si="4"/>
        <v>9.9000000000000005E-2</v>
      </c>
      <c r="E132" s="254">
        <f t="shared" si="3"/>
        <v>9.9000000000000005E-2</v>
      </c>
    </row>
    <row r="133" spans="1:5" x14ac:dyDescent="0.2">
      <c r="A133" s="144">
        <v>129</v>
      </c>
      <c r="B133" s="256">
        <v>46508</v>
      </c>
      <c r="C133" s="254">
        <v>3.9999999999999994E-2</v>
      </c>
      <c r="D133" s="254">
        <f t="shared" si="4"/>
        <v>9.9000000000000005E-2</v>
      </c>
      <c r="E133" s="254">
        <f t="shared" si="3"/>
        <v>9.9000000000000005E-2</v>
      </c>
    </row>
    <row r="134" spans="1:5" x14ac:dyDescent="0.2">
      <c r="A134" s="144">
        <v>130</v>
      </c>
      <c r="B134" s="256">
        <v>46539</v>
      </c>
      <c r="C134" s="254">
        <v>3.9999999999999994E-2</v>
      </c>
      <c r="D134" s="254">
        <f t="shared" si="4"/>
        <v>9.9000000000000005E-2</v>
      </c>
      <c r="E134" s="254">
        <f t="shared" ref="E134:E197" si="5">D134+$C$1+$C$2+$E$2</f>
        <v>9.9000000000000005E-2</v>
      </c>
    </row>
    <row r="135" spans="1:5" x14ac:dyDescent="0.2">
      <c r="A135" s="144">
        <v>131</v>
      </c>
      <c r="B135" s="256">
        <v>46569</v>
      </c>
      <c r="C135" s="254">
        <v>3.9999999999999994E-2</v>
      </c>
      <c r="D135" s="254">
        <f t="shared" si="4"/>
        <v>9.9000000000000005E-2</v>
      </c>
      <c r="E135" s="254">
        <f t="shared" si="5"/>
        <v>9.9000000000000005E-2</v>
      </c>
    </row>
    <row r="136" spans="1:5" x14ac:dyDescent="0.2">
      <c r="A136" s="144">
        <v>132</v>
      </c>
      <c r="B136" s="256">
        <v>46600</v>
      </c>
      <c r="C136" s="254">
        <v>3.9999999999999994E-2</v>
      </c>
      <c r="D136" s="254">
        <f t="shared" si="4"/>
        <v>9.9000000000000005E-2</v>
      </c>
      <c r="E136" s="254">
        <f t="shared" si="5"/>
        <v>9.9000000000000005E-2</v>
      </c>
    </row>
    <row r="137" spans="1:5" x14ac:dyDescent="0.2">
      <c r="A137" s="144">
        <v>133</v>
      </c>
      <c r="B137" s="256">
        <v>46631</v>
      </c>
      <c r="C137" s="254">
        <v>3.9999999999999994E-2</v>
      </c>
      <c r="D137" s="254">
        <f t="shared" si="4"/>
        <v>9.9000000000000005E-2</v>
      </c>
      <c r="E137" s="254">
        <f t="shared" si="5"/>
        <v>9.9000000000000005E-2</v>
      </c>
    </row>
    <row r="138" spans="1:5" x14ac:dyDescent="0.2">
      <c r="A138" s="144">
        <v>134</v>
      </c>
      <c r="B138" s="256">
        <v>46661</v>
      </c>
      <c r="C138" s="254">
        <v>3.9999999999999994E-2</v>
      </c>
      <c r="D138" s="254">
        <f t="shared" ref="D138:D201" si="6">C138+5.9%</f>
        <v>9.9000000000000005E-2</v>
      </c>
      <c r="E138" s="254">
        <f t="shared" si="5"/>
        <v>9.9000000000000005E-2</v>
      </c>
    </row>
    <row r="139" spans="1:5" x14ac:dyDescent="0.2">
      <c r="A139" s="144">
        <v>135</v>
      </c>
      <c r="B139" s="256">
        <v>46692</v>
      </c>
      <c r="C139" s="254">
        <v>3.9999999999999994E-2</v>
      </c>
      <c r="D139" s="254">
        <f t="shared" si="6"/>
        <v>9.9000000000000005E-2</v>
      </c>
      <c r="E139" s="254">
        <f t="shared" si="5"/>
        <v>9.9000000000000005E-2</v>
      </c>
    </row>
    <row r="140" spans="1:5" x14ac:dyDescent="0.2">
      <c r="A140" s="144">
        <v>136</v>
      </c>
      <c r="B140" s="256">
        <v>46722</v>
      </c>
      <c r="C140" s="254">
        <v>3.9999999999999994E-2</v>
      </c>
      <c r="D140" s="254">
        <f t="shared" si="6"/>
        <v>9.9000000000000005E-2</v>
      </c>
      <c r="E140" s="254">
        <f t="shared" si="5"/>
        <v>9.9000000000000005E-2</v>
      </c>
    </row>
    <row r="141" spans="1:5" x14ac:dyDescent="0.2">
      <c r="A141" s="144">
        <v>137</v>
      </c>
      <c r="B141" s="256">
        <v>46753</v>
      </c>
      <c r="C141" s="254">
        <v>3.9999999999999994E-2</v>
      </c>
      <c r="D141" s="254">
        <f t="shared" si="6"/>
        <v>9.9000000000000005E-2</v>
      </c>
      <c r="E141" s="254">
        <f t="shared" si="5"/>
        <v>9.9000000000000005E-2</v>
      </c>
    </row>
    <row r="142" spans="1:5" x14ac:dyDescent="0.2">
      <c r="A142" s="144">
        <v>138</v>
      </c>
      <c r="B142" s="256">
        <v>46784</v>
      </c>
      <c r="C142" s="254">
        <v>3.9999999999999994E-2</v>
      </c>
      <c r="D142" s="254">
        <f t="shared" si="6"/>
        <v>9.9000000000000005E-2</v>
      </c>
      <c r="E142" s="254">
        <f t="shared" si="5"/>
        <v>9.9000000000000005E-2</v>
      </c>
    </row>
    <row r="143" spans="1:5" x14ac:dyDescent="0.2">
      <c r="A143" s="144">
        <v>139</v>
      </c>
      <c r="B143" s="256">
        <v>46813</v>
      </c>
      <c r="C143" s="254">
        <v>3.9999999999999994E-2</v>
      </c>
      <c r="D143" s="254">
        <f t="shared" si="6"/>
        <v>9.9000000000000005E-2</v>
      </c>
      <c r="E143" s="254">
        <f t="shared" si="5"/>
        <v>9.9000000000000005E-2</v>
      </c>
    </row>
    <row r="144" spans="1:5" x14ac:dyDescent="0.2">
      <c r="A144" s="144">
        <v>140</v>
      </c>
      <c r="B144" s="256">
        <v>46844</v>
      </c>
      <c r="C144" s="254">
        <v>3.9999999999999994E-2</v>
      </c>
      <c r="D144" s="254">
        <f t="shared" si="6"/>
        <v>9.9000000000000005E-2</v>
      </c>
      <c r="E144" s="254">
        <f t="shared" si="5"/>
        <v>9.9000000000000005E-2</v>
      </c>
    </row>
    <row r="145" spans="1:5" x14ac:dyDescent="0.2">
      <c r="A145" s="144">
        <v>141</v>
      </c>
      <c r="B145" s="256">
        <v>46874</v>
      </c>
      <c r="C145" s="254">
        <v>3.9999999999999994E-2</v>
      </c>
      <c r="D145" s="254">
        <f t="shared" si="6"/>
        <v>9.9000000000000005E-2</v>
      </c>
      <c r="E145" s="254">
        <f t="shared" si="5"/>
        <v>9.9000000000000005E-2</v>
      </c>
    </row>
    <row r="146" spans="1:5" x14ac:dyDescent="0.2">
      <c r="A146" s="144">
        <v>142</v>
      </c>
      <c r="B146" s="256">
        <v>46905</v>
      </c>
      <c r="C146" s="254">
        <v>3.9999999999999994E-2</v>
      </c>
      <c r="D146" s="254">
        <f t="shared" si="6"/>
        <v>9.9000000000000005E-2</v>
      </c>
      <c r="E146" s="254">
        <f t="shared" si="5"/>
        <v>9.9000000000000005E-2</v>
      </c>
    </row>
    <row r="147" spans="1:5" x14ac:dyDescent="0.2">
      <c r="A147" s="144">
        <v>143</v>
      </c>
      <c r="B147" s="256">
        <v>46935</v>
      </c>
      <c r="C147" s="254">
        <v>3.9999999999999994E-2</v>
      </c>
      <c r="D147" s="254">
        <f t="shared" si="6"/>
        <v>9.9000000000000005E-2</v>
      </c>
      <c r="E147" s="254">
        <f t="shared" si="5"/>
        <v>9.9000000000000005E-2</v>
      </c>
    </row>
    <row r="148" spans="1:5" x14ac:dyDescent="0.2">
      <c r="A148" s="144">
        <v>144</v>
      </c>
      <c r="B148" s="256">
        <v>46966</v>
      </c>
      <c r="C148" s="254">
        <v>3.9999999999999994E-2</v>
      </c>
      <c r="D148" s="254">
        <f t="shared" si="6"/>
        <v>9.9000000000000005E-2</v>
      </c>
      <c r="E148" s="254">
        <f t="shared" si="5"/>
        <v>9.9000000000000005E-2</v>
      </c>
    </row>
    <row r="149" spans="1:5" x14ac:dyDescent="0.2">
      <c r="A149" s="144">
        <v>145</v>
      </c>
      <c r="B149" s="256">
        <v>46997</v>
      </c>
      <c r="C149" s="254">
        <v>3.9999999999999994E-2</v>
      </c>
      <c r="D149" s="254">
        <f t="shared" si="6"/>
        <v>9.9000000000000005E-2</v>
      </c>
      <c r="E149" s="254">
        <f t="shared" si="5"/>
        <v>9.9000000000000005E-2</v>
      </c>
    </row>
    <row r="150" spans="1:5" x14ac:dyDescent="0.2">
      <c r="A150" s="144">
        <v>146</v>
      </c>
      <c r="B150" s="256">
        <v>47027</v>
      </c>
      <c r="C150" s="254">
        <v>3.9999999999999994E-2</v>
      </c>
      <c r="D150" s="254">
        <f t="shared" si="6"/>
        <v>9.9000000000000005E-2</v>
      </c>
      <c r="E150" s="254">
        <f t="shared" si="5"/>
        <v>9.9000000000000005E-2</v>
      </c>
    </row>
    <row r="151" spans="1:5" x14ac:dyDescent="0.2">
      <c r="A151" s="144">
        <v>147</v>
      </c>
      <c r="B151" s="256">
        <v>47058</v>
      </c>
      <c r="C151" s="254">
        <v>3.9999999999999994E-2</v>
      </c>
      <c r="D151" s="254">
        <f t="shared" si="6"/>
        <v>9.9000000000000005E-2</v>
      </c>
      <c r="E151" s="254">
        <f t="shared" si="5"/>
        <v>9.9000000000000005E-2</v>
      </c>
    </row>
    <row r="152" spans="1:5" x14ac:dyDescent="0.2">
      <c r="A152" s="144">
        <v>148</v>
      </c>
      <c r="B152" s="256">
        <v>47088</v>
      </c>
      <c r="C152" s="254">
        <v>3.9999999999999994E-2</v>
      </c>
      <c r="D152" s="254">
        <f t="shared" si="6"/>
        <v>9.9000000000000005E-2</v>
      </c>
      <c r="E152" s="254">
        <f t="shared" si="5"/>
        <v>9.9000000000000005E-2</v>
      </c>
    </row>
    <row r="153" spans="1:5" x14ac:dyDescent="0.2">
      <c r="A153" s="144">
        <v>149</v>
      </c>
      <c r="B153" s="256">
        <v>47119</v>
      </c>
      <c r="C153" s="254">
        <v>3.9999999999999994E-2</v>
      </c>
      <c r="D153" s="254">
        <f t="shared" si="6"/>
        <v>9.9000000000000005E-2</v>
      </c>
      <c r="E153" s="254">
        <f t="shared" si="5"/>
        <v>9.9000000000000005E-2</v>
      </c>
    </row>
    <row r="154" spans="1:5" x14ac:dyDescent="0.2">
      <c r="A154" s="144">
        <v>150</v>
      </c>
      <c r="B154" s="256">
        <v>47150</v>
      </c>
      <c r="C154" s="254">
        <v>3.9999999999999994E-2</v>
      </c>
      <c r="D154" s="254">
        <f t="shared" si="6"/>
        <v>9.9000000000000005E-2</v>
      </c>
      <c r="E154" s="254">
        <f t="shared" si="5"/>
        <v>9.9000000000000005E-2</v>
      </c>
    </row>
    <row r="155" spans="1:5" x14ac:dyDescent="0.2">
      <c r="A155" s="144">
        <v>151</v>
      </c>
      <c r="B155" s="256">
        <v>47178</v>
      </c>
      <c r="C155" s="254">
        <v>3.9999999999999994E-2</v>
      </c>
      <c r="D155" s="254">
        <f t="shared" si="6"/>
        <v>9.9000000000000005E-2</v>
      </c>
      <c r="E155" s="254">
        <f t="shared" si="5"/>
        <v>9.9000000000000005E-2</v>
      </c>
    </row>
    <row r="156" spans="1:5" x14ac:dyDescent="0.2">
      <c r="A156" s="144">
        <v>152</v>
      </c>
      <c r="B156" s="256">
        <v>47209</v>
      </c>
      <c r="C156" s="254">
        <v>3.9999999999999994E-2</v>
      </c>
      <c r="D156" s="254">
        <f t="shared" si="6"/>
        <v>9.9000000000000005E-2</v>
      </c>
      <c r="E156" s="254">
        <f t="shared" si="5"/>
        <v>9.9000000000000005E-2</v>
      </c>
    </row>
    <row r="157" spans="1:5" x14ac:dyDescent="0.2">
      <c r="A157" s="144">
        <v>153</v>
      </c>
      <c r="B157" s="256">
        <v>47239</v>
      </c>
      <c r="C157" s="254">
        <v>3.9999999999999994E-2</v>
      </c>
      <c r="D157" s="254">
        <f t="shared" si="6"/>
        <v>9.9000000000000005E-2</v>
      </c>
      <c r="E157" s="254">
        <f t="shared" si="5"/>
        <v>9.9000000000000005E-2</v>
      </c>
    </row>
    <row r="158" spans="1:5" x14ac:dyDescent="0.2">
      <c r="A158" s="144">
        <v>154</v>
      </c>
      <c r="B158" s="256">
        <v>47270</v>
      </c>
      <c r="C158" s="254">
        <v>3.9999999999999994E-2</v>
      </c>
      <c r="D158" s="254">
        <f t="shared" si="6"/>
        <v>9.9000000000000005E-2</v>
      </c>
      <c r="E158" s="254">
        <f t="shared" si="5"/>
        <v>9.9000000000000005E-2</v>
      </c>
    </row>
    <row r="159" spans="1:5" x14ac:dyDescent="0.2">
      <c r="A159" s="144">
        <v>155</v>
      </c>
      <c r="B159" s="256">
        <v>47300</v>
      </c>
      <c r="C159" s="254">
        <v>3.9999999999999994E-2</v>
      </c>
      <c r="D159" s="254">
        <f t="shared" si="6"/>
        <v>9.9000000000000005E-2</v>
      </c>
      <c r="E159" s="254">
        <f t="shared" si="5"/>
        <v>9.9000000000000005E-2</v>
      </c>
    </row>
    <row r="160" spans="1:5" x14ac:dyDescent="0.2">
      <c r="A160" s="144">
        <v>156</v>
      </c>
      <c r="B160" s="256">
        <v>47331</v>
      </c>
      <c r="C160" s="254">
        <v>3.9999999999999994E-2</v>
      </c>
      <c r="D160" s="254">
        <f t="shared" si="6"/>
        <v>9.9000000000000005E-2</v>
      </c>
      <c r="E160" s="254">
        <f t="shared" si="5"/>
        <v>9.9000000000000005E-2</v>
      </c>
    </row>
    <row r="161" spans="1:5" x14ac:dyDescent="0.2">
      <c r="A161" s="144">
        <v>157</v>
      </c>
      <c r="B161" s="256">
        <v>47362</v>
      </c>
      <c r="C161" s="254">
        <v>3.9999999999999994E-2</v>
      </c>
      <c r="D161" s="254">
        <f t="shared" si="6"/>
        <v>9.9000000000000005E-2</v>
      </c>
      <c r="E161" s="254">
        <f t="shared" si="5"/>
        <v>9.9000000000000005E-2</v>
      </c>
    </row>
    <row r="162" spans="1:5" x14ac:dyDescent="0.2">
      <c r="A162" s="144">
        <v>158</v>
      </c>
      <c r="B162" s="256">
        <v>47392</v>
      </c>
      <c r="C162" s="254">
        <v>3.9999999999999994E-2</v>
      </c>
      <c r="D162" s="254">
        <f t="shared" si="6"/>
        <v>9.9000000000000005E-2</v>
      </c>
      <c r="E162" s="254">
        <f t="shared" si="5"/>
        <v>9.9000000000000005E-2</v>
      </c>
    </row>
    <row r="163" spans="1:5" x14ac:dyDescent="0.2">
      <c r="A163" s="144">
        <v>159</v>
      </c>
      <c r="B163" s="256">
        <v>47423</v>
      </c>
      <c r="C163" s="254">
        <v>3.9999999999999994E-2</v>
      </c>
      <c r="D163" s="254">
        <f t="shared" si="6"/>
        <v>9.9000000000000005E-2</v>
      </c>
      <c r="E163" s="254">
        <f t="shared" si="5"/>
        <v>9.9000000000000005E-2</v>
      </c>
    </row>
    <row r="164" spans="1:5" x14ac:dyDescent="0.2">
      <c r="A164" s="144">
        <v>160</v>
      </c>
      <c r="B164" s="256">
        <v>47453</v>
      </c>
      <c r="C164" s="254">
        <v>3.9999999999999994E-2</v>
      </c>
      <c r="D164" s="254">
        <f t="shared" si="6"/>
        <v>9.9000000000000005E-2</v>
      </c>
      <c r="E164" s="254">
        <f t="shared" si="5"/>
        <v>9.9000000000000005E-2</v>
      </c>
    </row>
    <row r="165" spans="1:5" x14ac:dyDescent="0.2">
      <c r="A165" s="144">
        <v>161</v>
      </c>
      <c r="B165" s="256">
        <v>47484</v>
      </c>
      <c r="C165" s="254">
        <v>3.9999999999999994E-2</v>
      </c>
      <c r="D165" s="254">
        <f t="shared" si="6"/>
        <v>9.9000000000000005E-2</v>
      </c>
      <c r="E165" s="254">
        <f t="shared" si="5"/>
        <v>9.9000000000000005E-2</v>
      </c>
    </row>
    <row r="166" spans="1:5" x14ac:dyDescent="0.2">
      <c r="A166" s="144">
        <v>162</v>
      </c>
      <c r="B166" s="256">
        <v>47515</v>
      </c>
      <c r="C166" s="254">
        <v>3.9999999999999994E-2</v>
      </c>
      <c r="D166" s="254">
        <f t="shared" si="6"/>
        <v>9.9000000000000005E-2</v>
      </c>
      <c r="E166" s="254">
        <f t="shared" si="5"/>
        <v>9.9000000000000005E-2</v>
      </c>
    </row>
    <row r="167" spans="1:5" x14ac:dyDescent="0.2">
      <c r="A167" s="144">
        <v>163</v>
      </c>
      <c r="B167" s="256">
        <v>47543</v>
      </c>
      <c r="C167" s="254">
        <v>3.9999999999999994E-2</v>
      </c>
      <c r="D167" s="254">
        <f t="shared" si="6"/>
        <v>9.9000000000000005E-2</v>
      </c>
      <c r="E167" s="254">
        <f t="shared" si="5"/>
        <v>9.9000000000000005E-2</v>
      </c>
    </row>
    <row r="168" spans="1:5" x14ac:dyDescent="0.2">
      <c r="A168" s="144">
        <v>164</v>
      </c>
      <c r="B168" s="256">
        <v>47574</v>
      </c>
      <c r="C168" s="254">
        <v>3.9999999999999994E-2</v>
      </c>
      <c r="D168" s="254">
        <f t="shared" si="6"/>
        <v>9.9000000000000005E-2</v>
      </c>
      <c r="E168" s="254">
        <f t="shared" si="5"/>
        <v>9.9000000000000005E-2</v>
      </c>
    </row>
    <row r="169" spans="1:5" x14ac:dyDescent="0.2">
      <c r="A169" s="144">
        <v>165</v>
      </c>
      <c r="B169" s="256">
        <v>47604</v>
      </c>
      <c r="C169" s="254">
        <v>3.9999999999999994E-2</v>
      </c>
      <c r="D169" s="254">
        <f t="shared" si="6"/>
        <v>9.9000000000000005E-2</v>
      </c>
      <c r="E169" s="254">
        <f t="shared" si="5"/>
        <v>9.9000000000000005E-2</v>
      </c>
    </row>
    <row r="170" spans="1:5" x14ac:dyDescent="0.2">
      <c r="A170" s="144">
        <v>166</v>
      </c>
      <c r="B170" s="256">
        <v>47635</v>
      </c>
      <c r="C170" s="254">
        <v>3.9999999999999994E-2</v>
      </c>
      <c r="D170" s="254">
        <f t="shared" si="6"/>
        <v>9.9000000000000005E-2</v>
      </c>
      <c r="E170" s="254">
        <f t="shared" si="5"/>
        <v>9.9000000000000005E-2</v>
      </c>
    </row>
    <row r="171" spans="1:5" x14ac:dyDescent="0.2">
      <c r="A171" s="144">
        <v>167</v>
      </c>
      <c r="B171" s="256">
        <v>47665</v>
      </c>
      <c r="C171" s="254">
        <v>3.9999999999999994E-2</v>
      </c>
      <c r="D171" s="254">
        <f t="shared" si="6"/>
        <v>9.9000000000000005E-2</v>
      </c>
      <c r="E171" s="254">
        <f t="shared" si="5"/>
        <v>9.9000000000000005E-2</v>
      </c>
    </row>
    <row r="172" spans="1:5" x14ac:dyDescent="0.2">
      <c r="A172" s="144">
        <v>168</v>
      </c>
      <c r="B172" s="256">
        <v>47696</v>
      </c>
      <c r="C172" s="254">
        <v>3.9999999999999994E-2</v>
      </c>
      <c r="D172" s="254">
        <f t="shared" si="6"/>
        <v>9.9000000000000005E-2</v>
      </c>
      <c r="E172" s="254">
        <f t="shared" si="5"/>
        <v>9.9000000000000005E-2</v>
      </c>
    </row>
    <row r="173" spans="1:5" x14ac:dyDescent="0.2">
      <c r="A173" s="144">
        <v>169</v>
      </c>
      <c r="B173" s="256">
        <v>47727</v>
      </c>
      <c r="C173" s="254">
        <v>3.9999999999999994E-2</v>
      </c>
      <c r="D173" s="254">
        <f t="shared" si="6"/>
        <v>9.9000000000000005E-2</v>
      </c>
      <c r="E173" s="254">
        <f t="shared" si="5"/>
        <v>9.9000000000000005E-2</v>
      </c>
    </row>
    <row r="174" spans="1:5" x14ac:dyDescent="0.2">
      <c r="A174" s="144">
        <v>170</v>
      </c>
      <c r="B174" s="256">
        <v>47757</v>
      </c>
      <c r="C174" s="254">
        <v>3.9999999999999994E-2</v>
      </c>
      <c r="D174" s="254">
        <f t="shared" si="6"/>
        <v>9.9000000000000005E-2</v>
      </c>
      <c r="E174" s="254">
        <f t="shared" si="5"/>
        <v>9.9000000000000005E-2</v>
      </c>
    </row>
    <row r="175" spans="1:5" x14ac:dyDescent="0.2">
      <c r="A175" s="144">
        <v>171</v>
      </c>
      <c r="B175" s="256">
        <v>47788</v>
      </c>
      <c r="C175" s="254">
        <v>3.9999999999999994E-2</v>
      </c>
      <c r="D175" s="254">
        <f t="shared" si="6"/>
        <v>9.9000000000000005E-2</v>
      </c>
      <c r="E175" s="254">
        <f t="shared" si="5"/>
        <v>9.9000000000000005E-2</v>
      </c>
    </row>
    <row r="176" spans="1:5" x14ac:dyDescent="0.2">
      <c r="A176" s="144">
        <v>172</v>
      </c>
      <c r="B176" s="256">
        <v>47818</v>
      </c>
      <c r="C176" s="254">
        <v>3.9999999999999994E-2</v>
      </c>
      <c r="D176" s="254">
        <f t="shared" si="6"/>
        <v>9.9000000000000005E-2</v>
      </c>
      <c r="E176" s="254">
        <f t="shared" si="5"/>
        <v>9.9000000000000005E-2</v>
      </c>
    </row>
    <row r="177" spans="1:5" x14ac:dyDescent="0.2">
      <c r="A177" s="144">
        <v>173</v>
      </c>
      <c r="B177" s="256">
        <v>47849</v>
      </c>
      <c r="C177" s="254">
        <v>3.9999999999999994E-2</v>
      </c>
      <c r="D177" s="254">
        <f t="shared" si="6"/>
        <v>9.9000000000000005E-2</v>
      </c>
      <c r="E177" s="254">
        <f t="shared" si="5"/>
        <v>9.9000000000000005E-2</v>
      </c>
    </row>
    <row r="178" spans="1:5" x14ac:dyDescent="0.2">
      <c r="A178" s="144">
        <v>174</v>
      </c>
      <c r="B178" s="256">
        <v>47880</v>
      </c>
      <c r="C178" s="254">
        <v>3.9999999999999994E-2</v>
      </c>
      <c r="D178" s="254">
        <f t="shared" si="6"/>
        <v>9.9000000000000005E-2</v>
      </c>
      <c r="E178" s="254">
        <f t="shared" si="5"/>
        <v>9.9000000000000005E-2</v>
      </c>
    </row>
    <row r="179" spans="1:5" x14ac:dyDescent="0.2">
      <c r="A179" s="144">
        <v>175</v>
      </c>
      <c r="B179" s="256">
        <v>47908</v>
      </c>
      <c r="C179" s="254">
        <v>3.9999999999999994E-2</v>
      </c>
      <c r="D179" s="254">
        <f t="shared" si="6"/>
        <v>9.9000000000000005E-2</v>
      </c>
      <c r="E179" s="254">
        <f t="shared" si="5"/>
        <v>9.9000000000000005E-2</v>
      </c>
    </row>
    <row r="180" spans="1:5" x14ac:dyDescent="0.2">
      <c r="A180" s="144">
        <v>176</v>
      </c>
      <c r="B180" s="256">
        <v>47939</v>
      </c>
      <c r="C180" s="254">
        <v>3.9999999999999994E-2</v>
      </c>
      <c r="D180" s="254">
        <f t="shared" si="6"/>
        <v>9.9000000000000005E-2</v>
      </c>
      <c r="E180" s="254">
        <f t="shared" si="5"/>
        <v>9.9000000000000005E-2</v>
      </c>
    </row>
    <row r="181" spans="1:5" x14ac:dyDescent="0.2">
      <c r="A181" s="144">
        <v>177</v>
      </c>
      <c r="B181" s="256">
        <v>47969</v>
      </c>
      <c r="C181" s="254">
        <v>3.9999999999999994E-2</v>
      </c>
      <c r="D181" s="254">
        <f t="shared" si="6"/>
        <v>9.9000000000000005E-2</v>
      </c>
      <c r="E181" s="254">
        <f t="shared" si="5"/>
        <v>9.9000000000000005E-2</v>
      </c>
    </row>
    <row r="182" spans="1:5" x14ac:dyDescent="0.2">
      <c r="A182" s="144">
        <v>178</v>
      </c>
      <c r="B182" s="256">
        <v>48000</v>
      </c>
      <c r="C182" s="254">
        <v>3.9999999999999994E-2</v>
      </c>
      <c r="D182" s="254">
        <f t="shared" si="6"/>
        <v>9.9000000000000005E-2</v>
      </c>
      <c r="E182" s="254">
        <f t="shared" si="5"/>
        <v>9.9000000000000005E-2</v>
      </c>
    </row>
    <row r="183" spans="1:5" x14ac:dyDescent="0.2">
      <c r="A183" s="144">
        <v>179</v>
      </c>
      <c r="B183" s="256">
        <v>48030</v>
      </c>
      <c r="C183" s="254">
        <v>3.9999999999999994E-2</v>
      </c>
      <c r="D183" s="254">
        <f t="shared" si="6"/>
        <v>9.9000000000000005E-2</v>
      </c>
      <c r="E183" s="254">
        <f t="shared" si="5"/>
        <v>9.9000000000000005E-2</v>
      </c>
    </row>
    <row r="184" spans="1:5" x14ac:dyDescent="0.2">
      <c r="A184" s="144">
        <v>180</v>
      </c>
      <c r="B184" s="256">
        <v>48061</v>
      </c>
      <c r="C184" s="254">
        <v>3.9999999999999994E-2</v>
      </c>
      <c r="D184" s="254">
        <f t="shared" si="6"/>
        <v>9.9000000000000005E-2</v>
      </c>
      <c r="E184" s="254">
        <f t="shared" si="5"/>
        <v>9.9000000000000005E-2</v>
      </c>
    </row>
    <row r="185" spans="1:5" x14ac:dyDescent="0.2">
      <c r="A185" s="144">
        <v>181</v>
      </c>
      <c r="B185" s="256">
        <v>48092</v>
      </c>
      <c r="C185" s="254">
        <v>3.9999999999999994E-2</v>
      </c>
      <c r="D185" s="254">
        <f t="shared" si="6"/>
        <v>9.9000000000000005E-2</v>
      </c>
      <c r="E185" s="254">
        <f t="shared" si="5"/>
        <v>9.9000000000000005E-2</v>
      </c>
    </row>
    <row r="186" spans="1:5" x14ac:dyDescent="0.2">
      <c r="A186" s="144">
        <v>182</v>
      </c>
      <c r="B186" s="256">
        <v>48122</v>
      </c>
      <c r="C186" s="254">
        <v>3.9999999999999994E-2</v>
      </c>
      <c r="D186" s="254">
        <f t="shared" si="6"/>
        <v>9.9000000000000005E-2</v>
      </c>
      <c r="E186" s="254">
        <f t="shared" si="5"/>
        <v>9.9000000000000005E-2</v>
      </c>
    </row>
    <row r="187" spans="1:5" x14ac:dyDescent="0.2">
      <c r="A187" s="144">
        <v>183</v>
      </c>
      <c r="B187" s="256">
        <v>48153</v>
      </c>
      <c r="C187" s="254">
        <v>3.9999999999999994E-2</v>
      </c>
      <c r="D187" s="254">
        <f t="shared" si="6"/>
        <v>9.9000000000000005E-2</v>
      </c>
      <c r="E187" s="254">
        <f t="shared" si="5"/>
        <v>9.9000000000000005E-2</v>
      </c>
    </row>
    <row r="188" spans="1:5" x14ac:dyDescent="0.2">
      <c r="A188" s="144">
        <v>184</v>
      </c>
      <c r="B188" s="256">
        <v>48183</v>
      </c>
      <c r="C188" s="254">
        <v>3.9999999999999994E-2</v>
      </c>
      <c r="D188" s="254">
        <f t="shared" si="6"/>
        <v>9.9000000000000005E-2</v>
      </c>
      <c r="E188" s="254">
        <f t="shared" si="5"/>
        <v>9.9000000000000005E-2</v>
      </c>
    </row>
    <row r="189" spans="1:5" x14ac:dyDescent="0.2">
      <c r="A189" s="144">
        <v>185</v>
      </c>
      <c r="B189" s="256">
        <v>48214</v>
      </c>
      <c r="C189" s="254">
        <v>3.9999999999999994E-2</v>
      </c>
      <c r="D189" s="254">
        <f t="shared" si="6"/>
        <v>9.9000000000000005E-2</v>
      </c>
      <c r="E189" s="254">
        <f t="shared" si="5"/>
        <v>9.9000000000000005E-2</v>
      </c>
    </row>
    <row r="190" spans="1:5" x14ac:dyDescent="0.2">
      <c r="A190" s="144">
        <v>186</v>
      </c>
      <c r="B190" s="256">
        <v>48245</v>
      </c>
      <c r="C190" s="254">
        <v>3.9999999999999994E-2</v>
      </c>
      <c r="D190" s="254">
        <f t="shared" si="6"/>
        <v>9.9000000000000005E-2</v>
      </c>
      <c r="E190" s="254">
        <f t="shared" si="5"/>
        <v>9.9000000000000005E-2</v>
      </c>
    </row>
    <row r="191" spans="1:5" x14ac:dyDescent="0.2">
      <c r="A191" s="144">
        <v>187</v>
      </c>
      <c r="B191" s="256">
        <v>48274</v>
      </c>
      <c r="C191" s="254">
        <v>3.9999999999999994E-2</v>
      </c>
      <c r="D191" s="254">
        <f t="shared" si="6"/>
        <v>9.9000000000000005E-2</v>
      </c>
      <c r="E191" s="254">
        <f t="shared" si="5"/>
        <v>9.9000000000000005E-2</v>
      </c>
    </row>
    <row r="192" spans="1:5" x14ac:dyDescent="0.2">
      <c r="A192" s="144">
        <v>188</v>
      </c>
      <c r="B192" s="256">
        <v>48305</v>
      </c>
      <c r="C192" s="254">
        <v>3.9999999999999994E-2</v>
      </c>
      <c r="D192" s="254">
        <f t="shared" si="6"/>
        <v>9.9000000000000005E-2</v>
      </c>
      <c r="E192" s="254">
        <f t="shared" si="5"/>
        <v>9.9000000000000005E-2</v>
      </c>
    </row>
    <row r="193" spans="1:5" x14ac:dyDescent="0.2">
      <c r="A193" s="144">
        <v>189</v>
      </c>
      <c r="B193" s="256">
        <v>48335</v>
      </c>
      <c r="C193" s="254">
        <v>3.9999999999999994E-2</v>
      </c>
      <c r="D193" s="254">
        <f t="shared" si="6"/>
        <v>9.9000000000000005E-2</v>
      </c>
      <c r="E193" s="254">
        <f t="shared" si="5"/>
        <v>9.9000000000000005E-2</v>
      </c>
    </row>
    <row r="194" spans="1:5" x14ac:dyDescent="0.2">
      <c r="A194" s="144">
        <v>190</v>
      </c>
      <c r="B194" s="256">
        <v>48366</v>
      </c>
      <c r="C194" s="254">
        <v>3.9999999999999994E-2</v>
      </c>
      <c r="D194" s="254">
        <f t="shared" si="6"/>
        <v>9.9000000000000005E-2</v>
      </c>
      <c r="E194" s="254">
        <f t="shared" si="5"/>
        <v>9.9000000000000005E-2</v>
      </c>
    </row>
    <row r="195" spans="1:5" x14ac:dyDescent="0.2">
      <c r="A195" s="144">
        <v>191</v>
      </c>
      <c r="B195" s="256">
        <v>48396</v>
      </c>
      <c r="C195" s="254">
        <v>3.9999999999999994E-2</v>
      </c>
      <c r="D195" s="254">
        <f t="shared" si="6"/>
        <v>9.9000000000000005E-2</v>
      </c>
      <c r="E195" s="254">
        <f t="shared" si="5"/>
        <v>9.9000000000000005E-2</v>
      </c>
    </row>
    <row r="196" spans="1:5" x14ac:dyDescent="0.2">
      <c r="A196" s="144">
        <v>192</v>
      </c>
      <c r="B196" s="256">
        <v>48427</v>
      </c>
      <c r="C196" s="254">
        <v>3.9999999999999994E-2</v>
      </c>
      <c r="D196" s="254">
        <f t="shared" si="6"/>
        <v>9.9000000000000005E-2</v>
      </c>
      <c r="E196" s="254">
        <f t="shared" si="5"/>
        <v>9.9000000000000005E-2</v>
      </c>
    </row>
    <row r="197" spans="1:5" x14ac:dyDescent="0.2">
      <c r="A197" s="144">
        <v>193</v>
      </c>
      <c r="B197" s="256">
        <v>48458</v>
      </c>
      <c r="C197" s="254">
        <v>3.9999999999999994E-2</v>
      </c>
      <c r="D197" s="254">
        <f t="shared" si="6"/>
        <v>9.9000000000000005E-2</v>
      </c>
      <c r="E197" s="254">
        <f t="shared" si="5"/>
        <v>9.9000000000000005E-2</v>
      </c>
    </row>
    <row r="198" spans="1:5" x14ac:dyDescent="0.2">
      <c r="A198" s="144">
        <v>194</v>
      </c>
      <c r="B198" s="256">
        <v>48488</v>
      </c>
      <c r="C198" s="254">
        <v>3.9999999999999994E-2</v>
      </c>
      <c r="D198" s="254">
        <f t="shared" si="6"/>
        <v>9.9000000000000005E-2</v>
      </c>
      <c r="E198" s="254">
        <f t="shared" ref="E198:E261" si="7">D198+$C$1+$C$2+$E$2</f>
        <v>9.9000000000000005E-2</v>
      </c>
    </row>
    <row r="199" spans="1:5" x14ac:dyDescent="0.2">
      <c r="A199" s="144">
        <v>195</v>
      </c>
      <c r="B199" s="256">
        <v>48519</v>
      </c>
      <c r="C199" s="254">
        <v>3.9999999999999994E-2</v>
      </c>
      <c r="D199" s="254">
        <f t="shared" si="6"/>
        <v>9.9000000000000005E-2</v>
      </c>
      <c r="E199" s="254">
        <f t="shared" si="7"/>
        <v>9.9000000000000005E-2</v>
      </c>
    </row>
    <row r="200" spans="1:5" x14ac:dyDescent="0.2">
      <c r="A200" s="144">
        <v>196</v>
      </c>
      <c r="B200" s="256">
        <v>48549</v>
      </c>
      <c r="C200" s="254">
        <v>3.9999999999999994E-2</v>
      </c>
      <c r="D200" s="254">
        <f t="shared" si="6"/>
        <v>9.9000000000000005E-2</v>
      </c>
      <c r="E200" s="254">
        <f t="shared" si="7"/>
        <v>9.9000000000000005E-2</v>
      </c>
    </row>
    <row r="201" spans="1:5" x14ac:dyDescent="0.2">
      <c r="A201" s="144">
        <v>197</v>
      </c>
      <c r="B201" s="256">
        <v>48580</v>
      </c>
      <c r="C201" s="254">
        <v>3.9999999999999994E-2</v>
      </c>
      <c r="D201" s="254">
        <f t="shared" si="6"/>
        <v>9.9000000000000005E-2</v>
      </c>
      <c r="E201" s="254">
        <f t="shared" si="7"/>
        <v>9.9000000000000005E-2</v>
      </c>
    </row>
    <row r="202" spans="1:5" x14ac:dyDescent="0.2">
      <c r="A202" s="144">
        <v>198</v>
      </c>
      <c r="B202" s="256">
        <v>48611</v>
      </c>
      <c r="C202" s="254">
        <v>3.9999999999999994E-2</v>
      </c>
      <c r="D202" s="254">
        <f t="shared" ref="D202:D265" si="8">C202+5.9%</f>
        <v>9.9000000000000005E-2</v>
      </c>
      <c r="E202" s="254">
        <f t="shared" si="7"/>
        <v>9.9000000000000005E-2</v>
      </c>
    </row>
    <row r="203" spans="1:5" x14ac:dyDescent="0.2">
      <c r="A203" s="144">
        <v>199</v>
      </c>
      <c r="B203" s="256">
        <v>48639</v>
      </c>
      <c r="C203" s="254">
        <v>3.9999999999999994E-2</v>
      </c>
      <c r="D203" s="254">
        <f t="shared" si="8"/>
        <v>9.9000000000000005E-2</v>
      </c>
      <c r="E203" s="254">
        <f t="shared" si="7"/>
        <v>9.9000000000000005E-2</v>
      </c>
    </row>
    <row r="204" spans="1:5" x14ac:dyDescent="0.2">
      <c r="A204" s="144">
        <v>200</v>
      </c>
      <c r="B204" s="256">
        <v>48670</v>
      </c>
      <c r="C204" s="254">
        <v>3.9999999999999994E-2</v>
      </c>
      <c r="D204" s="254">
        <f t="shared" si="8"/>
        <v>9.9000000000000005E-2</v>
      </c>
      <c r="E204" s="254">
        <f t="shared" si="7"/>
        <v>9.9000000000000005E-2</v>
      </c>
    </row>
    <row r="205" spans="1:5" x14ac:dyDescent="0.2">
      <c r="A205" s="144">
        <v>201</v>
      </c>
      <c r="B205" s="256">
        <v>48700</v>
      </c>
      <c r="C205" s="254">
        <v>3.9999999999999994E-2</v>
      </c>
      <c r="D205" s="254">
        <f t="shared" si="8"/>
        <v>9.9000000000000005E-2</v>
      </c>
      <c r="E205" s="254">
        <f t="shared" si="7"/>
        <v>9.9000000000000005E-2</v>
      </c>
    </row>
    <row r="206" spans="1:5" x14ac:dyDescent="0.2">
      <c r="A206" s="144">
        <v>202</v>
      </c>
      <c r="B206" s="256">
        <v>48731</v>
      </c>
      <c r="C206" s="254">
        <v>3.9999999999999994E-2</v>
      </c>
      <c r="D206" s="254">
        <f t="shared" si="8"/>
        <v>9.9000000000000005E-2</v>
      </c>
      <c r="E206" s="254">
        <f t="shared" si="7"/>
        <v>9.9000000000000005E-2</v>
      </c>
    </row>
    <row r="207" spans="1:5" x14ac:dyDescent="0.2">
      <c r="A207" s="144">
        <v>203</v>
      </c>
      <c r="B207" s="256">
        <v>48761</v>
      </c>
      <c r="C207" s="254">
        <v>3.9999999999999994E-2</v>
      </c>
      <c r="D207" s="254">
        <f t="shared" si="8"/>
        <v>9.9000000000000005E-2</v>
      </c>
      <c r="E207" s="254">
        <f t="shared" si="7"/>
        <v>9.9000000000000005E-2</v>
      </c>
    </row>
    <row r="208" spans="1:5" x14ac:dyDescent="0.2">
      <c r="A208" s="144">
        <v>204</v>
      </c>
      <c r="B208" s="256">
        <v>48792</v>
      </c>
      <c r="C208" s="254">
        <v>3.9999999999999994E-2</v>
      </c>
      <c r="D208" s="254">
        <f t="shared" si="8"/>
        <v>9.9000000000000005E-2</v>
      </c>
      <c r="E208" s="254">
        <f t="shared" si="7"/>
        <v>9.9000000000000005E-2</v>
      </c>
    </row>
    <row r="209" spans="1:5" x14ac:dyDescent="0.2">
      <c r="A209" s="144">
        <v>205</v>
      </c>
      <c r="B209" s="256">
        <v>48823</v>
      </c>
      <c r="C209" s="254">
        <v>3.9999999999999994E-2</v>
      </c>
      <c r="D209" s="254">
        <f t="shared" si="8"/>
        <v>9.9000000000000005E-2</v>
      </c>
      <c r="E209" s="254">
        <f t="shared" si="7"/>
        <v>9.9000000000000005E-2</v>
      </c>
    </row>
    <row r="210" spans="1:5" x14ac:dyDescent="0.2">
      <c r="A210" s="144">
        <v>206</v>
      </c>
      <c r="B210" s="256">
        <v>48853</v>
      </c>
      <c r="C210" s="254">
        <v>3.9999999999999994E-2</v>
      </c>
      <c r="D210" s="254">
        <f t="shared" si="8"/>
        <v>9.9000000000000005E-2</v>
      </c>
      <c r="E210" s="254">
        <f t="shared" si="7"/>
        <v>9.9000000000000005E-2</v>
      </c>
    </row>
    <row r="211" spans="1:5" x14ac:dyDescent="0.2">
      <c r="A211" s="144">
        <v>207</v>
      </c>
      <c r="B211" s="256">
        <v>48884</v>
      </c>
      <c r="C211" s="254">
        <v>3.9999999999999994E-2</v>
      </c>
      <c r="D211" s="254">
        <f t="shared" si="8"/>
        <v>9.9000000000000005E-2</v>
      </c>
      <c r="E211" s="254">
        <f t="shared" si="7"/>
        <v>9.9000000000000005E-2</v>
      </c>
    </row>
    <row r="212" spans="1:5" x14ac:dyDescent="0.2">
      <c r="A212" s="144">
        <v>208</v>
      </c>
      <c r="B212" s="256">
        <v>48914</v>
      </c>
      <c r="C212" s="254">
        <v>3.9999999999999994E-2</v>
      </c>
      <c r="D212" s="254">
        <f t="shared" si="8"/>
        <v>9.9000000000000005E-2</v>
      </c>
      <c r="E212" s="254">
        <f t="shared" si="7"/>
        <v>9.9000000000000005E-2</v>
      </c>
    </row>
    <row r="213" spans="1:5" x14ac:dyDescent="0.2">
      <c r="A213" s="144">
        <v>209</v>
      </c>
      <c r="B213" s="256">
        <v>48945</v>
      </c>
      <c r="C213" s="254">
        <v>3.9999999999999994E-2</v>
      </c>
      <c r="D213" s="254">
        <f t="shared" si="8"/>
        <v>9.9000000000000005E-2</v>
      </c>
      <c r="E213" s="254">
        <f t="shared" si="7"/>
        <v>9.9000000000000005E-2</v>
      </c>
    </row>
    <row r="214" spans="1:5" x14ac:dyDescent="0.2">
      <c r="A214" s="144">
        <v>210</v>
      </c>
      <c r="B214" s="256">
        <v>48976</v>
      </c>
      <c r="C214" s="254">
        <v>3.9999999999999994E-2</v>
      </c>
      <c r="D214" s="254">
        <f t="shared" si="8"/>
        <v>9.9000000000000005E-2</v>
      </c>
      <c r="E214" s="254">
        <f t="shared" si="7"/>
        <v>9.9000000000000005E-2</v>
      </c>
    </row>
    <row r="215" spans="1:5" x14ac:dyDescent="0.2">
      <c r="A215" s="144">
        <v>211</v>
      </c>
      <c r="B215" s="256">
        <v>49004</v>
      </c>
      <c r="C215" s="254">
        <v>3.9999999999999994E-2</v>
      </c>
      <c r="D215" s="254">
        <f t="shared" si="8"/>
        <v>9.9000000000000005E-2</v>
      </c>
      <c r="E215" s="254">
        <f t="shared" si="7"/>
        <v>9.9000000000000005E-2</v>
      </c>
    </row>
    <row r="216" spans="1:5" x14ac:dyDescent="0.2">
      <c r="A216" s="144">
        <v>212</v>
      </c>
      <c r="B216" s="256">
        <v>49035</v>
      </c>
      <c r="C216" s="254">
        <v>3.9999999999999994E-2</v>
      </c>
      <c r="D216" s="254">
        <f t="shared" si="8"/>
        <v>9.9000000000000005E-2</v>
      </c>
      <c r="E216" s="254">
        <f t="shared" si="7"/>
        <v>9.9000000000000005E-2</v>
      </c>
    </row>
    <row r="217" spans="1:5" x14ac:dyDescent="0.2">
      <c r="A217" s="144">
        <v>213</v>
      </c>
      <c r="B217" s="256">
        <v>49065</v>
      </c>
      <c r="C217" s="254">
        <v>3.9999999999999994E-2</v>
      </c>
      <c r="D217" s="254">
        <f t="shared" si="8"/>
        <v>9.9000000000000005E-2</v>
      </c>
      <c r="E217" s="254">
        <f t="shared" si="7"/>
        <v>9.9000000000000005E-2</v>
      </c>
    </row>
    <row r="218" spans="1:5" x14ac:dyDescent="0.2">
      <c r="A218" s="144">
        <v>214</v>
      </c>
      <c r="B218" s="256">
        <v>49096</v>
      </c>
      <c r="C218" s="254">
        <v>3.9999999999999994E-2</v>
      </c>
      <c r="D218" s="254">
        <f t="shared" si="8"/>
        <v>9.9000000000000005E-2</v>
      </c>
      <c r="E218" s="254">
        <f t="shared" si="7"/>
        <v>9.9000000000000005E-2</v>
      </c>
    </row>
    <row r="219" spans="1:5" x14ac:dyDescent="0.2">
      <c r="A219" s="144">
        <v>215</v>
      </c>
      <c r="B219" s="256">
        <v>49126</v>
      </c>
      <c r="C219" s="254">
        <v>3.9999999999999994E-2</v>
      </c>
      <c r="D219" s="254">
        <f t="shared" si="8"/>
        <v>9.9000000000000005E-2</v>
      </c>
      <c r="E219" s="254">
        <f t="shared" si="7"/>
        <v>9.9000000000000005E-2</v>
      </c>
    </row>
    <row r="220" spans="1:5" x14ac:dyDescent="0.2">
      <c r="A220" s="144">
        <v>216</v>
      </c>
      <c r="B220" s="256">
        <v>49157</v>
      </c>
      <c r="C220" s="254">
        <v>3.9999999999999994E-2</v>
      </c>
      <c r="D220" s="254">
        <f t="shared" si="8"/>
        <v>9.9000000000000005E-2</v>
      </c>
      <c r="E220" s="254">
        <f t="shared" si="7"/>
        <v>9.9000000000000005E-2</v>
      </c>
    </row>
    <row r="221" spans="1:5" x14ac:dyDescent="0.2">
      <c r="A221" s="144">
        <v>217</v>
      </c>
      <c r="B221" s="256">
        <v>49188</v>
      </c>
      <c r="C221" s="254">
        <v>3.9999999999999994E-2</v>
      </c>
      <c r="D221" s="254">
        <f t="shared" si="8"/>
        <v>9.9000000000000005E-2</v>
      </c>
      <c r="E221" s="254">
        <f t="shared" si="7"/>
        <v>9.9000000000000005E-2</v>
      </c>
    </row>
    <row r="222" spans="1:5" x14ac:dyDescent="0.2">
      <c r="A222" s="144">
        <v>218</v>
      </c>
      <c r="B222" s="256">
        <v>49218</v>
      </c>
      <c r="C222" s="254">
        <v>3.9999999999999994E-2</v>
      </c>
      <c r="D222" s="254">
        <f t="shared" si="8"/>
        <v>9.9000000000000005E-2</v>
      </c>
      <c r="E222" s="254">
        <f t="shared" si="7"/>
        <v>9.9000000000000005E-2</v>
      </c>
    </row>
    <row r="223" spans="1:5" x14ac:dyDescent="0.2">
      <c r="A223" s="144">
        <v>219</v>
      </c>
      <c r="B223" s="256">
        <v>49249</v>
      </c>
      <c r="C223" s="254">
        <v>3.9999999999999994E-2</v>
      </c>
      <c r="D223" s="254">
        <f t="shared" si="8"/>
        <v>9.9000000000000005E-2</v>
      </c>
      <c r="E223" s="254">
        <f t="shared" si="7"/>
        <v>9.9000000000000005E-2</v>
      </c>
    </row>
    <row r="224" spans="1:5" x14ac:dyDescent="0.2">
      <c r="A224" s="144">
        <v>220</v>
      </c>
      <c r="B224" s="256">
        <v>49279</v>
      </c>
      <c r="C224" s="254">
        <v>3.9999999999999994E-2</v>
      </c>
      <c r="D224" s="254">
        <f t="shared" si="8"/>
        <v>9.9000000000000005E-2</v>
      </c>
      <c r="E224" s="254">
        <f t="shared" si="7"/>
        <v>9.9000000000000005E-2</v>
      </c>
    </row>
    <row r="225" spans="1:5" x14ac:dyDescent="0.2">
      <c r="A225" s="144">
        <v>221</v>
      </c>
      <c r="B225" s="256">
        <v>49310</v>
      </c>
      <c r="C225" s="254">
        <v>3.9999999999999994E-2</v>
      </c>
      <c r="D225" s="254">
        <f t="shared" si="8"/>
        <v>9.9000000000000005E-2</v>
      </c>
      <c r="E225" s="254">
        <f t="shared" si="7"/>
        <v>9.9000000000000005E-2</v>
      </c>
    </row>
    <row r="226" spans="1:5" x14ac:dyDescent="0.2">
      <c r="A226" s="144">
        <v>222</v>
      </c>
      <c r="B226" s="256">
        <v>49341</v>
      </c>
      <c r="C226" s="254">
        <v>3.9999999999999994E-2</v>
      </c>
      <c r="D226" s="254">
        <f t="shared" si="8"/>
        <v>9.9000000000000005E-2</v>
      </c>
      <c r="E226" s="254">
        <f t="shared" si="7"/>
        <v>9.9000000000000005E-2</v>
      </c>
    </row>
    <row r="227" spans="1:5" x14ac:dyDescent="0.2">
      <c r="A227" s="144">
        <v>223</v>
      </c>
      <c r="B227" s="256">
        <v>49369</v>
      </c>
      <c r="C227" s="254">
        <v>3.9999999999999994E-2</v>
      </c>
      <c r="D227" s="254">
        <f t="shared" si="8"/>
        <v>9.9000000000000005E-2</v>
      </c>
      <c r="E227" s="254">
        <f t="shared" si="7"/>
        <v>9.9000000000000005E-2</v>
      </c>
    </row>
    <row r="228" spans="1:5" x14ac:dyDescent="0.2">
      <c r="A228" s="144">
        <v>224</v>
      </c>
      <c r="B228" s="256">
        <v>49400</v>
      </c>
      <c r="C228" s="254">
        <v>3.9999999999999994E-2</v>
      </c>
      <c r="D228" s="254">
        <f t="shared" si="8"/>
        <v>9.9000000000000005E-2</v>
      </c>
      <c r="E228" s="254">
        <f t="shared" si="7"/>
        <v>9.9000000000000005E-2</v>
      </c>
    </row>
    <row r="229" spans="1:5" x14ac:dyDescent="0.2">
      <c r="A229" s="144">
        <v>225</v>
      </c>
      <c r="B229" s="256">
        <v>49430</v>
      </c>
      <c r="C229" s="254">
        <v>3.9999999999999994E-2</v>
      </c>
      <c r="D229" s="254">
        <f t="shared" si="8"/>
        <v>9.9000000000000005E-2</v>
      </c>
      <c r="E229" s="254">
        <f t="shared" si="7"/>
        <v>9.9000000000000005E-2</v>
      </c>
    </row>
    <row r="230" spans="1:5" x14ac:dyDescent="0.2">
      <c r="A230" s="144">
        <v>226</v>
      </c>
      <c r="B230" s="256">
        <v>49461</v>
      </c>
      <c r="C230" s="254">
        <v>3.9999999999999994E-2</v>
      </c>
      <c r="D230" s="254">
        <f t="shared" si="8"/>
        <v>9.9000000000000005E-2</v>
      </c>
      <c r="E230" s="254">
        <f t="shared" si="7"/>
        <v>9.9000000000000005E-2</v>
      </c>
    </row>
    <row r="231" spans="1:5" x14ac:dyDescent="0.2">
      <c r="A231" s="144">
        <v>227</v>
      </c>
      <c r="B231" s="256">
        <v>49491</v>
      </c>
      <c r="C231" s="254">
        <v>3.9999999999999994E-2</v>
      </c>
      <c r="D231" s="254">
        <f t="shared" si="8"/>
        <v>9.9000000000000005E-2</v>
      </c>
      <c r="E231" s="254">
        <f t="shared" si="7"/>
        <v>9.9000000000000005E-2</v>
      </c>
    </row>
    <row r="232" spans="1:5" x14ac:dyDescent="0.2">
      <c r="A232" s="144">
        <v>228</v>
      </c>
      <c r="B232" s="256">
        <v>49522</v>
      </c>
      <c r="C232" s="254">
        <v>3.9999999999999994E-2</v>
      </c>
      <c r="D232" s="254">
        <f t="shared" si="8"/>
        <v>9.9000000000000005E-2</v>
      </c>
      <c r="E232" s="254">
        <f t="shared" si="7"/>
        <v>9.9000000000000005E-2</v>
      </c>
    </row>
    <row r="233" spans="1:5" x14ac:dyDescent="0.2">
      <c r="A233" s="144">
        <v>229</v>
      </c>
      <c r="B233" s="256">
        <v>49553</v>
      </c>
      <c r="C233" s="254">
        <v>3.9999999999999994E-2</v>
      </c>
      <c r="D233" s="254">
        <f t="shared" si="8"/>
        <v>9.9000000000000005E-2</v>
      </c>
      <c r="E233" s="254">
        <f t="shared" si="7"/>
        <v>9.9000000000000005E-2</v>
      </c>
    </row>
    <row r="234" spans="1:5" x14ac:dyDescent="0.2">
      <c r="A234" s="144">
        <v>230</v>
      </c>
      <c r="B234" s="256">
        <v>49583</v>
      </c>
      <c r="C234" s="254">
        <v>3.9999999999999994E-2</v>
      </c>
      <c r="D234" s="254">
        <f t="shared" si="8"/>
        <v>9.9000000000000005E-2</v>
      </c>
      <c r="E234" s="254">
        <f t="shared" si="7"/>
        <v>9.9000000000000005E-2</v>
      </c>
    </row>
    <row r="235" spans="1:5" x14ac:dyDescent="0.2">
      <c r="A235" s="144">
        <v>231</v>
      </c>
      <c r="B235" s="256">
        <v>49614</v>
      </c>
      <c r="C235" s="254">
        <v>3.9999999999999994E-2</v>
      </c>
      <c r="D235" s="254">
        <f t="shared" si="8"/>
        <v>9.9000000000000005E-2</v>
      </c>
      <c r="E235" s="254">
        <f t="shared" si="7"/>
        <v>9.9000000000000005E-2</v>
      </c>
    </row>
    <row r="236" spans="1:5" x14ac:dyDescent="0.2">
      <c r="A236" s="144">
        <v>232</v>
      </c>
      <c r="B236" s="256">
        <v>49644</v>
      </c>
      <c r="C236" s="254">
        <v>3.9999999999999994E-2</v>
      </c>
      <c r="D236" s="254">
        <f t="shared" si="8"/>
        <v>9.9000000000000005E-2</v>
      </c>
      <c r="E236" s="254">
        <f t="shared" si="7"/>
        <v>9.9000000000000005E-2</v>
      </c>
    </row>
    <row r="237" spans="1:5" x14ac:dyDescent="0.2">
      <c r="A237" s="144">
        <v>233</v>
      </c>
      <c r="B237" s="256">
        <v>49675</v>
      </c>
      <c r="C237" s="254">
        <v>3.9999999999999994E-2</v>
      </c>
      <c r="D237" s="254">
        <f t="shared" si="8"/>
        <v>9.9000000000000005E-2</v>
      </c>
      <c r="E237" s="254">
        <f t="shared" si="7"/>
        <v>9.9000000000000005E-2</v>
      </c>
    </row>
    <row r="238" spans="1:5" x14ac:dyDescent="0.2">
      <c r="A238" s="144">
        <v>234</v>
      </c>
      <c r="B238" s="256">
        <v>49706</v>
      </c>
      <c r="C238" s="254">
        <v>3.9999999999999994E-2</v>
      </c>
      <c r="D238" s="254">
        <f t="shared" si="8"/>
        <v>9.9000000000000005E-2</v>
      </c>
      <c r="E238" s="254">
        <f t="shared" si="7"/>
        <v>9.9000000000000005E-2</v>
      </c>
    </row>
    <row r="239" spans="1:5" x14ac:dyDescent="0.2">
      <c r="A239" s="144">
        <v>235</v>
      </c>
      <c r="B239" s="256">
        <v>49735</v>
      </c>
      <c r="C239" s="254">
        <v>3.9999999999999994E-2</v>
      </c>
      <c r="D239" s="254">
        <f t="shared" si="8"/>
        <v>9.9000000000000005E-2</v>
      </c>
      <c r="E239" s="254">
        <f t="shared" si="7"/>
        <v>9.9000000000000005E-2</v>
      </c>
    </row>
    <row r="240" spans="1:5" x14ac:dyDescent="0.2">
      <c r="A240" s="144">
        <v>236</v>
      </c>
      <c r="B240" s="256">
        <v>49766</v>
      </c>
      <c r="C240" s="254">
        <v>3.9999999999999994E-2</v>
      </c>
      <c r="D240" s="254">
        <f t="shared" si="8"/>
        <v>9.9000000000000005E-2</v>
      </c>
      <c r="E240" s="254">
        <f t="shared" si="7"/>
        <v>9.9000000000000005E-2</v>
      </c>
    </row>
    <row r="241" spans="1:5" x14ac:dyDescent="0.2">
      <c r="A241" s="144">
        <v>237</v>
      </c>
      <c r="B241" s="256">
        <v>49796</v>
      </c>
      <c r="C241" s="254">
        <v>3.9999999999999994E-2</v>
      </c>
      <c r="D241" s="254">
        <f t="shared" si="8"/>
        <v>9.9000000000000005E-2</v>
      </c>
      <c r="E241" s="254">
        <f t="shared" si="7"/>
        <v>9.9000000000000005E-2</v>
      </c>
    </row>
    <row r="242" spans="1:5" x14ac:dyDescent="0.2">
      <c r="A242" s="144">
        <v>238</v>
      </c>
      <c r="B242" s="256">
        <v>49827</v>
      </c>
      <c r="C242" s="254">
        <v>3.9999999999999994E-2</v>
      </c>
      <c r="D242" s="254">
        <f t="shared" si="8"/>
        <v>9.9000000000000005E-2</v>
      </c>
      <c r="E242" s="254">
        <f t="shared" si="7"/>
        <v>9.9000000000000005E-2</v>
      </c>
    </row>
    <row r="243" spans="1:5" x14ac:dyDescent="0.2">
      <c r="A243" s="144">
        <v>239</v>
      </c>
      <c r="B243" s="256">
        <v>49857</v>
      </c>
      <c r="C243" s="254">
        <v>3.9999999999999994E-2</v>
      </c>
      <c r="D243" s="254">
        <f t="shared" si="8"/>
        <v>9.9000000000000005E-2</v>
      </c>
      <c r="E243" s="254">
        <f t="shared" si="7"/>
        <v>9.9000000000000005E-2</v>
      </c>
    </row>
    <row r="244" spans="1:5" x14ac:dyDescent="0.2">
      <c r="A244" s="144">
        <v>240</v>
      </c>
      <c r="B244" s="256">
        <v>49888</v>
      </c>
      <c r="C244" s="254">
        <v>3.9999999999999994E-2</v>
      </c>
      <c r="D244" s="254">
        <f t="shared" si="8"/>
        <v>9.9000000000000005E-2</v>
      </c>
      <c r="E244" s="254">
        <f t="shared" si="7"/>
        <v>9.9000000000000005E-2</v>
      </c>
    </row>
    <row r="245" spans="1:5" x14ac:dyDescent="0.2">
      <c r="A245" s="144">
        <v>241</v>
      </c>
      <c r="B245" s="256">
        <v>49919</v>
      </c>
      <c r="C245" s="254">
        <v>3.9999999999999994E-2</v>
      </c>
      <c r="D245" s="254">
        <f t="shared" si="8"/>
        <v>9.9000000000000005E-2</v>
      </c>
      <c r="E245" s="254">
        <f t="shared" si="7"/>
        <v>9.9000000000000005E-2</v>
      </c>
    </row>
    <row r="246" spans="1:5" x14ac:dyDescent="0.2">
      <c r="A246" s="144">
        <v>242</v>
      </c>
      <c r="B246" s="256">
        <v>49949</v>
      </c>
      <c r="C246" s="254">
        <v>3.9999999999999994E-2</v>
      </c>
      <c r="D246" s="254">
        <f t="shared" si="8"/>
        <v>9.9000000000000005E-2</v>
      </c>
      <c r="E246" s="254">
        <f t="shared" si="7"/>
        <v>9.9000000000000005E-2</v>
      </c>
    </row>
    <row r="247" spans="1:5" x14ac:dyDescent="0.2">
      <c r="A247" s="144">
        <v>243</v>
      </c>
      <c r="B247" s="256">
        <v>49980</v>
      </c>
      <c r="C247" s="254">
        <v>3.9999999999999994E-2</v>
      </c>
      <c r="D247" s="254">
        <f t="shared" si="8"/>
        <v>9.9000000000000005E-2</v>
      </c>
      <c r="E247" s="254">
        <f t="shared" si="7"/>
        <v>9.9000000000000005E-2</v>
      </c>
    </row>
    <row r="248" spans="1:5" x14ac:dyDescent="0.2">
      <c r="A248" s="144">
        <v>244</v>
      </c>
      <c r="B248" s="256">
        <v>50010</v>
      </c>
      <c r="C248" s="254">
        <v>3.9999999999999994E-2</v>
      </c>
      <c r="D248" s="254">
        <f t="shared" si="8"/>
        <v>9.9000000000000005E-2</v>
      </c>
      <c r="E248" s="254">
        <f t="shared" si="7"/>
        <v>9.9000000000000005E-2</v>
      </c>
    </row>
    <row r="249" spans="1:5" x14ac:dyDescent="0.2">
      <c r="A249" s="144">
        <v>245</v>
      </c>
      <c r="B249" s="256">
        <v>50041</v>
      </c>
      <c r="C249" s="254">
        <v>3.9999999999999994E-2</v>
      </c>
      <c r="D249" s="254">
        <f t="shared" si="8"/>
        <v>9.9000000000000005E-2</v>
      </c>
      <c r="E249" s="254">
        <f t="shared" si="7"/>
        <v>9.9000000000000005E-2</v>
      </c>
    </row>
    <row r="250" spans="1:5" x14ac:dyDescent="0.2">
      <c r="A250" s="144">
        <v>246</v>
      </c>
      <c r="B250" s="256">
        <v>50072</v>
      </c>
      <c r="C250" s="254">
        <v>3.9999999999999994E-2</v>
      </c>
      <c r="D250" s="254">
        <f t="shared" si="8"/>
        <v>9.9000000000000005E-2</v>
      </c>
      <c r="E250" s="254">
        <f t="shared" si="7"/>
        <v>9.9000000000000005E-2</v>
      </c>
    </row>
    <row r="251" spans="1:5" x14ac:dyDescent="0.2">
      <c r="A251" s="144">
        <v>247</v>
      </c>
      <c r="B251" s="256">
        <v>50100</v>
      </c>
      <c r="C251" s="254">
        <v>3.9999999999999994E-2</v>
      </c>
      <c r="D251" s="254">
        <f t="shared" si="8"/>
        <v>9.9000000000000005E-2</v>
      </c>
      <c r="E251" s="254">
        <f t="shared" si="7"/>
        <v>9.9000000000000005E-2</v>
      </c>
    </row>
    <row r="252" spans="1:5" x14ac:dyDescent="0.2">
      <c r="A252" s="144">
        <v>248</v>
      </c>
      <c r="B252" s="256">
        <v>50131</v>
      </c>
      <c r="C252" s="254">
        <v>3.9999999999999994E-2</v>
      </c>
      <c r="D252" s="254">
        <f t="shared" si="8"/>
        <v>9.9000000000000005E-2</v>
      </c>
      <c r="E252" s="254">
        <f t="shared" si="7"/>
        <v>9.9000000000000005E-2</v>
      </c>
    </row>
    <row r="253" spans="1:5" x14ac:dyDescent="0.2">
      <c r="A253" s="144">
        <v>249</v>
      </c>
      <c r="B253" s="256">
        <v>50161</v>
      </c>
      <c r="C253" s="254">
        <v>3.9999999999999994E-2</v>
      </c>
      <c r="D253" s="254">
        <f t="shared" si="8"/>
        <v>9.9000000000000005E-2</v>
      </c>
      <c r="E253" s="254">
        <f t="shared" si="7"/>
        <v>9.9000000000000005E-2</v>
      </c>
    </row>
    <row r="254" spans="1:5" x14ac:dyDescent="0.2">
      <c r="A254" s="144">
        <v>250</v>
      </c>
      <c r="B254" s="256">
        <v>50192</v>
      </c>
      <c r="C254" s="254">
        <v>3.9999999999999994E-2</v>
      </c>
      <c r="D254" s="254">
        <f t="shared" si="8"/>
        <v>9.9000000000000005E-2</v>
      </c>
      <c r="E254" s="254">
        <f t="shared" si="7"/>
        <v>9.9000000000000005E-2</v>
      </c>
    </row>
    <row r="255" spans="1:5" x14ac:dyDescent="0.2">
      <c r="A255" s="144">
        <v>251</v>
      </c>
      <c r="B255" s="256">
        <v>50222</v>
      </c>
      <c r="C255" s="254">
        <v>3.9999999999999994E-2</v>
      </c>
      <c r="D255" s="254">
        <f t="shared" si="8"/>
        <v>9.9000000000000005E-2</v>
      </c>
      <c r="E255" s="254">
        <f t="shared" si="7"/>
        <v>9.9000000000000005E-2</v>
      </c>
    </row>
    <row r="256" spans="1:5" x14ac:dyDescent="0.2">
      <c r="A256" s="144">
        <v>252</v>
      </c>
      <c r="B256" s="256">
        <v>50253</v>
      </c>
      <c r="C256" s="254">
        <v>3.9999999999999994E-2</v>
      </c>
      <c r="D256" s="254">
        <f t="shared" si="8"/>
        <v>9.9000000000000005E-2</v>
      </c>
      <c r="E256" s="254">
        <f t="shared" si="7"/>
        <v>9.9000000000000005E-2</v>
      </c>
    </row>
    <row r="257" spans="1:5" x14ac:dyDescent="0.2">
      <c r="A257" s="144">
        <v>253</v>
      </c>
      <c r="B257" s="256">
        <v>50284</v>
      </c>
      <c r="C257" s="254">
        <v>3.9999999999999994E-2</v>
      </c>
      <c r="D257" s="254">
        <f t="shared" si="8"/>
        <v>9.9000000000000005E-2</v>
      </c>
      <c r="E257" s="254">
        <f t="shared" si="7"/>
        <v>9.9000000000000005E-2</v>
      </c>
    </row>
    <row r="258" spans="1:5" x14ac:dyDescent="0.2">
      <c r="A258" s="144">
        <v>254</v>
      </c>
      <c r="B258" s="256">
        <v>50314</v>
      </c>
      <c r="C258" s="254">
        <v>3.9999999999999994E-2</v>
      </c>
      <c r="D258" s="254">
        <f t="shared" si="8"/>
        <v>9.9000000000000005E-2</v>
      </c>
      <c r="E258" s="254">
        <f t="shared" si="7"/>
        <v>9.9000000000000005E-2</v>
      </c>
    </row>
    <row r="259" spans="1:5" x14ac:dyDescent="0.2">
      <c r="A259" s="144">
        <v>255</v>
      </c>
      <c r="B259" s="256">
        <v>50345</v>
      </c>
      <c r="C259" s="254">
        <v>3.9999999999999994E-2</v>
      </c>
      <c r="D259" s="254">
        <f t="shared" si="8"/>
        <v>9.9000000000000005E-2</v>
      </c>
      <c r="E259" s="254">
        <f t="shared" si="7"/>
        <v>9.9000000000000005E-2</v>
      </c>
    </row>
    <row r="260" spans="1:5" x14ac:dyDescent="0.2">
      <c r="A260" s="144">
        <v>256</v>
      </c>
      <c r="B260" s="256">
        <v>50375</v>
      </c>
      <c r="C260" s="254">
        <v>3.9999999999999994E-2</v>
      </c>
      <c r="D260" s="254">
        <f t="shared" si="8"/>
        <v>9.9000000000000005E-2</v>
      </c>
      <c r="E260" s="254">
        <f t="shared" si="7"/>
        <v>9.9000000000000005E-2</v>
      </c>
    </row>
    <row r="261" spans="1:5" x14ac:dyDescent="0.2">
      <c r="A261" s="144">
        <v>257</v>
      </c>
      <c r="B261" s="256">
        <v>50406</v>
      </c>
      <c r="C261" s="254">
        <v>3.9999999999999994E-2</v>
      </c>
      <c r="D261" s="254">
        <f t="shared" si="8"/>
        <v>9.9000000000000005E-2</v>
      </c>
      <c r="E261" s="254">
        <f t="shared" si="7"/>
        <v>9.9000000000000005E-2</v>
      </c>
    </row>
    <row r="262" spans="1:5" x14ac:dyDescent="0.2">
      <c r="A262" s="144">
        <v>258</v>
      </c>
      <c r="B262" s="256">
        <v>50437</v>
      </c>
      <c r="C262" s="254">
        <v>3.9999999999999994E-2</v>
      </c>
      <c r="D262" s="254">
        <f t="shared" si="8"/>
        <v>9.9000000000000005E-2</v>
      </c>
      <c r="E262" s="254">
        <f t="shared" ref="E262:E325" si="9">D262+$C$1+$C$2+$E$2</f>
        <v>9.9000000000000005E-2</v>
      </c>
    </row>
    <row r="263" spans="1:5" x14ac:dyDescent="0.2">
      <c r="A263" s="144">
        <v>259</v>
      </c>
      <c r="B263" s="256">
        <v>50465</v>
      </c>
      <c r="C263" s="254">
        <v>3.9999999999999994E-2</v>
      </c>
      <c r="D263" s="254">
        <f t="shared" si="8"/>
        <v>9.9000000000000005E-2</v>
      </c>
      <c r="E263" s="254">
        <f t="shared" si="9"/>
        <v>9.9000000000000005E-2</v>
      </c>
    </row>
    <row r="264" spans="1:5" x14ac:dyDescent="0.2">
      <c r="A264" s="144">
        <v>260</v>
      </c>
      <c r="B264" s="256">
        <v>50496</v>
      </c>
      <c r="C264" s="254">
        <v>3.9999999999999994E-2</v>
      </c>
      <c r="D264" s="254">
        <f t="shared" si="8"/>
        <v>9.9000000000000005E-2</v>
      </c>
      <c r="E264" s="254">
        <f t="shared" si="9"/>
        <v>9.9000000000000005E-2</v>
      </c>
    </row>
    <row r="265" spans="1:5" x14ac:dyDescent="0.2">
      <c r="A265" s="144">
        <v>261</v>
      </c>
      <c r="B265" s="256">
        <v>50526</v>
      </c>
      <c r="C265" s="254">
        <v>3.9999999999999994E-2</v>
      </c>
      <c r="D265" s="254">
        <f t="shared" si="8"/>
        <v>9.9000000000000005E-2</v>
      </c>
      <c r="E265" s="254">
        <f t="shared" si="9"/>
        <v>9.9000000000000005E-2</v>
      </c>
    </row>
    <row r="266" spans="1:5" x14ac:dyDescent="0.2">
      <c r="A266" s="144">
        <v>262</v>
      </c>
      <c r="B266" s="256">
        <v>50557</v>
      </c>
      <c r="C266" s="254">
        <v>3.9999999999999994E-2</v>
      </c>
      <c r="D266" s="254">
        <f t="shared" ref="D266:D329" si="10">C266+5.9%</f>
        <v>9.9000000000000005E-2</v>
      </c>
      <c r="E266" s="254">
        <f t="shared" si="9"/>
        <v>9.9000000000000005E-2</v>
      </c>
    </row>
    <row r="267" spans="1:5" x14ac:dyDescent="0.2">
      <c r="A267" s="144">
        <v>263</v>
      </c>
      <c r="B267" s="256">
        <v>50587</v>
      </c>
      <c r="C267" s="254">
        <v>3.9999999999999994E-2</v>
      </c>
      <c r="D267" s="254">
        <f t="shared" si="10"/>
        <v>9.9000000000000005E-2</v>
      </c>
      <c r="E267" s="254">
        <f t="shared" si="9"/>
        <v>9.9000000000000005E-2</v>
      </c>
    </row>
    <row r="268" spans="1:5" x14ac:dyDescent="0.2">
      <c r="A268" s="144">
        <v>264</v>
      </c>
      <c r="B268" s="256">
        <v>50618</v>
      </c>
      <c r="C268" s="254">
        <v>3.9999999999999994E-2</v>
      </c>
      <c r="D268" s="254">
        <f t="shared" si="10"/>
        <v>9.9000000000000005E-2</v>
      </c>
      <c r="E268" s="254">
        <f t="shared" si="9"/>
        <v>9.9000000000000005E-2</v>
      </c>
    </row>
    <row r="269" spans="1:5" x14ac:dyDescent="0.2">
      <c r="A269" s="144">
        <v>265</v>
      </c>
      <c r="B269" s="256">
        <v>50649</v>
      </c>
      <c r="C269" s="254">
        <v>3.9999999999999994E-2</v>
      </c>
      <c r="D269" s="254">
        <f t="shared" si="10"/>
        <v>9.9000000000000005E-2</v>
      </c>
      <c r="E269" s="254">
        <f t="shared" si="9"/>
        <v>9.9000000000000005E-2</v>
      </c>
    </row>
    <row r="270" spans="1:5" x14ac:dyDescent="0.2">
      <c r="A270" s="144">
        <v>266</v>
      </c>
      <c r="B270" s="256">
        <v>50679</v>
      </c>
      <c r="C270" s="254">
        <v>3.9999999999999994E-2</v>
      </c>
      <c r="D270" s="254">
        <f t="shared" si="10"/>
        <v>9.9000000000000005E-2</v>
      </c>
      <c r="E270" s="254">
        <f t="shared" si="9"/>
        <v>9.9000000000000005E-2</v>
      </c>
    </row>
    <row r="271" spans="1:5" x14ac:dyDescent="0.2">
      <c r="A271" s="144">
        <v>267</v>
      </c>
      <c r="B271" s="256">
        <v>50710</v>
      </c>
      <c r="C271" s="254">
        <v>3.9999999999999994E-2</v>
      </c>
      <c r="D271" s="254">
        <f t="shared" si="10"/>
        <v>9.9000000000000005E-2</v>
      </c>
      <c r="E271" s="254">
        <f t="shared" si="9"/>
        <v>9.9000000000000005E-2</v>
      </c>
    </row>
    <row r="272" spans="1:5" x14ac:dyDescent="0.2">
      <c r="A272" s="144">
        <v>268</v>
      </c>
      <c r="B272" s="256">
        <v>50740</v>
      </c>
      <c r="C272" s="254">
        <v>3.9999999999999994E-2</v>
      </c>
      <c r="D272" s="254">
        <f t="shared" si="10"/>
        <v>9.9000000000000005E-2</v>
      </c>
      <c r="E272" s="254">
        <f t="shared" si="9"/>
        <v>9.9000000000000005E-2</v>
      </c>
    </row>
    <row r="273" spans="1:5" x14ac:dyDescent="0.2">
      <c r="A273" s="144">
        <v>269</v>
      </c>
      <c r="B273" s="256">
        <v>50771</v>
      </c>
      <c r="C273" s="254">
        <v>3.9999999999999994E-2</v>
      </c>
      <c r="D273" s="254">
        <f t="shared" si="10"/>
        <v>9.9000000000000005E-2</v>
      </c>
      <c r="E273" s="254">
        <f t="shared" si="9"/>
        <v>9.9000000000000005E-2</v>
      </c>
    </row>
    <row r="274" spans="1:5" x14ac:dyDescent="0.2">
      <c r="A274" s="144">
        <v>270</v>
      </c>
      <c r="B274" s="256">
        <v>50802</v>
      </c>
      <c r="C274" s="254">
        <v>3.9999999999999994E-2</v>
      </c>
      <c r="D274" s="254">
        <f t="shared" si="10"/>
        <v>9.9000000000000005E-2</v>
      </c>
      <c r="E274" s="254">
        <f t="shared" si="9"/>
        <v>9.9000000000000005E-2</v>
      </c>
    </row>
    <row r="275" spans="1:5" x14ac:dyDescent="0.2">
      <c r="A275" s="144">
        <v>271</v>
      </c>
      <c r="B275" s="256">
        <v>50830</v>
      </c>
      <c r="C275" s="254">
        <v>3.9999999999999994E-2</v>
      </c>
      <c r="D275" s="254">
        <f t="shared" si="10"/>
        <v>9.9000000000000005E-2</v>
      </c>
      <c r="E275" s="254">
        <f t="shared" si="9"/>
        <v>9.9000000000000005E-2</v>
      </c>
    </row>
    <row r="276" spans="1:5" x14ac:dyDescent="0.2">
      <c r="A276" s="144">
        <v>272</v>
      </c>
      <c r="B276" s="256">
        <v>50861</v>
      </c>
      <c r="C276" s="254">
        <v>3.9999999999999994E-2</v>
      </c>
      <c r="D276" s="254">
        <f t="shared" si="10"/>
        <v>9.9000000000000005E-2</v>
      </c>
      <c r="E276" s="254">
        <f t="shared" si="9"/>
        <v>9.9000000000000005E-2</v>
      </c>
    </row>
    <row r="277" spans="1:5" x14ac:dyDescent="0.2">
      <c r="A277" s="144">
        <v>273</v>
      </c>
      <c r="B277" s="256">
        <v>50891</v>
      </c>
      <c r="C277" s="254">
        <v>3.9999999999999994E-2</v>
      </c>
      <c r="D277" s="254">
        <f t="shared" si="10"/>
        <v>9.9000000000000005E-2</v>
      </c>
      <c r="E277" s="254">
        <f t="shared" si="9"/>
        <v>9.9000000000000005E-2</v>
      </c>
    </row>
    <row r="278" spans="1:5" x14ac:dyDescent="0.2">
      <c r="A278" s="144">
        <v>274</v>
      </c>
      <c r="B278" s="256">
        <v>50922</v>
      </c>
      <c r="C278" s="254">
        <v>3.9999999999999994E-2</v>
      </c>
      <c r="D278" s="254">
        <f t="shared" si="10"/>
        <v>9.9000000000000005E-2</v>
      </c>
      <c r="E278" s="254">
        <f t="shared" si="9"/>
        <v>9.9000000000000005E-2</v>
      </c>
    </row>
    <row r="279" spans="1:5" x14ac:dyDescent="0.2">
      <c r="A279" s="144">
        <v>275</v>
      </c>
      <c r="B279" s="256">
        <v>50952</v>
      </c>
      <c r="C279" s="254">
        <v>3.9999999999999994E-2</v>
      </c>
      <c r="D279" s="254">
        <f t="shared" si="10"/>
        <v>9.9000000000000005E-2</v>
      </c>
      <c r="E279" s="254">
        <f t="shared" si="9"/>
        <v>9.9000000000000005E-2</v>
      </c>
    </row>
    <row r="280" spans="1:5" x14ac:dyDescent="0.2">
      <c r="A280" s="144">
        <v>276</v>
      </c>
      <c r="B280" s="256">
        <v>50983</v>
      </c>
      <c r="C280" s="254">
        <v>3.9999999999999994E-2</v>
      </c>
      <c r="D280" s="254">
        <f t="shared" si="10"/>
        <v>9.9000000000000005E-2</v>
      </c>
      <c r="E280" s="254">
        <f t="shared" si="9"/>
        <v>9.9000000000000005E-2</v>
      </c>
    </row>
    <row r="281" spans="1:5" x14ac:dyDescent="0.2">
      <c r="A281" s="144">
        <v>277</v>
      </c>
      <c r="B281" s="256">
        <v>51014</v>
      </c>
      <c r="C281" s="254">
        <v>3.9999999999999994E-2</v>
      </c>
      <c r="D281" s="254">
        <f t="shared" si="10"/>
        <v>9.9000000000000005E-2</v>
      </c>
      <c r="E281" s="254">
        <f t="shared" si="9"/>
        <v>9.9000000000000005E-2</v>
      </c>
    </row>
    <row r="282" spans="1:5" x14ac:dyDescent="0.2">
      <c r="A282" s="144">
        <v>278</v>
      </c>
      <c r="B282" s="256">
        <v>51044</v>
      </c>
      <c r="C282" s="254">
        <v>3.9999999999999994E-2</v>
      </c>
      <c r="D282" s="254">
        <f t="shared" si="10"/>
        <v>9.9000000000000005E-2</v>
      </c>
      <c r="E282" s="254">
        <f t="shared" si="9"/>
        <v>9.9000000000000005E-2</v>
      </c>
    </row>
    <row r="283" spans="1:5" x14ac:dyDescent="0.2">
      <c r="A283" s="144">
        <v>279</v>
      </c>
      <c r="B283" s="256">
        <v>51075</v>
      </c>
      <c r="C283" s="254">
        <v>3.9999999999999994E-2</v>
      </c>
      <c r="D283" s="254">
        <f t="shared" si="10"/>
        <v>9.9000000000000005E-2</v>
      </c>
      <c r="E283" s="254">
        <f t="shared" si="9"/>
        <v>9.9000000000000005E-2</v>
      </c>
    </row>
    <row r="284" spans="1:5" x14ac:dyDescent="0.2">
      <c r="A284" s="144">
        <v>280</v>
      </c>
      <c r="B284" s="256">
        <v>51105</v>
      </c>
      <c r="C284" s="254">
        <v>3.9999999999999994E-2</v>
      </c>
      <c r="D284" s="254">
        <f t="shared" si="10"/>
        <v>9.9000000000000005E-2</v>
      </c>
      <c r="E284" s="254">
        <f t="shared" si="9"/>
        <v>9.9000000000000005E-2</v>
      </c>
    </row>
    <row r="285" spans="1:5" x14ac:dyDescent="0.2">
      <c r="A285" s="144">
        <v>281</v>
      </c>
      <c r="B285" s="256">
        <v>51136</v>
      </c>
      <c r="C285" s="254">
        <v>3.9999999999999994E-2</v>
      </c>
      <c r="D285" s="254">
        <f t="shared" si="10"/>
        <v>9.9000000000000005E-2</v>
      </c>
      <c r="E285" s="254">
        <f t="shared" si="9"/>
        <v>9.9000000000000005E-2</v>
      </c>
    </row>
    <row r="286" spans="1:5" x14ac:dyDescent="0.2">
      <c r="A286" s="144">
        <v>282</v>
      </c>
      <c r="B286" s="256">
        <v>51167</v>
      </c>
      <c r="C286" s="254">
        <v>3.9999999999999994E-2</v>
      </c>
      <c r="D286" s="254">
        <f t="shared" si="10"/>
        <v>9.9000000000000005E-2</v>
      </c>
      <c r="E286" s="254">
        <f t="shared" si="9"/>
        <v>9.9000000000000005E-2</v>
      </c>
    </row>
    <row r="287" spans="1:5" x14ac:dyDescent="0.2">
      <c r="A287" s="144">
        <v>283</v>
      </c>
      <c r="B287" s="256">
        <v>51196</v>
      </c>
      <c r="C287" s="254">
        <v>3.9999999999999994E-2</v>
      </c>
      <c r="D287" s="254">
        <f t="shared" si="10"/>
        <v>9.9000000000000005E-2</v>
      </c>
      <c r="E287" s="254">
        <f t="shared" si="9"/>
        <v>9.9000000000000005E-2</v>
      </c>
    </row>
    <row r="288" spans="1:5" x14ac:dyDescent="0.2">
      <c r="A288" s="144">
        <v>284</v>
      </c>
      <c r="B288" s="256">
        <v>51227</v>
      </c>
      <c r="C288" s="254">
        <v>3.9999999999999994E-2</v>
      </c>
      <c r="D288" s="254">
        <f t="shared" si="10"/>
        <v>9.9000000000000005E-2</v>
      </c>
      <c r="E288" s="254">
        <f t="shared" si="9"/>
        <v>9.9000000000000005E-2</v>
      </c>
    </row>
    <row r="289" spans="1:5" x14ac:dyDescent="0.2">
      <c r="A289" s="144">
        <v>285</v>
      </c>
      <c r="B289" s="256">
        <v>51257</v>
      </c>
      <c r="C289" s="254">
        <v>3.9999999999999994E-2</v>
      </c>
      <c r="D289" s="254">
        <f t="shared" si="10"/>
        <v>9.9000000000000005E-2</v>
      </c>
      <c r="E289" s="254">
        <f t="shared" si="9"/>
        <v>9.9000000000000005E-2</v>
      </c>
    </row>
    <row r="290" spans="1:5" x14ac:dyDescent="0.2">
      <c r="A290" s="144">
        <v>286</v>
      </c>
      <c r="B290" s="256">
        <v>51288</v>
      </c>
      <c r="C290" s="254">
        <v>3.9999999999999994E-2</v>
      </c>
      <c r="D290" s="254">
        <f t="shared" si="10"/>
        <v>9.9000000000000005E-2</v>
      </c>
      <c r="E290" s="254">
        <f t="shared" si="9"/>
        <v>9.9000000000000005E-2</v>
      </c>
    </row>
    <row r="291" spans="1:5" x14ac:dyDescent="0.2">
      <c r="A291" s="144">
        <v>287</v>
      </c>
      <c r="B291" s="256">
        <v>51318</v>
      </c>
      <c r="C291" s="254">
        <v>3.9999999999999994E-2</v>
      </c>
      <c r="D291" s="254">
        <f t="shared" si="10"/>
        <v>9.9000000000000005E-2</v>
      </c>
      <c r="E291" s="254">
        <f t="shared" si="9"/>
        <v>9.9000000000000005E-2</v>
      </c>
    </row>
    <row r="292" spans="1:5" x14ac:dyDescent="0.2">
      <c r="A292" s="144">
        <v>288</v>
      </c>
      <c r="B292" s="256">
        <v>51349</v>
      </c>
      <c r="C292" s="254">
        <v>3.9999999999999994E-2</v>
      </c>
      <c r="D292" s="254">
        <f t="shared" si="10"/>
        <v>9.9000000000000005E-2</v>
      </c>
      <c r="E292" s="254">
        <f t="shared" si="9"/>
        <v>9.9000000000000005E-2</v>
      </c>
    </row>
    <row r="293" spans="1:5" x14ac:dyDescent="0.2">
      <c r="A293" s="144">
        <v>289</v>
      </c>
      <c r="B293" s="256">
        <v>51380</v>
      </c>
      <c r="C293" s="254">
        <v>3.9999999999999994E-2</v>
      </c>
      <c r="D293" s="254">
        <f t="shared" si="10"/>
        <v>9.9000000000000005E-2</v>
      </c>
      <c r="E293" s="254">
        <f t="shared" si="9"/>
        <v>9.9000000000000005E-2</v>
      </c>
    </row>
    <row r="294" spans="1:5" x14ac:dyDescent="0.2">
      <c r="A294" s="144">
        <v>290</v>
      </c>
      <c r="B294" s="256">
        <v>51410</v>
      </c>
      <c r="C294" s="254">
        <v>3.9999999999999994E-2</v>
      </c>
      <c r="D294" s="254">
        <f t="shared" si="10"/>
        <v>9.9000000000000005E-2</v>
      </c>
      <c r="E294" s="254">
        <f t="shared" si="9"/>
        <v>9.9000000000000005E-2</v>
      </c>
    </row>
    <row r="295" spans="1:5" x14ac:dyDescent="0.2">
      <c r="A295" s="144">
        <v>291</v>
      </c>
      <c r="B295" s="256">
        <v>51441</v>
      </c>
      <c r="C295" s="254">
        <v>3.9999999999999994E-2</v>
      </c>
      <c r="D295" s="254">
        <f t="shared" si="10"/>
        <v>9.9000000000000005E-2</v>
      </c>
      <c r="E295" s="254">
        <f t="shared" si="9"/>
        <v>9.9000000000000005E-2</v>
      </c>
    </row>
    <row r="296" spans="1:5" x14ac:dyDescent="0.2">
      <c r="A296" s="144">
        <v>292</v>
      </c>
      <c r="B296" s="256">
        <v>51471</v>
      </c>
      <c r="C296" s="254">
        <v>3.9999999999999994E-2</v>
      </c>
      <c r="D296" s="254">
        <f t="shared" si="10"/>
        <v>9.9000000000000005E-2</v>
      </c>
      <c r="E296" s="254">
        <f t="shared" si="9"/>
        <v>9.9000000000000005E-2</v>
      </c>
    </row>
    <row r="297" spans="1:5" x14ac:dyDescent="0.2">
      <c r="A297" s="144">
        <v>293</v>
      </c>
      <c r="B297" s="256">
        <v>51502</v>
      </c>
      <c r="C297" s="254">
        <v>3.9999999999999994E-2</v>
      </c>
      <c r="D297" s="254">
        <f t="shared" si="10"/>
        <v>9.9000000000000005E-2</v>
      </c>
      <c r="E297" s="254">
        <f t="shared" si="9"/>
        <v>9.9000000000000005E-2</v>
      </c>
    </row>
    <row r="298" spans="1:5" x14ac:dyDescent="0.2">
      <c r="A298" s="144">
        <v>294</v>
      </c>
      <c r="B298" s="256">
        <v>51533</v>
      </c>
      <c r="C298" s="254">
        <v>3.9999999999999994E-2</v>
      </c>
      <c r="D298" s="254">
        <f t="shared" si="10"/>
        <v>9.9000000000000005E-2</v>
      </c>
      <c r="E298" s="254">
        <f t="shared" si="9"/>
        <v>9.9000000000000005E-2</v>
      </c>
    </row>
    <row r="299" spans="1:5" x14ac:dyDescent="0.2">
      <c r="A299" s="144">
        <v>295</v>
      </c>
      <c r="B299" s="256">
        <v>51561</v>
      </c>
      <c r="C299" s="254">
        <v>3.9999999999999994E-2</v>
      </c>
      <c r="D299" s="254">
        <f t="shared" si="10"/>
        <v>9.9000000000000005E-2</v>
      </c>
      <c r="E299" s="254">
        <f t="shared" si="9"/>
        <v>9.9000000000000005E-2</v>
      </c>
    </row>
    <row r="300" spans="1:5" x14ac:dyDescent="0.2">
      <c r="A300" s="144">
        <v>296</v>
      </c>
      <c r="B300" s="256">
        <v>51592</v>
      </c>
      <c r="C300" s="254">
        <v>3.9999999999999994E-2</v>
      </c>
      <c r="D300" s="254">
        <f t="shared" si="10"/>
        <v>9.9000000000000005E-2</v>
      </c>
      <c r="E300" s="254">
        <f t="shared" si="9"/>
        <v>9.9000000000000005E-2</v>
      </c>
    </row>
    <row r="301" spans="1:5" x14ac:dyDescent="0.2">
      <c r="A301" s="144">
        <v>297</v>
      </c>
      <c r="B301" s="256">
        <v>51622</v>
      </c>
      <c r="C301" s="254">
        <v>3.9999999999999994E-2</v>
      </c>
      <c r="D301" s="254">
        <f t="shared" si="10"/>
        <v>9.9000000000000005E-2</v>
      </c>
      <c r="E301" s="254">
        <f t="shared" si="9"/>
        <v>9.9000000000000005E-2</v>
      </c>
    </row>
    <row r="302" spans="1:5" x14ac:dyDescent="0.2">
      <c r="A302" s="144">
        <v>298</v>
      </c>
      <c r="B302" s="256">
        <v>51653</v>
      </c>
      <c r="C302" s="254">
        <v>3.9999999999999994E-2</v>
      </c>
      <c r="D302" s="254">
        <f t="shared" si="10"/>
        <v>9.9000000000000005E-2</v>
      </c>
      <c r="E302" s="254">
        <f t="shared" si="9"/>
        <v>9.9000000000000005E-2</v>
      </c>
    </row>
    <row r="303" spans="1:5" x14ac:dyDescent="0.2">
      <c r="A303" s="144">
        <v>299</v>
      </c>
      <c r="B303" s="256">
        <v>51683</v>
      </c>
      <c r="C303" s="254">
        <v>3.9999999999999994E-2</v>
      </c>
      <c r="D303" s="254">
        <f t="shared" si="10"/>
        <v>9.9000000000000005E-2</v>
      </c>
      <c r="E303" s="254">
        <f t="shared" si="9"/>
        <v>9.9000000000000005E-2</v>
      </c>
    </row>
    <row r="304" spans="1:5" x14ac:dyDescent="0.2">
      <c r="A304" s="144">
        <v>300</v>
      </c>
      <c r="B304" s="256">
        <v>51714</v>
      </c>
      <c r="C304" s="254">
        <v>3.9999999999999994E-2</v>
      </c>
      <c r="D304" s="254">
        <f t="shared" si="10"/>
        <v>9.9000000000000005E-2</v>
      </c>
      <c r="E304" s="254">
        <f t="shared" si="9"/>
        <v>9.9000000000000005E-2</v>
      </c>
    </row>
    <row r="305" spans="1:5" x14ac:dyDescent="0.2">
      <c r="A305" s="144">
        <v>301</v>
      </c>
      <c r="B305" s="256">
        <v>51745</v>
      </c>
      <c r="C305" s="254">
        <v>3.9999999999999994E-2</v>
      </c>
      <c r="D305" s="254">
        <f t="shared" si="10"/>
        <v>9.9000000000000005E-2</v>
      </c>
      <c r="E305" s="254">
        <f t="shared" si="9"/>
        <v>9.9000000000000005E-2</v>
      </c>
    </row>
    <row r="306" spans="1:5" x14ac:dyDescent="0.2">
      <c r="A306" s="144">
        <v>302</v>
      </c>
      <c r="B306" s="256">
        <v>51775</v>
      </c>
      <c r="C306" s="254">
        <v>3.9999999999999994E-2</v>
      </c>
      <c r="D306" s="254">
        <f t="shared" si="10"/>
        <v>9.9000000000000005E-2</v>
      </c>
      <c r="E306" s="254">
        <f t="shared" si="9"/>
        <v>9.9000000000000005E-2</v>
      </c>
    </row>
    <row r="307" spans="1:5" x14ac:dyDescent="0.2">
      <c r="A307" s="144">
        <v>303</v>
      </c>
      <c r="B307" s="256">
        <v>51806</v>
      </c>
      <c r="C307" s="254">
        <v>3.9999999999999994E-2</v>
      </c>
      <c r="D307" s="254">
        <f t="shared" si="10"/>
        <v>9.9000000000000005E-2</v>
      </c>
      <c r="E307" s="254">
        <f t="shared" si="9"/>
        <v>9.9000000000000005E-2</v>
      </c>
    </row>
    <row r="308" spans="1:5" x14ac:dyDescent="0.2">
      <c r="A308" s="144">
        <v>304</v>
      </c>
      <c r="B308" s="256">
        <v>51836</v>
      </c>
      <c r="C308" s="254">
        <v>3.9999999999999994E-2</v>
      </c>
      <c r="D308" s="254">
        <f t="shared" si="10"/>
        <v>9.9000000000000005E-2</v>
      </c>
      <c r="E308" s="254">
        <f t="shared" si="9"/>
        <v>9.9000000000000005E-2</v>
      </c>
    </row>
    <row r="309" spans="1:5" x14ac:dyDescent="0.2">
      <c r="A309" s="144">
        <v>305</v>
      </c>
      <c r="B309" s="256">
        <v>51867</v>
      </c>
      <c r="C309" s="254">
        <v>3.9999999999999994E-2</v>
      </c>
      <c r="D309" s="254">
        <f t="shared" si="10"/>
        <v>9.9000000000000005E-2</v>
      </c>
      <c r="E309" s="254">
        <f t="shared" si="9"/>
        <v>9.9000000000000005E-2</v>
      </c>
    </row>
    <row r="310" spans="1:5" x14ac:dyDescent="0.2">
      <c r="A310" s="144">
        <v>306</v>
      </c>
      <c r="B310" s="256">
        <v>51898</v>
      </c>
      <c r="C310" s="254">
        <v>3.9999999999999994E-2</v>
      </c>
      <c r="D310" s="254">
        <f t="shared" si="10"/>
        <v>9.9000000000000005E-2</v>
      </c>
      <c r="E310" s="254">
        <f t="shared" si="9"/>
        <v>9.9000000000000005E-2</v>
      </c>
    </row>
    <row r="311" spans="1:5" x14ac:dyDescent="0.2">
      <c r="A311" s="144">
        <v>307</v>
      </c>
      <c r="B311" s="256">
        <v>51926</v>
      </c>
      <c r="C311" s="254">
        <v>3.9999999999999994E-2</v>
      </c>
      <c r="D311" s="254">
        <f t="shared" si="10"/>
        <v>9.9000000000000005E-2</v>
      </c>
      <c r="E311" s="254">
        <f t="shared" si="9"/>
        <v>9.9000000000000005E-2</v>
      </c>
    </row>
    <row r="312" spans="1:5" x14ac:dyDescent="0.2">
      <c r="A312" s="144">
        <v>308</v>
      </c>
      <c r="B312" s="256">
        <v>51957</v>
      </c>
      <c r="C312" s="254">
        <v>3.9999999999999994E-2</v>
      </c>
      <c r="D312" s="254">
        <f t="shared" si="10"/>
        <v>9.9000000000000005E-2</v>
      </c>
      <c r="E312" s="254">
        <f t="shared" si="9"/>
        <v>9.9000000000000005E-2</v>
      </c>
    </row>
    <row r="313" spans="1:5" x14ac:dyDescent="0.2">
      <c r="A313" s="144">
        <v>309</v>
      </c>
      <c r="B313" s="256">
        <v>51987</v>
      </c>
      <c r="C313" s="254">
        <v>3.9999999999999994E-2</v>
      </c>
      <c r="D313" s="254">
        <f t="shared" si="10"/>
        <v>9.9000000000000005E-2</v>
      </c>
      <c r="E313" s="254">
        <f t="shared" si="9"/>
        <v>9.9000000000000005E-2</v>
      </c>
    </row>
    <row r="314" spans="1:5" x14ac:dyDescent="0.2">
      <c r="A314" s="144">
        <v>310</v>
      </c>
      <c r="B314" s="256">
        <v>52018</v>
      </c>
      <c r="C314" s="254">
        <v>3.9999999999999994E-2</v>
      </c>
      <c r="D314" s="254">
        <f t="shared" si="10"/>
        <v>9.9000000000000005E-2</v>
      </c>
      <c r="E314" s="254">
        <f t="shared" si="9"/>
        <v>9.9000000000000005E-2</v>
      </c>
    </row>
    <row r="315" spans="1:5" x14ac:dyDescent="0.2">
      <c r="A315" s="144">
        <v>311</v>
      </c>
      <c r="B315" s="256">
        <v>52048</v>
      </c>
      <c r="C315" s="254">
        <v>3.9999999999999994E-2</v>
      </c>
      <c r="D315" s="254">
        <f t="shared" si="10"/>
        <v>9.9000000000000005E-2</v>
      </c>
      <c r="E315" s="254">
        <f t="shared" si="9"/>
        <v>9.9000000000000005E-2</v>
      </c>
    </row>
    <row r="316" spans="1:5" x14ac:dyDescent="0.2">
      <c r="A316" s="144">
        <v>312</v>
      </c>
      <c r="B316" s="256">
        <v>52079</v>
      </c>
      <c r="C316" s="254">
        <v>3.9999999999999994E-2</v>
      </c>
      <c r="D316" s="254">
        <f t="shared" si="10"/>
        <v>9.9000000000000005E-2</v>
      </c>
      <c r="E316" s="254">
        <f t="shared" si="9"/>
        <v>9.9000000000000005E-2</v>
      </c>
    </row>
    <row r="317" spans="1:5" x14ac:dyDescent="0.2">
      <c r="A317" s="144">
        <v>313</v>
      </c>
      <c r="B317" s="256">
        <v>52110</v>
      </c>
      <c r="C317" s="254">
        <v>3.9999999999999994E-2</v>
      </c>
      <c r="D317" s="254">
        <f t="shared" si="10"/>
        <v>9.9000000000000005E-2</v>
      </c>
      <c r="E317" s="254">
        <f t="shared" si="9"/>
        <v>9.9000000000000005E-2</v>
      </c>
    </row>
    <row r="318" spans="1:5" x14ac:dyDescent="0.2">
      <c r="A318" s="144">
        <v>314</v>
      </c>
      <c r="B318" s="256">
        <v>52140</v>
      </c>
      <c r="C318" s="254">
        <v>3.9999999999999994E-2</v>
      </c>
      <c r="D318" s="254">
        <f t="shared" si="10"/>
        <v>9.9000000000000005E-2</v>
      </c>
      <c r="E318" s="254">
        <f t="shared" si="9"/>
        <v>9.9000000000000005E-2</v>
      </c>
    </row>
    <row r="319" spans="1:5" x14ac:dyDescent="0.2">
      <c r="A319" s="144">
        <v>315</v>
      </c>
      <c r="B319" s="256">
        <v>52171</v>
      </c>
      <c r="C319" s="254">
        <v>3.9999999999999994E-2</v>
      </c>
      <c r="D319" s="254">
        <f t="shared" si="10"/>
        <v>9.9000000000000005E-2</v>
      </c>
      <c r="E319" s="254">
        <f t="shared" si="9"/>
        <v>9.9000000000000005E-2</v>
      </c>
    </row>
    <row r="320" spans="1:5" x14ac:dyDescent="0.2">
      <c r="A320" s="144">
        <v>316</v>
      </c>
      <c r="B320" s="256">
        <v>52201</v>
      </c>
      <c r="C320" s="254">
        <v>3.9999999999999994E-2</v>
      </c>
      <c r="D320" s="254">
        <f t="shared" si="10"/>
        <v>9.9000000000000005E-2</v>
      </c>
      <c r="E320" s="254">
        <f t="shared" si="9"/>
        <v>9.9000000000000005E-2</v>
      </c>
    </row>
    <row r="321" spans="1:5" x14ac:dyDescent="0.2">
      <c r="A321" s="144">
        <v>317</v>
      </c>
      <c r="B321" s="256">
        <v>52232</v>
      </c>
      <c r="C321" s="254">
        <v>3.9999999999999994E-2</v>
      </c>
      <c r="D321" s="254">
        <f t="shared" si="10"/>
        <v>9.9000000000000005E-2</v>
      </c>
      <c r="E321" s="254">
        <f t="shared" si="9"/>
        <v>9.9000000000000005E-2</v>
      </c>
    </row>
    <row r="322" spans="1:5" x14ac:dyDescent="0.2">
      <c r="A322" s="144">
        <v>318</v>
      </c>
      <c r="B322" s="256">
        <v>52263</v>
      </c>
      <c r="C322" s="254">
        <v>3.9999999999999994E-2</v>
      </c>
      <c r="D322" s="254">
        <f t="shared" si="10"/>
        <v>9.9000000000000005E-2</v>
      </c>
      <c r="E322" s="254">
        <f t="shared" si="9"/>
        <v>9.9000000000000005E-2</v>
      </c>
    </row>
    <row r="323" spans="1:5" x14ac:dyDescent="0.2">
      <c r="A323" s="144">
        <v>319</v>
      </c>
      <c r="B323" s="256">
        <v>52291</v>
      </c>
      <c r="C323" s="254">
        <v>3.9999999999999994E-2</v>
      </c>
      <c r="D323" s="254">
        <f t="shared" si="10"/>
        <v>9.9000000000000005E-2</v>
      </c>
      <c r="E323" s="254">
        <f t="shared" si="9"/>
        <v>9.9000000000000005E-2</v>
      </c>
    </row>
    <row r="324" spans="1:5" x14ac:dyDescent="0.2">
      <c r="A324" s="144">
        <v>320</v>
      </c>
      <c r="B324" s="256">
        <v>52322</v>
      </c>
      <c r="C324" s="254">
        <v>3.9999999999999994E-2</v>
      </c>
      <c r="D324" s="254">
        <f t="shared" si="10"/>
        <v>9.9000000000000005E-2</v>
      </c>
      <c r="E324" s="254">
        <f t="shared" si="9"/>
        <v>9.9000000000000005E-2</v>
      </c>
    </row>
    <row r="325" spans="1:5" x14ac:dyDescent="0.2">
      <c r="A325" s="144">
        <v>321</v>
      </c>
      <c r="B325" s="256">
        <v>52352</v>
      </c>
      <c r="C325" s="254">
        <v>3.9999999999999994E-2</v>
      </c>
      <c r="D325" s="254">
        <f t="shared" si="10"/>
        <v>9.9000000000000005E-2</v>
      </c>
      <c r="E325" s="254">
        <f t="shared" si="9"/>
        <v>9.9000000000000005E-2</v>
      </c>
    </row>
    <row r="326" spans="1:5" x14ac:dyDescent="0.2">
      <c r="A326" s="144">
        <v>322</v>
      </c>
      <c r="B326" s="256">
        <v>52383</v>
      </c>
      <c r="C326" s="254">
        <v>3.9999999999999994E-2</v>
      </c>
      <c r="D326" s="254">
        <f t="shared" si="10"/>
        <v>9.9000000000000005E-2</v>
      </c>
      <c r="E326" s="254">
        <f t="shared" ref="E326:E389" si="11">D326+$C$1+$C$2+$E$2</f>
        <v>9.9000000000000005E-2</v>
      </c>
    </row>
    <row r="327" spans="1:5" x14ac:dyDescent="0.2">
      <c r="A327" s="144">
        <v>323</v>
      </c>
      <c r="B327" s="256">
        <v>52413</v>
      </c>
      <c r="C327" s="254">
        <v>3.9999999999999994E-2</v>
      </c>
      <c r="D327" s="254">
        <f t="shared" si="10"/>
        <v>9.9000000000000005E-2</v>
      </c>
      <c r="E327" s="254">
        <f t="shared" si="11"/>
        <v>9.9000000000000005E-2</v>
      </c>
    </row>
    <row r="328" spans="1:5" x14ac:dyDescent="0.2">
      <c r="A328" s="144">
        <v>324</v>
      </c>
      <c r="B328" s="256">
        <v>52444</v>
      </c>
      <c r="C328" s="254">
        <v>3.9999999999999994E-2</v>
      </c>
      <c r="D328" s="254">
        <f t="shared" si="10"/>
        <v>9.9000000000000005E-2</v>
      </c>
      <c r="E328" s="254">
        <f t="shared" si="11"/>
        <v>9.9000000000000005E-2</v>
      </c>
    </row>
    <row r="329" spans="1:5" x14ac:dyDescent="0.2">
      <c r="A329" s="144">
        <v>325</v>
      </c>
      <c r="B329" s="256">
        <v>52475</v>
      </c>
      <c r="C329" s="254">
        <v>3.9999999999999994E-2</v>
      </c>
      <c r="D329" s="254">
        <f t="shared" si="10"/>
        <v>9.9000000000000005E-2</v>
      </c>
      <c r="E329" s="254">
        <f t="shared" si="11"/>
        <v>9.9000000000000005E-2</v>
      </c>
    </row>
    <row r="330" spans="1:5" x14ac:dyDescent="0.2">
      <c r="A330" s="144">
        <v>326</v>
      </c>
      <c r="B330" s="256">
        <v>52505</v>
      </c>
      <c r="C330" s="254">
        <v>3.9999999999999994E-2</v>
      </c>
      <c r="D330" s="254">
        <f t="shared" ref="D330:D393" si="12">C330+5.9%</f>
        <v>9.9000000000000005E-2</v>
      </c>
      <c r="E330" s="254">
        <f t="shared" si="11"/>
        <v>9.9000000000000005E-2</v>
      </c>
    </row>
    <row r="331" spans="1:5" x14ac:dyDescent="0.2">
      <c r="A331" s="144">
        <v>327</v>
      </c>
      <c r="B331" s="256">
        <v>52536</v>
      </c>
      <c r="C331" s="254">
        <v>3.9999999999999994E-2</v>
      </c>
      <c r="D331" s="254">
        <f t="shared" si="12"/>
        <v>9.9000000000000005E-2</v>
      </c>
      <c r="E331" s="254">
        <f t="shared" si="11"/>
        <v>9.9000000000000005E-2</v>
      </c>
    </row>
    <row r="332" spans="1:5" x14ac:dyDescent="0.2">
      <c r="A332" s="144">
        <v>328</v>
      </c>
      <c r="B332" s="256">
        <v>52566</v>
      </c>
      <c r="C332" s="254">
        <v>3.9999999999999994E-2</v>
      </c>
      <c r="D332" s="254">
        <f t="shared" si="12"/>
        <v>9.9000000000000005E-2</v>
      </c>
      <c r="E332" s="254">
        <f t="shared" si="11"/>
        <v>9.9000000000000005E-2</v>
      </c>
    </row>
    <row r="333" spans="1:5" x14ac:dyDescent="0.2">
      <c r="A333" s="144">
        <v>329</v>
      </c>
      <c r="B333" s="256">
        <v>52597</v>
      </c>
      <c r="C333" s="254">
        <v>3.9999999999999994E-2</v>
      </c>
      <c r="D333" s="254">
        <f t="shared" si="12"/>
        <v>9.9000000000000005E-2</v>
      </c>
      <c r="E333" s="254">
        <f t="shared" si="11"/>
        <v>9.9000000000000005E-2</v>
      </c>
    </row>
    <row r="334" spans="1:5" x14ac:dyDescent="0.2">
      <c r="A334" s="144">
        <v>330</v>
      </c>
      <c r="B334" s="256">
        <v>52628</v>
      </c>
      <c r="C334" s="254">
        <v>3.9999999999999994E-2</v>
      </c>
      <c r="D334" s="254">
        <f t="shared" si="12"/>
        <v>9.9000000000000005E-2</v>
      </c>
      <c r="E334" s="254">
        <f t="shared" si="11"/>
        <v>9.9000000000000005E-2</v>
      </c>
    </row>
    <row r="335" spans="1:5" x14ac:dyDescent="0.2">
      <c r="A335" s="144">
        <v>331</v>
      </c>
      <c r="B335" s="256">
        <v>52657</v>
      </c>
      <c r="C335" s="254">
        <v>3.9999999999999994E-2</v>
      </c>
      <c r="D335" s="254">
        <f t="shared" si="12"/>
        <v>9.9000000000000005E-2</v>
      </c>
      <c r="E335" s="254">
        <f t="shared" si="11"/>
        <v>9.9000000000000005E-2</v>
      </c>
    </row>
    <row r="336" spans="1:5" x14ac:dyDescent="0.2">
      <c r="A336" s="144">
        <v>332</v>
      </c>
      <c r="B336" s="256">
        <v>52688</v>
      </c>
      <c r="C336" s="254">
        <v>3.9999999999999994E-2</v>
      </c>
      <c r="D336" s="254">
        <f t="shared" si="12"/>
        <v>9.9000000000000005E-2</v>
      </c>
      <c r="E336" s="254">
        <f t="shared" si="11"/>
        <v>9.9000000000000005E-2</v>
      </c>
    </row>
    <row r="337" spans="1:5" x14ac:dyDescent="0.2">
      <c r="A337" s="144">
        <v>333</v>
      </c>
      <c r="B337" s="256">
        <v>52718</v>
      </c>
      <c r="C337" s="254">
        <v>3.9999999999999994E-2</v>
      </c>
      <c r="D337" s="254">
        <f t="shared" si="12"/>
        <v>9.9000000000000005E-2</v>
      </c>
      <c r="E337" s="254">
        <f t="shared" si="11"/>
        <v>9.9000000000000005E-2</v>
      </c>
    </row>
    <row r="338" spans="1:5" x14ac:dyDescent="0.2">
      <c r="A338" s="144">
        <v>334</v>
      </c>
      <c r="B338" s="256">
        <v>52749</v>
      </c>
      <c r="C338" s="254">
        <v>3.9999999999999994E-2</v>
      </c>
      <c r="D338" s="254">
        <f t="shared" si="12"/>
        <v>9.9000000000000005E-2</v>
      </c>
      <c r="E338" s="254">
        <f t="shared" si="11"/>
        <v>9.9000000000000005E-2</v>
      </c>
    </row>
    <row r="339" spans="1:5" x14ac:dyDescent="0.2">
      <c r="A339" s="144">
        <v>335</v>
      </c>
      <c r="B339" s="256">
        <v>52779</v>
      </c>
      <c r="C339" s="254">
        <v>3.9999999999999994E-2</v>
      </c>
      <c r="D339" s="254">
        <f t="shared" si="12"/>
        <v>9.9000000000000005E-2</v>
      </c>
      <c r="E339" s="254">
        <f t="shared" si="11"/>
        <v>9.9000000000000005E-2</v>
      </c>
    </row>
    <row r="340" spans="1:5" x14ac:dyDescent="0.2">
      <c r="A340" s="144">
        <v>336</v>
      </c>
      <c r="B340" s="256">
        <v>52810</v>
      </c>
      <c r="C340" s="254">
        <v>3.9999999999999994E-2</v>
      </c>
      <c r="D340" s="254">
        <f t="shared" si="12"/>
        <v>9.9000000000000005E-2</v>
      </c>
      <c r="E340" s="254">
        <f t="shared" si="11"/>
        <v>9.9000000000000005E-2</v>
      </c>
    </row>
    <row r="341" spans="1:5" x14ac:dyDescent="0.2">
      <c r="A341" s="144">
        <v>337</v>
      </c>
      <c r="B341" s="256">
        <v>52841</v>
      </c>
      <c r="C341" s="254">
        <v>3.9999999999999994E-2</v>
      </c>
      <c r="D341" s="254">
        <f t="shared" si="12"/>
        <v>9.9000000000000005E-2</v>
      </c>
      <c r="E341" s="254">
        <f t="shared" si="11"/>
        <v>9.9000000000000005E-2</v>
      </c>
    </row>
    <row r="342" spans="1:5" x14ac:dyDescent="0.2">
      <c r="A342" s="144">
        <v>338</v>
      </c>
      <c r="B342" s="256">
        <v>52871</v>
      </c>
      <c r="C342" s="254">
        <v>3.9999999999999994E-2</v>
      </c>
      <c r="D342" s="254">
        <f t="shared" si="12"/>
        <v>9.9000000000000005E-2</v>
      </c>
      <c r="E342" s="254">
        <f t="shared" si="11"/>
        <v>9.9000000000000005E-2</v>
      </c>
    </row>
    <row r="343" spans="1:5" x14ac:dyDescent="0.2">
      <c r="A343" s="144">
        <v>339</v>
      </c>
      <c r="B343" s="256">
        <v>52902</v>
      </c>
      <c r="C343" s="254">
        <v>3.9999999999999994E-2</v>
      </c>
      <c r="D343" s="254">
        <f t="shared" si="12"/>
        <v>9.9000000000000005E-2</v>
      </c>
      <c r="E343" s="254">
        <f t="shared" si="11"/>
        <v>9.9000000000000005E-2</v>
      </c>
    </row>
    <row r="344" spans="1:5" x14ac:dyDescent="0.2">
      <c r="A344" s="144">
        <v>340</v>
      </c>
      <c r="B344" s="256">
        <v>52932</v>
      </c>
      <c r="C344" s="254">
        <v>3.9999999999999994E-2</v>
      </c>
      <c r="D344" s="254">
        <f t="shared" si="12"/>
        <v>9.9000000000000005E-2</v>
      </c>
      <c r="E344" s="254">
        <f t="shared" si="11"/>
        <v>9.9000000000000005E-2</v>
      </c>
    </row>
    <row r="345" spans="1:5" x14ac:dyDescent="0.2">
      <c r="A345" s="144">
        <v>341</v>
      </c>
      <c r="B345" s="256">
        <v>52963</v>
      </c>
      <c r="C345" s="254">
        <v>3.9999999999999994E-2</v>
      </c>
      <c r="D345" s="254">
        <f t="shared" si="12"/>
        <v>9.9000000000000005E-2</v>
      </c>
      <c r="E345" s="254">
        <f t="shared" si="11"/>
        <v>9.9000000000000005E-2</v>
      </c>
    </row>
    <row r="346" spans="1:5" x14ac:dyDescent="0.2">
      <c r="A346" s="144">
        <v>342</v>
      </c>
      <c r="B346" s="256">
        <v>52994</v>
      </c>
      <c r="C346" s="254">
        <v>3.9999999999999994E-2</v>
      </c>
      <c r="D346" s="254">
        <f t="shared" si="12"/>
        <v>9.9000000000000005E-2</v>
      </c>
      <c r="E346" s="254">
        <f t="shared" si="11"/>
        <v>9.9000000000000005E-2</v>
      </c>
    </row>
    <row r="347" spans="1:5" x14ac:dyDescent="0.2">
      <c r="A347" s="144">
        <v>343</v>
      </c>
      <c r="B347" s="256">
        <v>53022</v>
      </c>
      <c r="C347" s="254">
        <v>3.9999999999999994E-2</v>
      </c>
      <c r="D347" s="254">
        <f t="shared" si="12"/>
        <v>9.9000000000000005E-2</v>
      </c>
      <c r="E347" s="254">
        <f t="shared" si="11"/>
        <v>9.9000000000000005E-2</v>
      </c>
    </row>
    <row r="348" spans="1:5" x14ac:dyDescent="0.2">
      <c r="A348" s="144">
        <v>344</v>
      </c>
      <c r="B348" s="256">
        <v>53053</v>
      </c>
      <c r="C348" s="254">
        <v>3.9999999999999994E-2</v>
      </c>
      <c r="D348" s="254">
        <f t="shared" si="12"/>
        <v>9.9000000000000005E-2</v>
      </c>
      <c r="E348" s="254">
        <f t="shared" si="11"/>
        <v>9.9000000000000005E-2</v>
      </c>
    </row>
    <row r="349" spans="1:5" x14ac:dyDescent="0.2">
      <c r="A349" s="144">
        <v>345</v>
      </c>
      <c r="B349" s="256">
        <v>53083</v>
      </c>
      <c r="C349" s="254">
        <v>3.9999999999999994E-2</v>
      </c>
      <c r="D349" s="254">
        <f t="shared" si="12"/>
        <v>9.9000000000000005E-2</v>
      </c>
      <c r="E349" s="254">
        <f t="shared" si="11"/>
        <v>9.9000000000000005E-2</v>
      </c>
    </row>
    <row r="350" spans="1:5" x14ac:dyDescent="0.2">
      <c r="A350" s="144">
        <v>346</v>
      </c>
      <c r="B350" s="256">
        <v>53114</v>
      </c>
      <c r="C350" s="254">
        <v>3.9999999999999994E-2</v>
      </c>
      <c r="D350" s="254">
        <f t="shared" si="12"/>
        <v>9.9000000000000005E-2</v>
      </c>
      <c r="E350" s="254">
        <f t="shared" si="11"/>
        <v>9.9000000000000005E-2</v>
      </c>
    </row>
    <row r="351" spans="1:5" x14ac:dyDescent="0.2">
      <c r="A351" s="144">
        <v>347</v>
      </c>
      <c r="B351" s="256">
        <v>53144</v>
      </c>
      <c r="C351" s="254">
        <v>3.9999999999999994E-2</v>
      </c>
      <c r="D351" s="254">
        <f t="shared" si="12"/>
        <v>9.9000000000000005E-2</v>
      </c>
      <c r="E351" s="254">
        <f t="shared" si="11"/>
        <v>9.9000000000000005E-2</v>
      </c>
    </row>
    <row r="352" spans="1:5" x14ac:dyDescent="0.2">
      <c r="A352" s="144">
        <v>348</v>
      </c>
      <c r="B352" s="256">
        <v>53175</v>
      </c>
      <c r="C352" s="254">
        <v>3.9999999999999994E-2</v>
      </c>
      <c r="D352" s="254">
        <f t="shared" si="12"/>
        <v>9.9000000000000005E-2</v>
      </c>
      <c r="E352" s="254">
        <f t="shared" si="11"/>
        <v>9.9000000000000005E-2</v>
      </c>
    </row>
    <row r="353" spans="1:5" x14ac:dyDescent="0.2">
      <c r="A353" s="144">
        <v>349</v>
      </c>
      <c r="B353" s="256">
        <v>53206</v>
      </c>
      <c r="C353" s="254">
        <v>3.9999999999999994E-2</v>
      </c>
      <c r="D353" s="254">
        <f t="shared" si="12"/>
        <v>9.9000000000000005E-2</v>
      </c>
      <c r="E353" s="254">
        <f t="shared" si="11"/>
        <v>9.9000000000000005E-2</v>
      </c>
    </row>
    <row r="354" spans="1:5" x14ac:dyDescent="0.2">
      <c r="A354" s="144">
        <v>350</v>
      </c>
      <c r="B354" s="256">
        <v>53236</v>
      </c>
      <c r="C354" s="254">
        <v>3.9999999999999994E-2</v>
      </c>
      <c r="D354" s="254">
        <f t="shared" si="12"/>
        <v>9.9000000000000005E-2</v>
      </c>
      <c r="E354" s="254">
        <f t="shared" si="11"/>
        <v>9.9000000000000005E-2</v>
      </c>
    </row>
    <row r="355" spans="1:5" x14ac:dyDescent="0.2">
      <c r="A355" s="144">
        <v>351</v>
      </c>
      <c r="B355" s="256">
        <v>53267</v>
      </c>
      <c r="C355" s="254">
        <v>3.9999999999999994E-2</v>
      </c>
      <c r="D355" s="254">
        <f t="shared" si="12"/>
        <v>9.9000000000000005E-2</v>
      </c>
      <c r="E355" s="254">
        <f t="shared" si="11"/>
        <v>9.9000000000000005E-2</v>
      </c>
    </row>
    <row r="356" spans="1:5" x14ac:dyDescent="0.2">
      <c r="A356" s="144">
        <v>352</v>
      </c>
      <c r="B356" s="256">
        <v>53297</v>
      </c>
      <c r="C356" s="254">
        <v>3.9999999999999994E-2</v>
      </c>
      <c r="D356" s="254">
        <f t="shared" si="12"/>
        <v>9.9000000000000005E-2</v>
      </c>
      <c r="E356" s="254">
        <f t="shared" si="11"/>
        <v>9.9000000000000005E-2</v>
      </c>
    </row>
    <row r="357" spans="1:5" x14ac:dyDescent="0.2">
      <c r="A357" s="144">
        <v>353</v>
      </c>
      <c r="B357" s="256">
        <v>53328</v>
      </c>
      <c r="C357" s="254">
        <v>3.9999999999999994E-2</v>
      </c>
      <c r="D357" s="254">
        <f t="shared" si="12"/>
        <v>9.9000000000000005E-2</v>
      </c>
      <c r="E357" s="254">
        <f t="shared" si="11"/>
        <v>9.9000000000000005E-2</v>
      </c>
    </row>
    <row r="358" spans="1:5" x14ac:dyDescent="0.2">
      <c r="A358" s="144">
        <v>354</v>
      </c>
      <c r="B358" s="256">
        <v>53359</v>
      </c>
      <c r="C358" s="254">
        <v>3.9999999999999994E-2</v>
      </c>
      <c r="D358" s="254">
        <f t="shared" si="12"/>
        <v>9.9000000000000005E-2</v>
      </c>
      <c r="E358" s="254">
        <f t="shared" si="11"/>
        <v>9.9000000000000005E-2</v>
      </c>
    </row>
    <row r="359" spans="1:5" x14ac:dyDescent="0.2">
      <c r="A359" s="144">
        <v>355</v>
      </c>
      <c r="B359" s="256">
        <v>53387</v>
      </c>
      <c r="C359" s="254">
        <v>3.9999999999999994E-2</v>
      </c>
      <c r="D359" s="254">
        <f t="shared" si="12"/>
        <v>9.9000000000000005E-2</v>
      </c>
      <c r="E359" s="254">
        <f t="shared" si="11"/>
        <v>9.9000000000000005E-2</v>
      </c>
    </row>
    <row r="360" spans="1:5" x14ac:dyDescent="0.2">
      <c r="A360" s="144">
        <v>356</v>
      </c>
      <c r="B360" s="256">
        <v>53418</v>
      </c>
      <c r="C360" s="254">
        <v>3.9999999999999994E-2</v>
      </c>
      <c r="D360" s="254">
        <f t="shared" si="12"/>
        <v>9.9000000000000005E-2</v>
      </c>
      <c r="E360" s="254">
        <f t="shared" si="11"/>
        <v>9.9000000000000005E-2</v>
      </c>
    </row>
    <row r="361" spans="1:5" x14ac:dyDescent="0.2">
      <c r="A361" s="144">
        <v>357</v>
      </c>
      <c r="B361" s="256">
        <v>53448</v>
      </c>
      <c r="C361" s="254">
        <v>3.9999999999999994E-2</v>
      </c>
      <c r="D361" s="254">
        <f t="shared" si="12"/>
        <v>9.9000000000000005E-2</v>
      </c>
      <c r="E361" s="254">
        <f t="shared" si="11"/>
        <v>9.9000000000000005E-2</v>
      </c>
    </row>
    <row r="362" spans="1:5" x14ac:dyDescent="0.2">
      <c r="A362" s="144">
        <v>358</v>
      </c>
      <c r="B362" s="256">
        <v>53479</v>
      </c>
      <c r="C362" s="254">
        <v>3.9999999999999994E-2</v>
      </c>
      <c r="D362" s="254">
        <f t="shared" si="12"/>
        <v>9.9000000000000005E-2</v>
      </c>
      <c r="E362" s="254">
        <f t="shared" si="11"/>
        <v>9.9000000000000005E-2</v>
      </c>
    </row>
    <row r="363" spans="1:5" x14ac:dyDescent="0.2">
      <c r="A363" s="144">
        <v>359</v>
      </c>
      <c r="B363" s="256">
        <v>53509</v>
      </c>
      <c r="C363" s="254">
        <v>3.9999999999999994E-2</v>
      </c>
      <c r="D363" s="254">
        <f t="shared" si="12"/>
        <v>9.9000000000000005E-2</v>
      </c>
      <c r="E363" s="254">
        <f t="shared" si="11"/>
        <v>9.9000000000000005E-2</v>
      </c>
    </row>
    <row r="364" spans="1:5" x14ac:dyDescent="0.2">
      <c r="A364" s="144">
        <v>360</v>
      </c>
      <c r="B364" s="256">
        <v>53540</v>
      </c>
      <c r="C364" s="254">
        <v>3.9999999999999994E-2</v>
      </c>
      <c r="D364" s="254">
        <f t="shared" si="12"/>
        <v>9.9000000000000005E-2</v>
      </c>
      <c r="E364" s="254">
        <f t="shared" si="11"/>
        <v>9.9000000000000005E-2</v>
      </c>
    </row>
    <row r="365" spans="1:5" x14ac:dyDescent="0.2">
      <c r="B365" s="256">
        <v>53571</v>
      </c>
      <c r="C365" s="254">
        <v>3.9999999999999994E-2</v>
      </c>
      <c r="D365" s="254">
        <f t="shared" si="12"/>
        <v>9.9000000000000005E-2</v>
      </c>
      <c r="E365" s="254">
        <f t="shared" si="11"/>
        <v>9.9000000000000005E-2</v>
      </c>
    </row>
    <row r="366" spans="1:5" x14ac:dyDescent="0.2">
      <c r="B366" s="256">
        <v>53601</v>
      </c>
      <c r="C366" s="254">
        <v>3.9999999999999994E-2</v>
      </c>
      <c r="D366" s="254">
        <f t="shared" si="12"/>
        <v>9.9000000000000005E-2</v>
      </c>
      <c r="E366" s="254">
        <f t="shared" si="11"/>
        <v>9.9000000000000005E-2</v>
      </c>
    </row>
    <row r="367" spans="1:5" x14ac:dyDescent="0.2">
      <c r="B367" s="256">
        <v>53632</v>
      </c>
      <c r="C367" s="254">
        <v>3.9999999999999994E-2</v>
      </c>
      <c r="D367" s="254">
        <f t="shared" si="12"/>
        <v>9.9000000000000005E-2</v>
      </c>
      <c r="E367" s="254">
        <f t="shared" si="11"/>
        <v>9.9000000000000005E-2</v>
      </c>
    </row>
    <row r="368" spans="1:5" x14ac:dyDescent="0.2">
      <c r="B368" s="256">
        <v>53662</v>
      </c>
      <c r="C368" s="254">
        <v>3.9999999999999994E-2</v>
      </c>
      <c r="D368" s="254">
        <f t="shared" si="12"/>
        <v>9.9000000000000005E-2</v>
      </c>
      <c r="E368" s="254">
        <f t="shared" si="11"/>
        <v>9.9000000000000005E-2</v>
      </c>
    </row>
    <row r="369" spans="2:5" x14ac:dyDescent="0.2">
      <c r="B369" s="256">
        <v>53693</v>
      </c>
      <c r="C369" s="254">
        <v>3.9999999999999994E-2</v>
      </c>
      <c r="D369" s="254">
        <f t="shared" si="12"/>
        <v>9.9000000000000005E-2</v>
      </c>
      <c r="E369" s="254">
        <f t="shared" si="11"/>
        <v>9.9000000000000005E-2</v>
      </c>
    </row>
    <row r="370" spans="2:5" x14ac:dyDescent="0.2">
      <c r="B370" s="256">
        <v>53724</v>
      </c>
      <c r="C370" s="254">
        <v>3.9999999999999994E-2</v>
      </c>
      <c r="D370" s="254">
        <f t="shared" si="12"/>
        <v>9.9000000000000005E-2</v>
      </c>
      <c r="E370" s="254">
        <f t="shared" si="11"/>
        <v>9.9000000000000005E-2</v>
      </c>
    </row>
    <row r="371" spans="2:5" x14ac:dyDescent="0.2">
      <c r="B371" s="256">
        <v>53752</v>
      </c>
      <c r="C371" s="254">
        <v>3.9999999999999994E-2</v>
      </c>
      <c r="D371" s="254">
        <f t="shared" si="12"/>
        <v>9.9000000000000005E-2</v>
      </c>
      <c r="E371" s="254">
        <f t="shared" si="11"/>
        <v>9.9000000000000005E-2</v>
      </c>
    </row>
    <row r="372" spans="2:5" x14ac:dyDescent="0.2">
      <c r="B372" s="256">
        <v>53783</v>
      </c>
      <c r="C372" s="254">
        <v>3.9999999999999994E-2</v>
      </c>
      <c r="D372" s="254">
        <f t="shared" si="12"/>
        <v>9.9000000000000005E-2</v>
      </c>
      <c r="E372" s="254">
        <f t="shared" si="11"/>
        <v>9.9000000000000005E-2</v>
      </c>
    </row>
    <row r="373" spans="2:5" x14ac:dyDescent="0.2">
      <c r="B373" s="256">
        <v>53813</v>
      </c>
      <c r="C373" s="254">
        <v>3.9999999999999994E-2</v>
      </c>
      <c r="D373" s="254">
        <f t="shared" si="12"/>
        <v>9.9000000000000005E-2</v>
      </c>
      <c r="E373" s="254">
        <f t="shared" si="11"/>
        <v>9.9000000000000005E-2</v>
      </c>
    </row>
    <row r="374" spans="2:5" x14ac:dyDescent="0.2">
      <c r="B374" s="256">
        <v>53844</v>
      </c>
      <c r="C374" s="254">
        <v>3.9999999999999994E-2</v>
      </c>
      <c r="D374" s="254">
        <f t="shared" si="12"/>
        <v>9.9000000000000005E-2</v>
      </c>
      <c r="E374" s="254">
        <f t="shared" si="11"/>
        <v>9.9000000000000005E-2</v>
      </c>
    </row>
    <row r="375" spans="2:5" x14ac:dyDescent="0.2">
      <c r="B375" s="256">
        <v>53874</v>
      </c>
      <c r="C375" s="254">
        <v>3.9999999999999994E-2</v>
      </c>
      <c r="D375" s="254">
        <f t="shared" si="12"/>
        <v>9.9000000000000005E-2</v>
      </c>
      <c r="E375" s="254">
        <f t="shared" si="11"/>
        <v>9.9000000000000005E-2</v>
      </c>
    </row>
    <row r="376" spans="2:5" x14ac:dyDescent="0.2">
      <c r="B376" s="256">
        <v>53905</v>
      </c>
      <c r="C376" s="254">
        <v>3.9999999999999994E-2</v>
      </c>
      <c r="D376" s="254">
        <f t="shared" si="12"/>
        <v>9.9000000000000005E-2</v>
      </c>
      <c r="E376" s="254">
        <f t="shared" si="11"/>
        <v>9.9000000000000005E-2</v>
      </c>
    </row>
    <row r="377" spans="2:5" x14ac:dyDescent="0.2">
      <c r="B377" s="256">
        <v>53936</v>
      </c>
      <c r="C377" s="254">
        <v>3.9999999999999994E-2</v>
      </c>
      <c r="D377" s="254">
        <f t="shared" si="12"/>
        <v>9.9000000000000005E-2</v>
      </c>
      <c r="E377" s="254">
        <f t="shared" si="11"/>
        <v>9.9000000000000005E-2</v>
      </c>
    </row>
    <row r="378" spans="2:5" x14ac:dyDescent="0.2">
      <c r="B378" s="256">
        <v>53966</v>
      </c>
      <c r="C378" s="254">
        <v>3.9999999999999994E-2</v>
      </c>
      <c r="D378" s="254">
        <f t="shared" si="12"/>
        <v>9.9000000000000005E-2</v>
      </c>
      <c r="E378" s="254">
        <f t="shared" si="11"/>
        <v>9.9000000000000005E-2</v>
      </c>
    </row>
    <row r="379" spans="2:5" x14ac:dyDescent="0.2">
      <c r="B379" s="256">
        <v>53997</v>
      </c>
      <c r="C379" s="254">
        <v>3.9999999999999994E-2</v>
      </c>
      <c r="D379" s="254">
        <f t="shared" si="12"/>
        <v>9.9000000000000005E-2</v>
      </c>
      <c r="E379" s="254">
        <f t="shared" si="11"/>
        <v>9.9000000000000005E-2</v>
      </c>
    </row>
    <row r="380" spans="2:5" x14ac:dyDescent="0.2">
      <c r="B380" s="256">
        <v>54027</v>
      </c>
      <c r="C380" s="254">
        <v>3.9999999999999994E-2</v>
      </c>
      <c r="D380" s="254">
        <f t="shared" si="12"/>
        <v>9.9000000000000005E-2</v>
      </c>
      <c r="E380" s="254">
        <f t="shared" si="11"/>
        <v>9.9000000000000005E-2</v>
      </c>
    </row>
    <row r="381" spans="2:5" x14ac:dyDescent="0.2">
      <c r="B381" s="256">
        <v>54058</v>
      </c>
      <c r="C381" s="254">
        <v>3.9999999999999994E-2</v>
      </c>
      <c r="D381" s="254">
        <f t="shared" si="12"/>
        <v>9.9000000000000005E-2</v>
      </c>
      <c r="E381" s="254">
        <f t="shared" si="11"/>
        <v>9.9000000000000005E-2</v>
      </c>
    </row>
    <row r="382" spans="2:5" x14ac:dyDescent="0.2">
      <c r="B382" s="256">
        <v>54089</v>
      </c>
      <c r="C382" s="254">
        <v>3.9999999999999994E-2</v>
      </c>
      <c r="D382" s="254">
        <f t="shared" si="12"/>
        <v>9.9000000000000005E-2</v>
      </c>
      <c r="E382" s="254">
        <f t="shared" si="11"/>
        <v>9.9000000000000005E-2</v>
      </c>
    </row>
    <row r="383" spans="2:5" x14ac:dyDescent="0.2">
      <c r="B383" s="256">
        <v>54118</v>
      </c>
      <c r="C383" s="254">
        <v>3.9999999999999994E-2</v>
      </c>
      <c r="D383" s="254">
        <f t="shared" si="12"/>
        <v>9.9000000000000005E-2</v>
      </c>
      <c r="E383" s="254">
        <f t="shared" si="11"/>
        <v>9.9000000000000005E-2</v>
      </c>
    </row>
    <row r="384" spans="2:5" x14ac:dyDescent="0.2">
      <c r="B384" s="256">
        <v>54149</v>
      </c>
      <c r="C384" s="254">
        <v>3.9999999999999994E-2</v>
      </c>
      <c r="D384" s="254">
        <f t="shared" si="12"/>
        <v>9.9000000000000005E-2</v>
      </c>
      <c r="E384" s="254">
        <f t="shared" si="11"/>
        <v>9.9000000000000005E-2</v>
      </c>
    </row>
    <row r="385" spans="2:5" x14ac:dyDescent="0.2">
      <c r="B385" s="256">
        <v>54179</v>
      </c>
      <c r="C385" s="254">
        <v>3.9999999999999994E-2</v>
      </c>
      <c r="D385" s="254">
        <f t="shared" si="12"/>
        <v>9.9000000000000005E-2</v>
      </c>
      <c r="E385" s="254">
        <f t="shared" si="11"/>
        <v>9.9000000000000005E-2</v>
      </c>
    </row>
    <row r="386" spans="2:5" x14ac:dyDescent="0.2">
      <c r="B386" s="256">
        <v>54210</v>
      </c>
      <c r="C386" s="254">
        <v>3.9999999999999994E-2</v>
      </c>
      <c r="D386" s="254">
        <f t="shared" si="12"/>
        <v>9.9000000000000005E-2</v>
      </c>
      <c r="E386" s="254">
        <f t="shared" si="11"/>
        <v>9.9000000000000005E-2</v>
      </c>
    </row>
    <row r="387" spans="2:5" x14ac:dyDescent="0.2">
      <c r="B387" s="256">
        <v>54240</v>
      </c>
      <c r="C387" s="254">
        <v>3.9999999999999994E-2</v>
      </c>
      <c r="D387" s="254">
        <f t="shared" si="12"/>
        <v>9.9000000000000005E-2</v>
      </c>
      <c r="E387" s="254">
        <f t="shared" si="11"/>
        <v>9.9000000000000005E-2</v>
      </c>
    </row>
    <row r="388" spans="2:5" x14ac:dyDescent="0.2">
      <c r="B388" s="256">
        <v>54271</v>
      </c>
      <c r="C388" s="254">
        <v>3.9999999999999994E-2</v>
      </c>
      <c r="D388" s="254">
        <f t="shared" si="12"/>
        <v>9.9000000000000005E-2</v>
      </c>
      <c r="E388" s="254">
        <f t="shared" si="11"/>
        <v>9.9000000000000005E-2</v>
      </c>
    </row>
    <row r="389" spans="2:5" x14ac:dyDescent="0.2">
      <c r="B389" s="256">
        <v>54302</v>
      </c>
      <c r="C389" s="254">
        <v>3.9999999999999994E-2</v>
      </c>
      <c r="D389" s="254">
        <f t="shared" si="12"/>
        <v>9.9000000000000005E-2</v>
      </c>
      <c r="E389" s="254">
        <f t="shared" si="11"/>
        <v>9.9000000000000005E-2</v>
      </c>
    </row>
    <row r="390" spans="2:5" x14ac:dyDescent="0.2">
      <c r="B390" s="256">
        <v>54332</v>
      </c>
      <c r="C390" s="254">
        <v>3.9999999999999994E-2</v>
      </c>
      <c r="D390" s="254">
        <f t="shared" si="12"/>
        <v>9.9000000000000005E-2</v>
      </c>
      <c r="E390" s="254">
        <f t="shared" ref="E390:E453" si="13">D390+$C$1+$C$2+$E$2</f>
        <v>9.9000000000000005E-2</v>
      </c>
    </row>
    <row r="391" spans="2:5" x14ac:dyDescent="0.2">
      <c r="B391" s="256">
        <v>54363</v>
      </c>
      <c r="C391" s="254">
        <v>3.9999999999999994E-2</v>
      </c>
      <c r="D391" s="254">
        <f t="shared" si="12"/>
        <v>9.9000000000000005E-2</v>
      </c>
      <c r="E391" s="254">
        <f t="shared" si="13"/>
        <v>9.9000000000000005E-2</v>
      </c>
    </row>
    <row r="392" spans="2:5" x14ac:dyDescent="0.2">
      <c r="B392" s="256">
        <v>54393</v>
      </c>
      <c r="C392" s="254">
        <v>3.9999999999999994E-2</v>
      </c>
      <c r="D392" s="254">
        <f t="shared" si="12"/>
        <v>9.9000000000000005E-2</v>
      </c>
      <c r="E392" s="254">
        <f t="shared" si="13"/>
        <v>9.9000000000000005E-2</v>
      </c>
    </row>
    <row r="393" spans="2:5" x14ac:dyDescent="0.2">
      <c r="B393" s="256">
        <v>54424</v>
      </c>
      <c r="C393" s="254">
        <v>3.9999999999999994E-2</v>
      </c>
      <c r="D393" s="254">
        <f t="shared" si="12"/>
        <v>9.9000000000000005E-2</v>
      </c>
      <c r="E393" s="254">
        <f t="shared" si="13"/>
        <v>9.9000000000000005E-2</v>
      </c>
    </row>
    <row r="394" spans="2:5" x14ac:dyDescent="0.2">
      <c r="B394" s="256">
        <v>54455</v>
      </c>
      <c r="C394" s="254">
        <v>3.9999999999999994E-2</v>
      </c>
      <c r="D394" s="254">
        <f t="shared" ref="D394:D457" si="14">C394+5.9%</f>
        <v>9.9000000000000005E-2</v>
      </c>
      <c r="E394" s="254">
        <f t="shared" si="13"/>
        <v>9.9000000000000005E-2</v>
      </c>
    </row>
    <row r="395" spans="2:5" x14ac:dyDescent="0.2">
      <c r="B395" s="256">
        <v>54483</v>
      </c>
      <c r="C395" s="254">
        <v>3.9999999999999994E-2</v>
      </c>
      <c r="D395" s="254">
        <f t="shared" si="14"/>
        <v>9.9000000000000005E-2</v>
      </c>
      <c r="E395" s="254">
        <f t="shared" si="13"/>
        <v>9.9000000000000005E-2</v>
      </c>
    </row>
    <row r="396" spans="2:5" x14ac:dyDescent="0.2">
      <c r="B396" s="256">
        <v>54514</v>
      </c>
      <c r="C396" s="254">
        <v>3.9999999999999994E-2</v>
      </c>
      <c r="D396" s="254">
        <f t="shared" si="14"/>
        <v>9.9000000000000005E-2</v>
      </c>
      <c r="E396" s="254">
        <f t="shared" si="13"/>
        <v>9.9000000000000005E-2</v>
      </c>
    </row>
    <row r="397" spans="2:5" x14ac:dyDescent="0.2">
      <c r="B397" s="256">
        <v>54544</v>
      </c>
      <c r="C397" s="254">
        <v>3.9999999999999994E-2</v>
      </c>
      <c r="D397" s="254">
        <f t="shared" si="14"/>
        <v>9.9000000000000005E-2</v>
      </c>
      <c r="E397" s="254">
        <f t="shared" si="13"/>
        <v>9.9000000000000005E-2</v>
      </c>
    </row>
    <row r="398" spans="2:5" x14ac:dyDescent="0.2">
      <c r="B398" s="256">
        <v>54575</v>
      </c>
      <c r="C398" s="254">
        <v>3.9999999999999994E-2</v>
      </c>
      <c r="D398" s="254">
        <f t="shared" si="14"/>
        <v>9.9000000000000005E-2</v>
      </c>
      <c r="E398" s="254">
        <f t="shared" si="13"/>
        <v>9.9000000000000005E-2</v>
      </c>
    </row>
    <row r="399" spans="2:5" x14ac:dyDescent="0.2">
      <c r="B399" s="256">
        <v>54605</v>
      </c>
      <c r="C399" s="254">
        <v>3.9999999999999994E-2</v>
      </c>
      <c r="D399" s="254">
        <f t="shared" si="14"/>
        <v>9.9000000000000005E-2</v>
      </c>
      <c r="E399" s="254">
        <f t="shared" si="13"/>
        <v>9.9000000000000005E-2</v>
      </c>
    </row>
    <row r="400" spans="2:5" x14ac:dyDescent="0.2">
      <c r="B400" s="256">
        <v>54636</v>
      </c>
      <c r="C400" s="254">
        <v>3.9999999999999994E-2</v>
      </c>
      <c r="D400" s="254">
        <f t="shared" si="14"/>
        <v>9.9000000000000005E-2</v>
      </c>
      <c r="E400" s="254">
        <f t="shared" si="13"/>
        <v>9.9000000000000005E-2</v>
      </c>
    </row>
    <row r="401" spans="2:5" x14ac:dyDescent="0.2">
      <c r="B401" s="256">
        <v>54667</v>
      </c>
      <c r="C401" s="254">
        <v>3.9999999999999994E-2</v>
      </c>
      <c r="D401" s="254">
        <f t="shared" si="14"/>
        <v>9.9000000000000005E-2</v>
      </c>
      <c r="E401" s="254">
        <f t="shared" si="13"/>
        <v>9.9000000000000005E-2</v>
      </c>
    </row>
    <row r="402" spans="2:5" x14ac:dyDescent="0.2">
      <c r="B402" s="256">
        <v>54697</v>
      </c>
      <c r="C402" s="254">
        <v>3.9999999999999994E-2</v>
      </c>
      <c r="D402" s="254">
        <f t="shared" si="14"/>
        <v>9.9000000000000005E-2</v>
      </c>
      <c r="E402" s="254">
        <f t="shared" si="13"/>
        <v>9.9000000000000005E-2</v>
      </c>
    </row>
    <row r="403" spans="2:5" x14ac:dyDescent="0.2">
      <c r="B403" s="256">
        <v>54728</v>
      </c>
      <c r="C403" s="254">
        <v>3.9999999999999994E-2</v>
      </c>
      <c r="D403" s="254">
        <f t="shared" si="14"/>
        <v>9.9000000000000005E-2</v>
      </c>
      <c r="E403" s="254">
        <f t="shared" si="13"/>
        <v>9.9000000000000005E-2</v>
      </c>
    </row>
    <row r="404" spans="2:5" x14ac:dyDescent="0.2">
      <c r="B404" s="256">
        <v>54758</v>
      </c>
      <c r="C404" s="254">
        <v>3.9999999999999994E-2</v>
      </c>
      <c r="D404" s="254">
        <f t="shared" si="14"/>
        <v>9.9000000000000005E-2</v>
      </c>
      <c r="E404" s="254">
        <f t="shared" si="13"/>
        <v>9.9000000000000005E-2</v>
      </c>
    </row>
    <row r="405" spans="2:5" x14ac:dyDescent="0.2">
      <c r="B405" s="256">
        <v>54789</v>
      </c>
      <c r="C405" s="254">
        <v>3.9999999999999994E-2</v>
      </c>
      <c r="D405" s="254">
        <f t="shared" si="14"/>
        <v>9.9000000000000005E-2</v>
      </c>
      <c r="E405" s="254">
        <f t="shared" si="13"/>
        <v>9.9000000000000005E-2</v>
      </c>
    </row>
    <row r="406" spans="2:5" x14ac:dyDescent="0.2">
      <c r="B406" s="256">
        <v>54820</v>
      </c>
      <c r="C406" s="254">
        <v>3.9999999999999994E-2</v>
      </c>
      <c r="D406" s="254">
        <f t="shared" si="14"/>
        <v>9.9000000000000005E-2</v>
      </c>
      <c r="E406" s="254">
        <f t="shared" si="13"/>
        <v>9.9000000000000005E-2</v>
      </c>
    </row>
    <row r="407" spans="2:5" x14ac:dyDescent="0.2">
      <c r="B407" s="256">
        <v>54848</v>
      </c>
      <c r="C407" s="254">
        <v>3.9999999999999994E-2</v>
      </c>
      <c r="D407" s="254">
        <f t="shared" si="14"/>
        <v>9.9000000000000005E-2</v>
      </c>
      <c r="E407" s="254">
        <f t="shared" si="13"/>
        <v>9.9000000000000005E-2</v>
      </c>
    </row>
    <row r="408" spans="2:5" x14ac:dyDescent="0.2">
      <c r="B408" s="256">
        <v>54879</v>
      </c>
      <c r="C408" s="254">
        <v>3.9999999999999994E-2</v>
      </c>
      <c r="D408" s="254">
        <f t="shared" si="14"/>
        <v>9.9000000000000005E-2</v>
      </c>
      <c r="E408" s="254">
        <f t="shared" si="13"/>
        <v>9.9000000000000005E-2</v>
      </c>
    </row>
    <row r="409" spans="2:5" x14ac:dyDescent="0.2">
      <c r="B409" s="256">
        <v>54909</v>
      </c>
      <c r="C409" s="254">
        <v>3.9999999999999994E-2</v>
      </c>
      <c r="D409" s="254">
        <f t="shared" si="14"/>
        <v>9.9000000000000005E-2</v>
      </c>
      <c r="E409" s="254">
        <f t="shared" si="13"/>
        <v>9.9000000000000005E-2</v>
      </c>
    </row>
    <row r="410" spans="2:5" x14ac:dyDescent="0.2">
      <c r="B410" s="256">
        <v>54940</v>
      </c>
      <c r="C410" s="254">
        <v>3.9999999999999994E-2</v>
      </c>
      <c r="D410" s="254">
        <f t="shared" si="14"/>
        <v>9.9000000000000005E-2</v>
      </c>
      <c r="E410" s="254">
        <f t="shared" si="13"/>
        <v>9.9000000000000005E-2</v>
      </c>
    </row>
    <row r="411" spans="2:5" x14ac:dyDescent="0.2">
      <c r="B411" s="256">
        <v>54970</v>
      </c>
      <c r="C411" s="254">
        <v>3.9999999999999994E-2</v>
      </c>
      <c r="D411" s="254">
        <f t="shared" si="14"/>
        <v>9.9000000000000005E-2</v>
      </c>
      <c r="E411" s="254">
        <f t="shared" si="13"/>
        <v>9.9000000000000005E-2</v>
      </c>
    </row>
    <row r="412" spans="2:5" x14ac:dyDescent="0.2">
      <c r="B412" s="256">
        <v>55001</v>
      </c>
      <c r="C412" s="254">
        <v>3.9999999999999994E-2</v>
      </c>
      <c r="D412" s="254">
        <f t="shared" si="14"/>
        <v>9.9000000000000005E-2</v>
      </c>
      <c r="E412" s="254">
        <f t="shared" si="13"/>
        <v>9.9000000000000005E-2</v>
      </c>
    </row>
    <row r="413" spans="2:5" x14ac:dyDescent="0.2">
      <c r="B413" s="256">
        <v>55032</v>
      </c>
      <c r="C413" s="254">
        <v>3.9999999999999994E-2</v>
      </c>
      <c r="D413" s="254">
        <f t="shared" si="14"/>
        <v>9.9000000000000005E-2</v>
      </c>
      <c r="E413" s="254">
        <f t="shared" si="13"/>
        <v>9.9000000000000005E-2</v>
      </c>
    </row>
    <row r="414" spans="2:5" x14ac:dyDescent="0.2">
      <c r="B414" s="256">
        <v>55062</v>
      </c>
      <c r="C414" s="254">
        <v>3.9999999999999994E-2</v>
      </c>
      <c r="D414" s="254">
        <f t="shared" si="14"/>
        <v>9.9000000000000005E-2</v>
      </c>
      <c r="E414" s="254">
        <f t="shared" si="13"/>
        <v>9.9000000000000005E-2</v>
      </c>
    </row>
    <row r="415" spans="2:5" x14ac:dyDescent="0.2">
      <c r="B415" s="256">
        <v>55093</v>
      </c>
      <c r="C415" s="254">
        <v>3.9999999999999994E-2</v>
      </c>
      <c r="D415" s="254">
        <f t="shared" si="14"/>
        <v>9.9000000000000005E-2</v>
      </c>
      <c r="E415" s="254">
        <f t="shared" si="13"/>
        <v>9.9000000000000005E-2</v>
      </c>
    </row>
    <row r="416" spans="2:5" x14ac:dyDescent="0.2">
      <c r="B416" s="256">
        <v>55123</v>
      </c>
      <c r="C416" s="254">
        <v>3.9999999999999994E-2</v>
      </c>
      <c r="D416" s="254">
        <f t="shared" si="14"/>
        <v>9.9000000000000005E-2</v>
      </c>
      <c r="E416" s="254">
        <f t="shared" si="13"/>
        <v>9.9000000000000005E-2</v>
      </c>
    </row>
    <row r="417" spans="2:5" x14ac:dyDescent="0.2">
      <c r="B417" s="256">
        <v>55154</v>
      </c>
      <c r="C417" s="254">
        <v>3.9999999999999994E-2</v>
      </c>
      <c r="D417" s="254">
        <f t="shared" si="14"/>
        <v>9.9000000000000005E-2</v>
      </c>
      <c r="E417" s="254">
        <f t="shared" si="13"/>
        <v>9.9000000000000005E-2</v>
      </c>
    </row>
    <row r="418" spans="2:5" x14ac:dyDescent="0.2">
      <c r="B418" s="256">
        <v>55185</v>
      </c>
      <c r="C418" s="254">
        <v>3.9999999999999994E-2</v>
      </c>
      <c r="D418" s="254">
        <f t="shared" si="14"/>
        <v>9.9000000000000005E-2</v>
      </c>
      <c r="E418" s="254">
        <f t="shared" si="13"/>
        <v>9.9000000000000005E-2</v>
      </c>
    </row>
    <row r="419" spans="2:5" x14ac:dyDescent="0.2">
      <c r="B419" s="256">
        <v>55213</v>
      </c>
      <c r="C419" s="254">
        <v>3.9999999999999994E-2</v>
      </c>
      <c r="D419" s="254">
        <f t="shared" si="14"/>
        <v>9.9000000000000005E-2</v>
      </c>
      <c r="E419" s="254">
        <f t="shared" si="13"/>
        <v>9.9000000000000005E-2</v>
      </c>
    </row>
    <row r="420" spans="2:5" x14ac:dyDescent="0.2">
      <c r="B420" s="256">
        <v>55244</v>
      </c>
      <c r="C420" s="254">
        <v>3.9999999999999994E-2</v>
      </c>
      <c r="D420" s="254">
        <f t="shared" si="14"/>
        <v>9.9000000000000005E-2</v>
      </c>
      <c r="E420" s="254">
        <f t="shared" si="13"/>
        <v>9.9000000000000005E-2</v>
      </c>
    </row>
    <row r="421" spans="2:5" x14ac:dyDescent="0.2">
      <c r="B421" s="256">
        <v>55274</v>
      </c>
      <c r="C421" s="254">
        <v>3.9999999999999994E-2</v>
      </c>
      <c r="D421" s="254">
        <f t="shared" si="14"/>
        <v>9.9000000000000005E-2</v>
      </c>
      <c r="E421" s="254">
        <f t="shared" si="13"/>
        <v>9.9000000000000005E-2</v>
      </c>
    </row>
    <row r="422" spans="2:5" x14ac:dyDescent="0.2">
      <c r="B422" s="256">
        <v>55305</v>
      </c>
      <c r="C422" s="254">
        <v>3.9999999999999994E-2</v>
      </c>
      <c r="D422" s="254">
        <f t="shared" si="14"/>
        <v>9.9000000000000005E-2</v>
      </c>
      <c r="E422" s="254">
        <f t="shared" si="13"/>
        <v>9.9000000000000005E-2</v>
      </c>
    </row>
    <row r="423" spans="2:5" x14ac:dyDescent="0.2">
      <c r="B423" s="256">
        <v>55335</v>
      </c>
      <c r="C423" s="254">
        <v>3.9999999999999994E-2</v>
      </c>
      <c r="D423" s="254">
        <f t="shared" si="14"/>
        <v>9.9000000000000005E-2</v>
      </c>
      <c r="E423" s="254">
        <f t="shared" si="13"/>
        <v>9.9000000000000005E-2</v>
      </c>
    </row>
    <row r="424" spans="2:5" x14ac:dyDescent="0.2">
      <c r="B424" s="256">
        <v>55366</v>
      </c>
      <c r="C424" s="254">
        <v>3.9999999999999994E-2</v>
      </c>
      <c r="D424" s="254">
        <f t="shared" si="14"/>
        <v>9.9000000000000005E-2</v>
      </c>
      <c r="E424" s="254">
        <f t="shared" si="13"/>
        <v>9.9000000000000005E-2</v>
      </c>
    </row>
    <row r="425" spans="2:5" x14ac:dyDescent="0.2">
      <c r="B425" s="256">
        <v>55397</v>
      </c>
      <c r="C425" s="254">
        <v>3.9999999999999994E-2</v>
      </c>
      <c r="D425" s="254">
        <f t="shared" si="14"/>
        <v>9.9000000000000005E-2</v>
      </c>
      <c r="E425" s="254">
        <f t="shared" si="13"/>
        <v>9.9000000000000005E-2</v>
      </c>
    </row>
    <row r="426" spans="2:5" x14ac:dyDescent="0.2">
      <c r="B426" s="256">
        <v>55427</v>
      </c>
      <c r="C426" s="254">
        <v>3.9999999999999994E-2</v>
      </c>
      <c r="D426" s="254">
        <f t="shared" si="14"/>
        <v>9.9000000000000005E-2</v>
      </c>
      <c r="E426" s="254">
        <f t="shared" si="13"/>
        <v>9.9000000000000005E-2</v>
      </c>
    </row>
    <row r="427" spans="2:5" x14ac:dyDescent="0.2">
      <c r="B427" s="256">
        <v>55458</v>
      </c>
      <c r="C427" s="254">
        <v>3.9999999999999994E-2</v>
      </c>
      <c r="D427" s="254">
        <f t="shared" si="14"/>
        <v>9.9000000000000005E-2</v>
      </c>
      <c r="E427" s="254">
        <f t="shared" si="13"/>
        <v>9.9000000000000005E-2</v>
      </c>
    </row>
    <row r="428" spans="2:5" x14ac:dyDescent="0.2">
      <c r="B428" s="256">
        <v>55488</v>
      </c>
      <c r="C428" s="254">
        <v>3.9999999999999994E-2</v>
      </c>
      <c r="D428" s="254">
        <f t="shared" si="14"/>
        <v>9.9000000000000005E-2</v>
      </c>
      <c r="E428" s="254">
        <f t="shared" si="13"/>
        <v>9.9000000000000005E-2</v>
      </c>
    </row>
    <row r="429" spans="2:5" x14ac:dyDescent="0.2">
      <c r="B429" s="256">
        <v>55519</v>
      </c>
      <c r="C429" s="254">
        <v>3.9999999999999994E-2</v>
      </c>
      <c r="D429" s="254">
        <f t="shared" si="14"/>
        <v>9.9000000000000005E-2</v>
      </c>
      <c r="E429" s="254">
        <f t="shared" si="13"/>
        <v>9.9000000000000005E-2</v>
      </c>
    </row>
    <row r="430" spans="2:5" x14ac:dyDescent="0.2">
      <c r="B430" s="256">
        <v>55550</v>
      </c>
      <c r="C430" s="254">
        <v>3.9999999999999994E-2</v>
      </c>
      <c r="D430" s="254">
        <f t="shared" si="14"/>
        <v>9.9000000000000005E-2</v>
      </c>
      <c r="E430" s="254">
        <f t="shared" si="13"/>
        <v>9.9000000000000005E-2</v>
      </c>
    </row>
    <row r="431" spans="2:5" x14ac:dyDescent="0.2">
      <c r="B431" s="256">
        <v>55579</v>
      </c>
      <c r="C431" s="254">
        <v>3.9999999999999994E-2</v>
      </c>
      <c r="D431" s="254">
        <f t="shared" si="14"/>
        <v>9.9000000000000005E-2</v>
      </c>
      <c r="E431" s="254">
        <f t="shared" si="13"/>
        <v>9.9000000000000005E-2</v>
      </c>
    </row>
    <row r="432" spans="2:5" x14ac:dyDescent="0.2">
      <c r="B432" s="256">
        <v>55610</v>
      </c>
      <c r="C432" s="254">
        <v>3.9999999999999994E-2</v>
      </c>
      <c r="D432" s="254">
        <f t="shared" si="14"/>
        <v>9.9000000000000005E-2</v>
      </c>
      <c r="E432" s="254">
        <f t="shared" si="13"/>
        <v>9.9000000000000005E-2</v>
      </c>
    </row>
    <row r="433" spans="2:5" x14ac:dyDescent="0.2">
      <c r="B433" s="256">
        <v>55640</v>
      </c>
      <c r="C433" s="254">
        <v>3.9999999999999994E-2</v>
      </c>
      <c r="D433" s="254">
        <f t="shared" si="14"/>
        <v>9.9000000000000005E-2</v>
      </c>
      <c r="E433" s="254">
        <f t="shared" si="13"/>
        <v>9.9000000000000005E-2</v>
      </c>
    </row>
    <row r="434" spans="2:5" x14ac:dyDescent="0.2">
      <c r="B434" s="256">
        <v>55671</v>
      </c>
      <c r="C434" s="254">
        <v>3.9999999999999994E-2</v>
      </c>
      <c r="D434" s="254">
        <f t="shared" si="14"/>
        <v>9.9000000000000005E-2</v>
      </c>
      <c r="E434" s="254">
        <f t="shared" si="13"/>
        <v>9.9000000000000005E-2</v>
      </c>
    </row>
    <row r="435" spans="2:5" x14ac:dyDescent="0.2">
      <c r="B435" s="256">
        <v>55701</v>
      </c>
      <c r="C435" s="254">
        <v>3.9999999999999994E-2</v>
      </c>
      <c r="D435" s="254">
        <f t="shared" si="14"/>
        <v>9.9000000000000005E-2</v>
      </c>
      <c r="E435" s="254">
        <f t="shared" si="13"/>
        <v>9.9000000000000005E-2</v>
      </c>
    </row>
    <row r="436" spans="2:5" x14ac:dyDescent="0.2">
      <c r="B436" s="256">
        <v>55732</v>
      </c>
      <c r="C436" s="254">
        <v>3.9999999999999994E-2</v>
      </c>
      <c r="D436" s="254">
        <f t="shared" si="14"/>
        <v>9.9000000000000005E-2</v>
      </c>
      <c r="E436" s="254">
        <f t="shared" si="13"/>
        <v>9.9000000000000005E-2</v>
      </c>
    </row>
    <row r="437" spans="2:5" x14ac:dyDescent="0.2">
      <c r="B437" s="256">
        <v>55763</v>
      </c>
      <c r="C437" s="254">
        <v>3.9999999999999994E-2</v>
      </c>
      <c r="D437" s="254">
        <f t="shared" si="14"/>
        <v>9.9000000000000005E-2</v>
      </c>
      <c r="E437" s="254">
        <f t="shared" si="13"/>
        <v>9.9000000000000005E-2</v>
      </c>
    </row>
    <row r="438" spans="2:5" x14ac:dyDescent="0.2">
      <c r="B438" s="256">
        <v>55793</v>
      </c>
      <c r="C438" s="254">
        <v>3.9999999999999994E-2</v>
      </c>
      <c r="D438" s="254">
        <f t="shared" si="14"/>
        <v>9.9000000000000005E-2</v>
      </c>
      <c r="E438" s="254">
        <f t="shared" si="13"/>
        <v>9.9000000000000005E-2</v>
      </c>
    </row>
    <row r="439" spans="2:5" x14ac:dyDescent="0.2">
      <c r="B439" s="256">
        <v>55824</v>
      </c>
      <c r="C439" s="254">
        <v>3.9999999999999994E-2</v>
      </c>
      <c r="D439" s="254">
        <f t="shared" si="14"/>
        <v>9.9000000000000005E-2</v>
      </c>
      <c r="E439" s="254">
        <f t="shared" si="13"/>
        <v>9.9000000000000005E-2</v>
      </c>
    </row>
    <row r="440" spans="2:5" x14ac:dyDescent="0.2">
      <c r="B440" s="256">
        <v>55854</v>
      </c>
      <c r="C440" s="254">
        <v>3.9999999999999994E-2</v>
      </c>
      <c r="D440" s="254">
        <f t="shared" si="14"/>
        <v>9.9000000000000005E-2</v>
      </c>
      <c r="E440" s="254">
        <f t="shared" si="13"/>
        <v>9.9000000000000005E-2</v>
      </c>
    </row>
    <row r="441" spans="2:5" x14ac:dyDescent="0.2">
      <c r="B441" s="256">
        <v>55885</v>
      </c>
      <c r="C441" s="254">
        <v>3.9999999999999994E-2</v>
      </c>
      <c r="D441" s="254">
        <f t="shared" si="14"/>
        <v>9.9000000000000005E-2</v>
      </c>
      <c r="E441" s="254">
        <f t="shared" si="13"/>
        <v>9.9000000000000005E-2</v>
      </c>
    </row>
    <row r="442" spans="2:5" x14ac:dyDescent="0.2">
      <c r="B442" s="256">
        <v>55916</v>
      </c>
      <c r="C442" s="254">
        <v>3.9999999999999994E-2</v>
      </c>
      <c r="D442" s="254">
        <f t="shared" si="14"/>
        <v>9.9000000000000005E-2</v>
      </c>
      <c r="E442" s="254">
        <f t="shared" si="13"/>
        <v>9.9000000000000005E-2</v>
      </c>
    </row>
    <row r="443" spans="2:5" x14ac:dyDescent="0.2">
      <c r="B443" s="256">
        <v>55944</v>
      </c>
      <c r="C443" s="254">
        <v>3.9999999999999994E-2</v>
      </c>
      <c r="D443" s="254">
        <f t="shared" si="14"/>
        <v>9.9000000000000005E-2</v>
      </c>
      <c r="E443" s="254">
        <f t="shared" si="13"/>
        <v>9.9000000000000005E-2</v>
      </c>
    </row>
    <row r="444" spans="2:5" x14ac:dyDescent="0.2">
      <c r="B444" s="256">
        <v>55975</v>
      </c>
      <c r="C444" s="254">
        <v>3.9999999999999994E-2</v>
      </c>
      <c r="D444" s="254">
        <f t="shared" si="14"/>
        <v>9.9000000000000005E-2</v>
      </c>
      <c r="E444" s="254">
        <f t="shared" si="13"/>
        <v>9.9000000000000005E-2</v>
      </c>
    </row>
    <row r="445" spans="2:5" x14ac:dyDescent="0.2">
      <c r="B445" s="256">
        <v>56005</v>
      </c>
      <c r="C445" s="254">
        <v>3.9999999999999994E-2</v>
      </c>
      <c r="D445" s="254">
        <f t="shared" si="14"/>
        <v>9.9000000000000005E-2</v>
      </c>
      <c r="E445" s="254">
        <f t="shared" si="13"/>
        <v>9.9000000000000005E-2</v>
      </c>
    </row>
    <row r="446" spans="2:5" x14ac:dyDescent="0.2">
      <c r="B446" s="256">
        <v>56036</v>
      </c>
      <c r="C446" s="254">
        <v>3.9999999999999994E-2</v>
      </c>
      <c r="D446" s="254">
        <f t="shared" si="14"/>
        <v>9.9000000000000005E-2</v>
      </c>
      <c r="E446" s="254">
        <f t="shared" si="13"/>
        <v>9.9000000000000005E-2</v>
      </c>
    </row>
    <row r="447" spans="2:5" x14ac:dyDescent="0.2">
      <c r="B447" s="256">
        <v>56066</v>
      </c>
      <c r="C447" s="254">
        <v>3.9999999999999994E-2</v>
      </c>
      <c r="D447" s="254">
        <f t="shared" si="14"/>
        <v>9.9000000000000005E-2</v>
      </c>
      <c r="E447" s="254">
        <f t="shared" si="13"/>
        <v>9.9000000000000005E-2</v>
      </c>
    </row>
    <row r="448" spans="2:5" x14ac:dyDescent="0.2">
      <c r="B448" s="256">
        <v>56097</v>
      </c>
      <c r="C448" s="254">
        <v>3.9999999999999994E-2</v>
      </c>
      <c r="D448" s="254">
        <f t="shared" si="14"/>
        <v>9.9000000000000005E-2</v>
      </c>
      <c r="E448" s="254">
        <f t="shared" si="13"/>
        <v>9.9000000000000005E-2</v>
      </c>
    </row>
    <row r="449" spans="2:5" x14ac:dyDescent="0.2">
      <c r="B449" s="256">
        <v>56128</v>
      </c>
      <c r="C449" s="254">
        <v>3.9999999999999994E-2</v>
      </c>
      <c r="D449" s="254">
        <f t="shared" si="14"/>
        <v>9.9000000000000005E-2</v>
      </c>
      <c r="E449" s="254">
        <f t="shared" si="13"/>
        <v>9.9000000000000005E-2</v>
      </c>
    </row>
    <row r="450" spans="2:5" x14ac:dyDescent="0.2">
      <c r="B450" s="256">
        <v>56158</v>
      </c>
      <c r="C450" s="254">
        <v>3.9999999999999994E-2</v>
      </c>
      <c r="D450" s="254">
        <f t="shared" si="14"/>
        <v>9.9000000000000005E-2</v>
      </c>
      <c r="E450" s="254">
        <f t="shared" si="13"/>
        <v>9.9000000000000005E-2</v>
      </c>
    </row>
    <row r="451" spans="2:5" x14ac:dyDescent="0.2">
      <c r="B451" s="256">
        <v>56189</v>
      </c>
      <c r="C451" s="254">
        <v>3.9999999999999994E-2</v>
      </c>
      <c r="D451" s="254">
        <f t="shared" si="14"/>
        <v>9.9000000000000005E-2</v>
      </c>
      <c r="E451" s="254">
        <f t="shared" si="13"/>
        <v>9.9000000000000005E-2</v>
      </c>
    </row>
    <row r="452" spans="2:5" x14ac:dyDescent="0.2">
      <c r="B452" s="256">
        <v>56219</v>
      </c>
      <c r="C452" s="254">
        <v>3.9999999999999994E-2</v>
      </c>
      <c r="D452" s="254">
        <f t="shared" si="14"/>
        <v>9.9000000000000005E-2</v>
      </c>
      <c r="E452" s="254">
        <f t="shared" si="13"/>
        <v>9.9000000000000005E-2</v>
      </c>
    </row>
    <row r="453" spans="2:5" x14ac:dyDescent="0.2">
      <c r="B453" s="256">
        <v>56250</v>
      </c>
      <c r="C453" s="254">
        <v>3.9999999999999994E-2</v>
      </c>
      <c r="D453" s="254">
        <f t="shared" si="14"/>
        <v>9.9000000000000005E-2</v>
      </c>
      <c r="E453" s="254">
        <f t="shared" si="13"/>
        <v>9.9000000000000005E-2</v>
      </c>
    </row>
    <row r="454" spans="2:5" x14ac:dyDescent="0.2">
      <c r="B454" s="256">
        <v>56281</v>
      </c>
      <c r="C454" s="254">
        <v>3.9999999999999994E-2</v>
      </c>
      <c r="D454" s="254">
        <f t="shared" si="14"/>
        <v>9.9000000000000005E-2</v>
      </c>
      <c r="E454" s="254">
        <f t="shared" ref="E454:E517" si="15">D454+$C$1+$C$2+$E$2</f>
        <v>9.9000000000000005E-2</v>
      </c>
    </row>
    <row r="455" spans="2:5" x14ac:dyDescent="0.2">
      <c r="B455" s="256">
        <v>56309</v>
      </c>
      <c r="C455" s="254">
        <v>3.9999999999999994E-2</v>
      </c>
      <c r="D455" s="254">
        <f t="shared" si="14"/>
        <v>9.9000000000000005E-2</v>
      </c>
      <c r="E455" s="254">
        <f t="shared" si="15"/>
        <v>9.9000000000000005E-2</v>
      </c>
    </row>
    <row r="456" spans="2:5" x14ac:dyDescent="0.2">
      <c r="B456" s="256">
        <v>56340</v>
      </c>
      <c r="C456" s="254">
        <v>3.9999999999999994E-2</v>
      </c>
      <c r="D456" s="254">
        <f t="shared" si="14"/>
        <v>9.9000000000000005E-2</v>
      </c>
      <c r="E456" s="254">
        <f t="shared" si="15"/>
        <v>9.9000000000000005E-2</v>
      </c>
    </row>
    <row r="457" spans="2:5" x14ac:dyDescent="0.2">
      <c r="B457" s="256">
        <v>56370</v>
      </c>
      <c r="C457" s="254">
        <v>3.9999999999999994E-2</v>
      </c>
      <c r="D457" s="254">
        <f t="shared" si="14"/>
        <v>9.9000000000000005E-2</v>
      </c>
      <c r="E457" s="254">
        <f t="shared" si="15"/>
        <v>9.9000000000000005E-2</v>
      </c>
    </row>
    <row r="458" spans="2:5" x14ac:dyDescent="0.2">
      <c r="B458" s="256">
        <v>56401</v>
      </c>
      <c r="C458" s="254">
        <v>3.9999999999999994E-2</v>
      </c>
      <c r="D458" s="254">
        <f t="shared" ref="D458:D521" si="16">C458+5.9%</f>
        <v>9.9000000000000005E-2</v>
      </c>
      <c r="E458" s="254">
        <f t="shared" si="15"/>
        <v>9.9000000000000005E-2</v>
      </c>
    </row>
    <row r="459" spans="2:5" x14ac:dyDescent="0.2">
      <c r="B459" s="256">
        <v>56431</v>
      </c>
      <c r="C459" s="254">
        <v>3.9999999999999994E-2</v>
      </c>
      <c r="D459" s="254">
        <f t="shared" si="16"/>
        <v>9.9000000000000005E-2</v>
      </c>
      <c r="E459" s="254">
        <f t="shared" si="15"/>
        <v>9.9000000000000005E-2</v>
      </c>
    </row>
    <row r="460" spans="2:5" x14ac:dyDescent="0.2">
      <c r="B460" s="256">
        <v>56462</v>
      </c>
      <c r="C460" s="254">
        <v>3.9999999999999994E-2</v>
      </c>
      <c r="D460" s="254">
        <f t="shared" si="16"/>
        <v>9.9000000000000005E-2</v>
      </c>
      <c r="E460" s="254">
        <f t="shared" si="15"/>
        <v>9.9000000000000005E-2</v>
      </c>
    </row>
    <row r="461" spans="2:5" x14ac:dyDescent="0.2">
      <c r="B461" s="256">
        <v>56493</v>
      </c>
      <c r="C461" s="254">
        <v>3.9999999999999994E-2</v>
      </c>
      <c r="D461" s="254">
        <f t="shared" si="16"/>
        <v>9.9000000000000005E-2</v>
      </c>
      <c r="E461" s="254">
        <f t="shared" si="15"/>
        <v>9.9000000000000005E-2</v>
      </c>
    </row>
    <row r="462" spans="2:5" x14ac:dyDescent="0.2">
      <c r="B462" s="256">
        <v>56523</v>
      </c>
      <c r="C462" s="254">
        <v>3.9999999999999994E-2</v>
      </c>
      <c r="D462" s="254">
        <f t="shared" si="16"/>
        <v>9.9000000000000005E-2</v>
      </c>
      <c r="E462" s="254">
        <f t="shared" si="15"/>
        <v>9.9000000000000005E-2</v>
      </c>
    </row>
    <row r="463" spans="2:5" x14ac:dyDescent="0.2">
      <c r="B463" s="256">
        <v>56554</v>
      </c>
      <c r="C463" s="254">
        <v>3.9999999999999994E-2</v>
      </c>
      <c r="D463" s="254">
        <f t="shared" si="16"/>
        <v>9.9000000000000005E-2</v>
      </c>
      <c r="E463" s="254">
        <f t="shared" si="15"/>
        <v>9.9000000000000005E-2</v>
      </c>
    </row>
    <row r="464" spans="2:5" x14ac:dyDescent="0.2">
      <c r="B464" s="256">
        <v>56584</v>
      </c>
      <c r="C464" s="254">
        <v>3.9999999999999994E-2</v>
      </c>
      <c r="D464" s="254">
        <f t="shared" si="16"/>
        <v>9.9000000000000005E-2</v>
      </c>
      <c r="E464" s="254">
        <f t="shared" si="15"/>
        <v>9.9000000000000005E-2</v>
      </c>
    </row>
    <row r="465" spans="2:5" x14ac:dyDescent="0.2">
      <c r="B465" s="256">
        <v>56615</v>
      </c>
      <c r="C465" s="254">
        <v>3.9999999999999994E-2</v>
      </c>
      <c r="D465" s="254">
        <f t="shared" si="16"/>
        <v>9.9000000000000005E-2</v>
      </c>
      <c r="E465" s="254">
        <f t="shared" si="15"/>
        <v>9.9000000000000005E-2</v>
      </c>
    </row>
    <row r="466" spans="2:5" x14ac:dyDescent="0.2">
      <c r="B466" s="256">
        <v>56646</v>
      </c>
      <c r="C466" s="254">
        <v>3.9999999999999994E-2</v>
      </c>
      <c r="D466" s="254">
        <f t="shared" si="16"/>
        <v>9.9000000000000005E-2</v>
      </c>
      <c r="E466" s="254">
        <f t="shared" si="15"/>
        <v>9.9000000000000005E-2</v>
      </c>
    </row>
    <row r="467" spans="2:5" x14ac:dyDescent="0.2">
      <c r="B467" s="256">
        <v>56674</v>
      </c>
      <c r="C467" s="254">
        <v>3.9999999999999994E-2</v>
      </c>
      <c r="D467" s="254">
        <f t="shared" si="16"/>
        <v>9.9000000000000005E-2</v>
      </c>
      <c r="E467" s="254">
        <f t="shared" si="15"/>
        <v>9.9000000000000005E-2</v>
      </c>
    </row>
    <row r="468" spans="2:5" x14ac:dyDescent="0.2">
      <c r="B468" s="256">
        <v>56705</v>
      </c>
      <c r="C468" s="254">
        <v>3.9999999999999994E-2</v>
      </c>
      <c r="D468" s="254">
        <f t="shared" si="16"/>
        <v>9.9000000000000005E-2</v>
      </c>
      <c r="E468" s="254">
        <f t="shared" si="15"/>
        <v>9.9000000000000005E-2</v>
      </c>
    </row>
    <row r="469" spans="2:5" x14ac:dyDescent="0.2">
      <c r="B469" s="256">
        <v>56735</v>
      </c>
      <c r="C469" s="254">
        <v>3.9999999999999994E-2</v>
      </c>
      <c r="D469" s="254">
        <f t="shared" si="16"/>
        <v>9.9000000000000005E-2</v>
      </c>
      <c r="E469" s="254">
        <f t="shared" si="15"/>
        <v>9.9000000000000005E-2</v>
      </c>
    </row>
    <row r="470" spans="2:5" x14ac:dyDescent="0.2">
      <c r="B470" s="256">
        <v>56766</v>
      </c>
      <c r="C470" s="254">
        <v>3.9999999999999994E-2</v>
      </c>
      <c r="D470" s="254">
        <f t="shared" si="16"/>
        <v>9.9000000000000005E-2</v>
      </c>
      <c r="E470" s="254">
        <f t="shared" si="15"/>
        <v>9.9000000000000005E-2</v>
      </c>
    </row>
    <row r="471" spans="2:5" x14ac:dyDescent="0.2">
      <c r="B471" s="256">
        <v>56796</v>
      </c>
      <c r="C471" s="254">
        <v>3.9999999999999994E-2</v>
      </c>
      <c r="D471" s="254">
        <f t="shared" si="16"/>
        <v>9.9000000000000005E-2</v>
      </c>
      <c r="E471" s="254">
        <f t="shared" si="15"/>
        <v>9.9000000000000005E-2</v>
      </c>
    </row>
    <row r="472" spans="2:5" x14ac:dyDescent="0.2">
      <c r="B472" s="256">
        <v>56827</v>
      </c>
      <c r="C472" s="254">
        <v>3.9999999999999994E-2</v>
      </c>
      <c r="D472" s="254">
        <f t="shared" si="16"/>
        <v>9.9000000000000005E-2</v>
      </c>
      <c r="E472" s="254">
        <f t="shared" si="15"/>
        <v>9.9000000000000005E-2</v>
      </c>
    </row>
    <row r="473" spans="2:5" x14ac:dyDescent="0.2">
      <c r="B473" s="256">
        <v>56858</v>
      </c>
      <c r="C473" s="254">
        <v>3.9999999999999994E-2</v>
      </c>
      <c r="D473" s="254">
        <f t="shared" si="16"/>
        <v>9.9000000000000005E-2</v>
      </c>
      <c r="E473" s="254">
        <f t="shared" si="15"/>
        <v>9.9000000000000005E-2</v>
      </c>
    </row>
    <row r="474" spans="2:5" x14ac:dyDescent="0.2">
      <c r="B474" s="256">
        <v>56888</v>
      </c>
      <c r="C474" s="254">
        <v>3.9999999999999994E-2</v>
      </c>
      <c r="D474" s="254">
        <f t="shared" si="16"/>
        <v>9.9000000000000005E-2</v>
      </c>
      <c r="E474" s="254">
        <f t="shared" si="15"/>
        <v>9.9000000000000005E-2</v>
      </c>
    </row>
    <row r="475" spans="2:5" x14ac:dyDescent="0.2">
      <c r="B475" s="256">
        <v>56919</v>
      </c>
      <c r="C475" s="254">
        <v>3.9999999999999994E-2</v>
      </c>
      <c r="D475" s="254">
        <f t="shared" si="16"/>
        <v>9.9000000000000005E-2</v>
      </c>
      <c r="E475" s="254">
        <f t="shared" si="15"/>
        <v>9.9000000000000005E-2</v>
      </c>
    </row>
    <row r="476" spans="2:5" x14ac:dyDescent="0.2">
      <c r="B476" s="256">
        <v>56949</v>
      </c>
      <c r="C476" s="254">
        <v>3.9999999999999994E-2</v>
      </c>
      <c r="D476" s="254">
        <f t="shared" si="16"/>
        <v>9.9000000000000005E-2</v>
      </c>
      <c r="E476" s="254">
        <f t="shared" si="15"/>
        <v>9.9000000000000005E-2</v>
      </c>
    </row>
    <row r="477" spans="2:5" x14ac:dyDescent="0.2">
      <c r="B477" s="256">
        <v>56980</v>
      </c>
      <c r="C477" s="254">
        <v>3.9999999999999994E-2</v>
      </c>
      <c r="D477" s="254">
        <f t="shared" si="16"/>
        <v>9.9000000000000005E-2</v>
      </c>
      <c r="E477" s="254">
        <f t="shared" si="15"/>
        <v>9.9000000000000005E-2</v>
      </c>
    </row>
    <row r="478" spans="2:5" x14ac:dyDescent="0.2">
      <c r="B478" s="256">
        <v>57011</v>
      </c>
      <c r="C478" s="254">
        <v>3.9999999999999994E-2</v>
      </c>
      <c r="D478" s="254">
        <f t="shared" si="16"/>
        <v>9.9000000000000005E-2</v>
      </c>
      <c r="E478" s="254">
        <f t="shared" si="15"/>
        <v>9.9000000000000005E-2</v>
      </c>
    </row>
    <row r="479" spans="2:5" x14ac:dyDescent="0.2">
      <c r="B479" s="256">
        <v>57040</v>
      </c>
      <c r="C479" s="254">
        <v>3.9999999999999994E-2</v>
      </c>
      <c r="D479" s="254">
        <f t="shared" si="16"/>
        <v>9.9000000000000005E-2</v>
      </c>
      <c r="E479" s="254">
        <f t="shared" si="15"/>
        <v>9.9000000000000005E-2</v>
      </c>
    </row>
    <row r="480" spans="2:5" x14ac:dyDescent="0.2">
      <c r="B480" s="256">
        <v>57071</v>
      </c>
      <c r="C480" s="254">
        <v>3.9999999999999994E-2</v>
      </c>
      <c r="D480" s="254">
        <f t="shared" si="16"/>
        <v>9.9000000000000005E-2</v>
      </c>
      <c r="E480" s="254">
        <f t="shared" si="15"/>
        <v>9.9000000000000005E-2</v>
      </c>
    </row>
    <row r="481" spans="2:5" x14ac:dyDescent="0.2">
      <c r="B481" s="256">
        <v>57101</v>
      </c>
      <c r="C481" s="254">
        <v>3.9999999999999994E-2</v>
      </c>
      <c r="D481" s="254">
        <f t="shared" si="16"/>
        <v>9.9000000000000005E-2</v>
      </c>
      <c r="E481" s="254">
        <f t="shared" si="15"/>
        <v>9.9000000000000005E-2</v>
      </c>
    </row>
    <row r="482" spans="2:5" x14ac:dyDescent="0.2">
      <c r="B482" s="256">
        <v>57132</v>
      </c>
      <c r="C482" s="254">
        <v>3.9999999999999994E-2</v>
      </c>
      <c r="D482" s="254">
        <f t="shared" si="16"/>
        <v>9.9000000000000005E-2</v>
      </c>
      <c r="E482" s="254">
        <f t="shared" si="15"/>
        <v>9.9000000000000005E-2</v>
      </c>
    </row>
    <row r="483" spans="2:5" x14ac:dyDescent="0.2">
      <c r="B483" s="256">
        <v>57162</v>
      </c>
      <c r="C483" s="254">
        <v>3.9999999999999994E-2</v>
      </c>
      <c r="D483" s="254">
        <f t="shared" si="16"/>
        <v>9.9000000000000005E-2</v>
      </c>
      <c r="E483" s="254">
        <f t="shared" si="15"/>
        <v>9.9000000000000005E-2</v>
      </c>
    </row>
    <row r="484" spans="2:5" x14ac:dyDescent="0.2">
      <c r="B484" s="256">
        <v>57193</v>
      </c>
      <c r="C484" s="254">
        <v>3.9999999999999994E-2</v>
      </c>
      <c r="D484" s="254">
        <f t="shared" si="16"/>
        <v>9.9000000000000005E-2</v>
      </c>
      <c r="E484" s="254">
        <f t="shared" si="15"/>
        <v>9.9000000000000005E-2</v>
      </c>
    </row>
    <row r="485" spans="2:5" x14ac:dyDescent="0.2">
      <c r="B485" s="256">
        <v>57224</v>
      </c>
      <c r="C485" s="254">
        <v>3.9999999999999994E-2</v>
      </c>
      <c r="D485" s="254">
        <f t="shared" si="16"/>
        <v>9.9000000000000005E-2</v>
      </c>
      <c r="E485" s="254">
        <f t="shared" si="15"/>
        <v>9.9000000000000005E-2</v>
      </c>
    </row>
    <row r="486" spans="2:5" x14ac:dyDescent="0.2">
      <c r="B486" s="256">
        <v>57254</v>
      </c>
      <c r="C486" s="254">
        <v>3.9999999999999994E-2</v>
      </c>
      <c r="D486" s="254">
        <f t="shared" si="16"/>
        <v>9.9000000000000005E-2</v>
      </c>
      <c r="E486" s="254">
        <f t="shared" si="15"/>
        <v>9.9000000000000005E-2</v>
      </c>
    </row>
    <row r="487" spans="2:5" x14ac:dyDescent="0.2">
      <c r="B487" s="256">
        <v>57285</v>
      </c>
      <c r="C487" s="254">
        <v>3.9999999999999994E-2</v>
      </c>
      <c r="D487" s="254">
        <f t="shared" si="16"/>
        <v>9.9000000000000005E-2</v>
      </c>
      <c r="E487" s="254">
        <f t="shared" si="15"/>
        <v>9.9000000000000005E-2</v>
      </c>
    </row>
    <row r="488" spans="2:5" x14ac:dyDescent="0.2">
      <c r="B488" s="256">
        <v>57315</v>
      </c>
      <c r="C488" s="254">
        <v>3.9999999999999994E-2</v>
      </c>
      <c r="D488" s="254">
        <f t="shared" si="16"/>
        <v>9.9000000000000005E-2</v>
      </c>
      <c r="E488" s="254">
        <f t="shared" si="15"/>
        <v>9.9000000000000005E-2</v>
      </c>
    </row>
    <row r="489" spans="2:5" x14ac:dyDescent="0.2">
      <c r="B489" s="256">
        <v>57346</v>
      </c>
      <c r="C489" s="254">
        <v>3.9999999999999994E-2</v>
      </c>
      <c r="D489" s="254">
        <f t="shared" si="16"/>
        <v>9.9000000000000005E-2</v>
      </c>
      <c r="E489" s="254">
        <f t="shared" si="15"/>
        <v>9.9000000000000005E-2</v>
      </c>
    </row>
    <row r="490" spans="2:5" x14ac:dyDescent="0.2">
      <c r="B490" s="256">
        <v>57377</v>
      </c>
      <c r="C490" s="254">
        <v>3.9999999999999994E-2</v>
      </c>
      <c r="D490" s="254">
        <f t="shared" si="16"/>
        <v>9.9000000000000005E-2</v>
      </c>
      <c r="E490" s="254">
        <f t="shared" si="15"/>
        <v>9.9000000000000005E-2</v>
      </c>
    </row>
    <row r="491" spans="2:5" x14ac:dyDescent="0.2">
      <c r="B491" s="256">
        <v>57405</v>
      </c>
      <c r="C491" s="254">
        <v>3.9999999999999994E-2</v>
      </c>
      <c r="D491" s="254">
        <f t="shared" si="16"/>
        <v>9.9000000000000005E-2</v>
      </c>
      <c r="E491" s="254">
        <f t="shared" si="15"/>
        <v>9.9000000000000005E-2</v>
      </c>
    </row>
    <row r="492" spans="2:5" x14ac:dyDescent="0.2">
      <c r="B492" s="256">
        <v>57436</v>
      </c>
      <c r="C492" s="254">
        <v>3.9999999999999994E-2</v>
      </c>
      <c r="D492" s="254">
        <f t="shared" si="16"/>
        <v>9.9000000000000005E-2</v>
      </c>
      <c r="E492" s="254">
        <f t="shared" si="15"/>
        <v>9.9000000000000005E-2</v>
      </c>
    </row>
    <row r="493" spans="2:5" x14ac:dyDescent="0.2">
      <c r="B493" s="256">
        <v>57466</v>
      </c>
      <c r="C493" s="254">
        <v>3.9999999999999994E-2</v>
      </c>
      <c r="D493" s="254">
        <f t="shared" si="16"/>
        <v>9.9000000000000005E-2</v>
      </c>
      <c r="E493" s="254">
        <f t="shared" si="15"/>
        <v>9.9000000000000005E-2</v>
      </c>
    </row>
    <row r="494" spans="2:5" x14ac:dyDescent="0.2">
      <c r="B494" s="256">
        <v>57497</v>
      </c>
      <c r="C494" s="254">
        <v>3.9999999999999994E-2</v>
      </c>
      <c r="D494" s="254">
        <f t="shared" si="16"/>
        <v>9.9000000000000005E-2</v>
      </c>
      <c r="E494" s="254">
        <f t="shared" si="15"/>
        <v>9.9000000000000005E-2</v>
      </c>
    </row>
    <row r="495" spans="2:5" x14ac:dyDescent="0.2">
      <c r="B495" s="256">
        <v>57527</v>
      </c>
      <c r="C495" s="254">
        <v>3.9999999999999994E-2</v>
      </c>
      <c r="D495" s="254">
        <f t="shared" si="16"/>
        <v>9.9000000000000005E-2</v>
      </c>
      <c r="E495" s="254">
        <f t="shared" si="15"/>
        <v>9.9000000000000005E-2</v>
      </c>
    </row>
    <row r="496" spans="2:5" x14ac:dyDescent="0.2">
      <c r="B496" s="256">
        <v>57558</v>
      </c>
      <c r="C496" s="254">
        <v>3.9999999999999994E-2</v>
      </c>
      <c r="D496" s="254">
        <f t="shared" si="16"/>
        <v>9.9000000000000005E-2</v>
      </c>
      <c r="E496" s="254">
        <f t="shared" si="15"/>
        <v>9.9000000000000005E-2</v>
      </c>
    </row>
    <row r="497" spans="2:5" x14ac:dyDescent="0.2">
      <c r="B497" s="256">
        <v>57589</v>
      </c>
      <c r="C497" s="254">
        <v>3.9999999999999994E-2</v>
      </c>
      <c r="D497" s="254">
        <f t="shared" si="16"/>
        <v>9.9000000000000005E-2</v>
      </c>
      <c r="E497" s="254">
        <f t="shared" si="15"/>
        <v>9.9000000000000005E-2</v>
      </c>
    </row>
    <row r="498" spans="2:5" x14ac:dyDescent="0.2">
      <c r="B498" s="256">
        <v>57619</v>
      </c>
      <c r="C498" s="254">
        <v>3.9999999999999994E-2</v>
      </c>
      <c r="D498" s="254">
        <f t="shared" si="16"/>
        <v>9.9000000000000005E-2</v>
      </c>
      <c r="E498" s="254">
        <f t="shared" si="15"/>
        <v>9.9000000000000005E-2</v>
      </c>
    </row>
    <row r="499" spans="2:5" x14ac:dyDescent="0.2">
      <c r="B499" s="256">
        <v>57650</v>
      </c>
      <c r="C499" s="254">
        <v>3.9999999999999994E-2</v>
      </c>
      <c r="D499" s="254">
        <f t="shared" si="16"/>
        <v>9.9000000000000005E-2</v>
      </c>
      <c r="E499" s="254">
        <f t="shared" si="15"/>
        <v>9.9000000000000005E-2</v>
      </c>
    </row>
    <row r="500" spans="2:5" x14ac:dyDescent="0.2">
      <c r="B500" s="256">
        <v>57680</v>
      </c>
      <c r="C500" s="254">
        <v>3.9999999999999994E-2</v>
      </c>
      <c r="D500" s="254">
        <f t="shared" si="16"/>
        <v>9.9000000000000005E-2</v>
      </c>
      <c r="E500" s="254">
        <f t="shared" si="15"/>
        <v>9.9000000000000005E-2</v>
      </c>
    </row>
    <row r="501" spans="2:5" x14ac:dyDescent="0.2">
      <c r="B501" s="256">
        <v>57711</v>
      </c>
      <c r="C501" s="254">
        <v>3.9999999999999994E-2</v>
      </c>
      <c r="D501" s="254">
        <f t="shared" si="16"/>
        <v>9.9000000000000005E-2</v>
      </c>
      <c r="E501" s="254">
        <f t="shared" si="15"/>
        <v>9.9000000000000005E-2</v>
      </c>
    </row>
    <row r="502" spans="2:5" x14ac:dyDescent="0.2">
      <c r="B502" s="256">
        <v>57742</v>
      </c>
      <c r="C502" s="254">
        <v>3.9999999999999994E-2</v>
      </c>
      <c r="D502" s="254">
        <f t="shared" si="16"/>
        <v>9.9000000000000005E-2</v>
      </c>
      <c r="E502" s="254">
        <f t="shared" si="15"/>
        <v>9.9000000000000005E-2</v>
      </c>
    </row>
    <row r="503" spans="2:5" x14ac:dyDescent="0.2">
      <c r="B503" s="256">
        <v>57770</v>
      </c>
      <c r="C503" s="254">
        <v>3.9999999999999994E-2</v>
      </c>
      <c r="D503" s="254">
        <f t="shared" si="16"/>
        <v>9.9000000000000005E-2</v>
      </c>
      <c r="E503" s="254">
        <f t="shared" si="15"/>
        <v>9.9000000000000005E-2</v>
      </c>
    </row>
    <row r="504" spans="2:5" x14ac:dyDescent="0.2">
      <c r="B504" s="256">
        <v>57801</v>
      </c>
      <c r="C504" s="254">
        <v>3.9999999999999994E-2</v>
      </c>
      <c r="D504" s="254">
        <f t="shared" si="16"/>
        <v>9.9000000000000005E-2</v>
      </c>
      <c r="E504" s="254">
        <f t="shared" si="15"/>
        <v>9.9000000000000005E-2</v>
      </c>
    </row>
    <row r="505" spans="2:5" x14ac:dyDescent="0.2">
      <c r="B505" s="256">
        <v>57831</v>
      </c>
      <c r="C505" s="254">
        <v>3.9999999999999994E-2</v>
      </c>
      <c r="D505" s="254">
        <f t="shared" si="16"/>
        <v>9.9000000000000005E-2</v>
      </c>
      <c r="E505" s="254">
        <f t="shared" si="15"/>
        <v>9.9000000000000005E-2</v>
      </c>
    </row>
    <row r="506" spans="2:5" x14ac:dyDescent="0.2">
      <c r="B506" s="256">
        <v>57862</v>
      </c>
      <c r="C506" s="254">
        <v>3.9999999999999994E-2</v>
      </c>
      <c r="D506" s="254">
        <f t="shared" si="16"/>
        <v>9.9000000000000005E-2</v>
      </c>
      <c r="E506" s="254">
        <f t="shared" si="15"/>
        <v>9.9000000000000005E-2</v>
      </c>
    </row>
    <row r="507" spans="2:5" x14ac:dyDescent="0.2">
      <c r="B507" s="256">
        <v>57892</v>
      </c>
      <c r="C507" s="254">
        <v>3.9999999999999994E-2</v>
      </c>
      <c r="D507" s="254">
        <f t="shared" si="16"/>
        <v>9.9000000000000005E-2</v>
      </c>
      <c r="E507" s="254">
        <f t="shared" si="15"/>
        <v>9.9000000000000005E-2</v>
      </c>
    </row>
    <row r="508" spans="2:5" x14ac:dyDescent="0.2">
      <c r="B508" s="256">
        <v>57923</v>
      </c>
      <c r="C508" s="254">
        <v>3.9999999999999994E-2</v>
      </c>
      <c r="D508" s="254">
        <f t="shared" si="16"/>
        <v>9.9000000000000005E-2</v>
      </c>
      <c r="E508" s="254">
        <f t="shared" si="15"/>
        <v>9.9000000000000005E-2</v>
      </c>
    </row>
    <row r="509" spans="2:5" x14ac:dyDescent="0.2">
      <c r="B509" s="256">
        <v>57954</v>
      </c>
      <c r="C509" s="254">
        <v>3.9999999999999994E-2</v>
      </c>
      <c r="D509" s="254">
        <f t="shared" si="16"/>
        <v>9.9000000000000005E-2</v>
      </c>
      <c r="E509" s="254">
        <f t="shared" si="15"/>
        <v>9.9000000000000005E-2</v>
      </c>
    </row>
    <row r="510" spans="2:5" x14ac:dyDescent="0.2">
      <c r="B510" s="256">
        <v>57984</v>
      </c>
      <c r="C510" s="254">
        <v>3.9999999999999994E-2</v>
      </c>
      <c r="D510" s="254">
        <f t="shared" si="16"/>
        <v>9.9000000000000005E-2</v>
      </c>
      <c r="E510" s="254">
        <f t="shared" si="15"/>
        <v>9.9000000000000005E-2</v>
      </c>
    </row>
    <row r="511" spans="2:5" x14ac:dyDescent="0.2">
      <c r="B511" s="256">
        <v>58015</v>
      </c>
      <c r="C511" s="254">
        <v>3.9999999999999994E-2</v>
      </c>
      <c r="D511" s="254">
        <f t="shared" si="16"/>
        <v>9.9000000000000005E-2</v>
      </c>
      <c r="E511" s="254">
        <f t="shared" si="15"/>
        <v>9.9000000000000005E-2</v>
      </c>
    </row>
    <row r="512" spans="2:5" x14ac:dyDescent="0.2">
      <c r="B512" s="256">
        <v>58045</v>
      </c>
      <c r="C512" s="254">
        <v>3.9999999999999994E-2</v>
      </c>
      <c r="D512" s="254">
        <f t="shared" si="16"/>
        <v>9.9000000000000005E-2</v>
      </c>
      <c r="E512" s="254">
        <f t="shared" si="15"/>
        <v>9.9000000000000005E-2</v>
      </c>
    </row>
    <row r="513" spans="2:5" x14ac:dyDescent="0.2">
      <c r="B513" s="256">
        <v>58076</v>
      </c>
      <c r="C513" s="254">
        <v>3.9999999999999994E-2</v>
      </c>
      <c r="D513" s="254">
        <f t="shared" si="16"/>
        <v>9.9000000000000005E-2</v>
      </c>
      <c r="E513" s="254">
        <f t="shared" si="15"/>
        <v>9.9000000000000005E-2</v>
      </c>
    </row>
    <row r="514" spans="2:5" x14ac:dyDescent="0.2">
      <c r="B514" s="256">
        <v>58107</v>
      </c>
      <c r="C514" s="254">
        <v>3.9999999999999994E-2</v>
      </c>
      <c r="D514" s="254">
        <f t="shared" si="16"/>
        <v>9.9000000000000005E-2</v>
      </c>
      <c r="E514" s="254">
        <f t="shared" si="15"/>
        <v>9.9000000000000005E-2</v>
      </c>
    </row>
    <row r="515" spans="2:5" x14ac:dyDescent="0.2">
      <c r="B515" s="256">
        <v>58135</v>
      </c>
      <c r="C515" s="254">
        <v>3.9999999999999994E-2</v>
      </c>
      <c r="D515" s="254">
        <f t="shared" si="16"/>
        <v>9.9000000000000005E-2</v>
      </c>
      <c r="E515" s="254">
        <f t="shared" si="15"/>
        <v>9.9000000000000005E-2</v>
      </c>
    </row>
    <row r="516" spans="2:5" x14ac:dyDescent="0.2">
      <c r="B516" s="256">
        <v>58166</v>
      </c>
      <c r="C516" s="254">
        <v>3.9999999999999994E-2</v>
      </c>
      <c r="D516" s="254">
        <f t="shared" si="16"/>
        <v>9.9000000000000005E-2</v>
      </c>
      <c r="E516" s="254">
        <f t="shared" si="15"/>
        <v>9.9000000000000005E-2</v>
      </c>
    </row>
    <row r="517" spans="2:5" x14ac:dyDescent="0.2">
      <c r="B517" s="256">
        <v>58196</v>
      </c>
      <c r="C517" s="254">
        <v>3.9999999999999994E-2</v>
      </c>
      <c r="D517" s="254">
        <f t="shared" si="16"/>
        <v>9.9000000000000005E-2</v>
      </c>
      <c r="E517" s="254">
        <f t="shared" si="15"/>
        <v>9.9000000000000005E-2</v>
      </c>
    </row>
    <row r="518" spans="2:5" x14ac:dyDescent="0.2">
      <c r="B518" s="256">
        <v>58227</v>
      </c>
      <c r="C518" s="254">
        <v>3.9999999999999994E-2</v>
      </c>
      <c r="D518" s="254">
        <f t="shared" si="16"/>
        <v>9.9000000000000005E-2</v>
      </c>
      <c r="E518" s="254">
        <f t="shared" ref="E518:E581" si="17">D518+$C$1+$C$2+$E$2</f>
        <v>9.9000000000000005E-2</v>
      </c>
    </row>
    <row r="519" spans="2:5" x14ac:dyDescent="0.2">
      <c r="B519" s="256">
        <v>58257</v>
      </c>
      <c r="C519" s="254">
        <v>3.9999999999999994E-2</v>
      </c>
      <c r="D519" s="254">
        <f t="shared" si="16"/>
        <v>9.9000000000000005E-2</v>
      </c>
      <c r="E519" s="254">
        <f t="shared" si="17"/>
        <v>9.9000000000000005E-2</v>
      </c>
    </row>
    <row r="520" spans="2:5" x14ac:dyDescent="0.2">
      <c r="B520" s="256">
        <v>58288</v>
      </c>
      <c r="C520" s="254">
        <v>3.9999999999999994E-2</v>
      </c>
      <c r="D520" s="254">
        <f t="shared" si="16"/>
        <v>9.9000000000000005E-2</v>
      </c>
      <c r="E520" s="254">
        <f t="shared" si="17"/>
        <v>9.9000000000000005E-2</v>
      </c>
    </row>
    <row r="521" spans="2:5" x14ac:dyDescent="0.2">
      <c r="B521" s="256">
        <v>58319</v>
      </c>
      <c r="C521" s="254">
        <v>3.9999999999999994E-2</v>
      </c>
      <c r="D521" s="254">
        <f t="shared" si="16"/>
        <v>9.9000000000000005E-2</v>
      </c>
      <c r="E521" s="254">
        <f t="shared" si="17"/>
        <v>9.9000000000000005E-2</v>
      </c>
    </row>
    <row r="522" spans="2:5" x14ac:dyDescent="0.2">
      <c r="B522" s="256">
        <v>58349</v>
      </c>
      <c r="C522" s="254">
        <v>3.9999999999999994E-2</v>
      </c>
      <c r="D522" s="254">
        <f t="shared" ref="D522:D585" si="18">C522+5.9%</f>
        <v>9.9000000000000005E-2</v>
      </c>
      <c r="E522" s="254">
        <f t="shared" si="17"/>
        <v>9.9000000000000005E-2</v>
      </c>
    </row>
    <row r="523" spans="2:5" x14ac:dyDescent="0.2">
      <c r="B523" s="256">
        <v>58380</v>
      </c>
      <c r="C523" s="254">
        <v>3.9999999999999994E-2</v>
      </c>
      <c r="D523" s="254">
        <f t="shared" si="18"/>
        <v>9.9000000000000005E-2</v>
      </c>
      <c r="E523" s="254">
        <f t="shared" si="17"/>
        <v>9.9000000000000005E-2</v>
      </c>
    </row>
    <row r="524" spans="2:5" x14ac:dyDescent="0.2">
      <c r="B524" s="256">
        <v>58410</v>
      </c>
      <c r="C524" s="254">
        <v>3.9999999999999994E-2</v>
      </c>
      <c r="D524" s="254">
        <f t="shared" si="18"/>
        <v>9.9000000000000005E-2</v>
      </c>
      <c r="E524" s="254">
        <f t="shared" si="17"/>
        <v>9.9000000000000005E-2</v>
      </c>
    </row>
    <row r="525" spans="2:5" x14ac:dyDescent="0.2">
      <c r="B525" s="256">
        <v>58441</v>
      </c>
      <c r="C525" s="254">
        <v>3.9999999999999994E-2</v>
      </c>
      <c r="D525" s="254">
        <f t="shared" si="18"/>
        <v>9.9000000000000005E-2</v>
      </c>
      <c r="E525" s="254">
        <f t="shared" si="17"/>
        <v>9.9000000000000005E-2</v>
      </c>
    </row>
    <row r="526" spans="2:5" x14ac:dyDescent="0.2">
      <c r="B526" s="256">
        <v>58472</v>
      </c>
      <c r="C526" s="254">
        <v>3.9999999999999994E-2</v>
      </c>
      <c r="D526" s="254">
        <f t="shared" si="18"/>
        <v>9.9000000000000005E-2</v>
      </c>
      <c r="E526" s="254">
        <f t="shared" si="17"/>
        <v>9.9000000000000005E-2</v>
      </c>
    </row>
    <row r="527" spans="2:5" x14ac:dyDescent="0.2">
      <c r="B527" s="256">
        <v>58501</v>
      </c>
      <c r="C527" s="254">
        <v>3.9999999999999994E-2</v>
      </c>
      <c r="D527" s="254">
        <f t="shared" si="18"/>
        <v>9.9000000000000005E-2</v>
      </c>
      <c r="E527" s="254">
        <f t="shared" si="17"/>
        <v>9.9000000000000005E-2</v>
      </c>
    </row>
    <row r="528" spans="2:5" x14ac:dyDescent="0.2">
      <c r="B528" s="256">
        <v>58532</v>
      </c>
      <c r="C528" s="254">
        <v>3.9999999999999994E-2</v>
      </c>
      <c r="D528" s="254">
        <f t="shared" si="18"/>
        <v>9.9000000000000005E-2</v>
      </c>
      <c r="E528" s="254">
        <f t="shared" si="17"/>
        <v>9.9000000000000005E-2</v>
      </c>
    </row>
    <row r="529" spans="2:5" x14ac:dyDescent="0.2">
      <c r="B529" s="256">
        <v>58562</v>
      </c>
      <c r="C529" s="254">
        <v>3.9999999999999994E-2</v>
      </c>
      <c r="D529" s="254">
        <f t="shared" si="18"/>
        <v>9.9000000000000005E-2</v>
      </c>
      <c r="E529" s="254">
        <f t="shared" si="17"/>
        <v>9.9000000000000005E-2</v>
      </c>
    </row>
    <row r="530" spans="2:5" x14ac:dyDescent="0.2">
      <c r="B530" s="256">
        <v>58593</v>
      </c>
      <c r="C530" s="254">
        <v>3.9999999999999994E-2</v>
      </c>
      <c r="D530" s="254">
        <f t="shared" si="18"/>
        <v>9.9000000000000005E-2</v>
      </c>
      <c r="E530" s="254">
        <f t="shared" si="17"/>
        <v>9.9000000000000005E-2</v>
      </c>
    </row>
    <row r="531" spans="2:5" x14ac:dyDescent="0.2">
      <c r="B531" s="256">
        <v>58623</v>
      </c>
      <c r="C531" s="254">
        <v>3.9999999999999994E-2</v>
      </c>
      <c r="D531" s="254">
        <f t="shared" si="18"/>
        <v>9.9000000000000005E-2</v>
      </c>
      <c r="E531" s="254">
        <f t="shared" si="17"/>
        <v>9.9000000000000005E-2</v>
      </c>
    </row>
    <row r="532" spans="2:5" x14ac:dyDescent="0.2">
      <c r="B532" s="256">
        <v>58654</v>
      </c>
      <c r="C532" s="254">
        <v>3.9999999999999994E-2</v>
      </c>
      <c r="D532" s="254">
        <f t="shared" si="18"/>
        <v>9.9000000000000005E-2</v>
      </c>
      <c r="E532" s="254">
        <f t="shared" si="17"/>
        <v>9.9000000000000005E-2</v>
      </c>
    </row>
    <row r="533" spans="2:5" x14ac:dyDescent="0.2">
      <c r="B533" s="256">
        <v>58685</v>
      </c>
      <c r="C533" s="254">
        <v>3.9999999999999994E-2</v>
      </c>
      <c r="D533" s="254">
        <f t="shared" si="18"/>
        <v>9.9000000000000005E-2</v>
      </c>
      <c r="E533" s="254">
        <f t="shared" si="17"/>
        <v>9.9000000000000005E-2</v>
      </c>
    </row>
    <row r="534" spans="2:5" x14ac:dyDescent="0.2">
      <c r="B534" s="256">
        <v>58715</v>
      </c>
      <c r="C534" s="254">
        <v>3.9999999999999994E-2</v>
      </c>
      <c r="D534" s="254">
        <f t="shared" si="18"/>
        <v>9.9000000000000005E-2</v>
      </c>
      <c r="E534" s="254">
        <f t="shared" si="17"/>
        <v>9.9000000000000005E-2</v>
      </c>
    </row>
    <row r="535" spans="2:5" x14ac:dyDescent="0.2">
      <c r="B535" s="256">
        <v>58746</v>
      </c>
      <c r="C535" s="254">
        <v>3.9999999999999994E-2</v>
      </c>
      <c r="D535" s="254">
        <f t="shared" si="18"/>
        <v>9.9000000000000005E-2</v>
      </c>
      <c r="E535" s="254">
        <f t="shared" si="17"/>
        <v>9.9000000000000005E-2</v>
      </c>
    </row>
    <row r="536" spans="2:5" x14ac:dyDescent="0.2">
      <c r="B536" s="256">
        <v>58776</v>
      </c>
      <c r="C536" s="254">
        <v>3.9999999999999994E-2</v>
      </c>
      <c r="D536" s="254">
        <f t="shared" si="18"/>
        <v>9.9000000000000005E-2</v>
      </c>
      <c r="E536" s="254">
        <f t="shared" si="17"/>
        <v>9.9000000000000005E-2</v>
      </c>
    </row>
    <row r="537" spans="2:5" x14ac:dyDescent="0.2">
      <c r="B537" s="256">
        <v>58807</v>
      </c>
      <c r="C537" s="254">
        <v>3.9999999999999994E-2</v>
      </c>
      <c r="D537" s="254">
        <f t="shared" si="18"/>
        <v>9.9000000000000005E-2</v>
      </c>
      <c r="E537" s="254">
        <f t="shared" si="17"/>
        <v>9.9000000000000005E-2</v>
      </c>
    </row>
    <row r="538" spans="2:5" x14ac:dyDescent="0.2">
      <c r="B538" s="256">
        <v>58838</v>
      </c>
      <c r="C538" s="254">
        <v>3.9999999999999994E-2</v>
      </c>
      <c r="D538" s="254">
        <f t="shared" si="18"/>
        <v>9.9000000000000005E-2</v>
      </c>
      <c r="E538" s="254">
        <f t="shared" si="17"/>
        <v>9.9000000000000005E-2</v>
      </c>
    </row>
    <row r="539" spans="2:5" x14ac:dyDescent="0.2">
      <c r="B539" s="256">
        <v>58866</v>
      </c>
      <c r="C539" s="254">
        <v>3.9999999999999994E-2</v>
      </c>
      <c r="D539" s="254">
        <f t="shared" si="18"/>
        <v>9.9000000000000005E-2</v>
      </c>
      <c r="E539" s="254">
        <f t="shared" si="17"/>
        <v>9.9000000000000005E-2</v>
      </c>
    </row>
    <row r="540" spans="2:5" x14ac:dyDescent="0.2">
      <c r="B540" s="256">
        <v>58897</v>
      </c>
      <c r="C540" s="254">
        <v>3.9999999999999994E-2</v>
      </c>
      <c r="D540" s="254">
        <f t="shared" si="18"/>
        <v>9.9000000000000005E-2</v>
      </c>
      <c r="E540" s="254">
        <f t="shared" si="17"/>
        <v>9.9000000000000005E-2</v>
      </c>
    </row>
    <row r="541" spans="2:5" x14ac:dyDescent="0.2">
      <c r="B541" s="256">
        <v>58927</v>
      </c>
      <c r="C541" s="254">
        <v>3.9999999999999994E-2</v>
      </c>
      <c r="D541" s="254">
        <f t="shared" si="18"/>
        <v>9.9000000000000005E-2</v>
      </c>
      <c r="E541" s="254">
        <f t="shared" si="17"/>
        <v>9.9000000000000005E-2</v>
      </c>
    </row>
    <row r="542" spans="2:5" x14ac:dyDescent="0.2">
      <c r="B542" s="256">
        <v>58958</v>
      </c>
      <c r="C542" s="254">
        <v>3.9999999999999994E-2</v>
      </c>
      <c r="D542" s="254">
        <f t="shared" si="18"/>
        <v>9.9000000000000005E-2</v>
      </c>
      <c r="E542" s="254">
        <f t="shared" si="17"/>
        <v>9.9000000000000005E-2</v>
      </c>
    </row>
    <row r="543" spans="2:5" x14ac:dyDescent="0.2">
      <c r="B543" s="256">
        <v>58988</v>
      </c>
      <c r="C543" s="254">
        <v>3.9999999999999994E-2</v>
      </c>
      <c r="D543" s="254">
        <f t="shared" si="18"/>
        <v>9.9000000000000005E-2</v>
      </c>
      <c r="E543" s="254">
        <f t="shared" si="17"/>
        <v>9.9000000000000005E-2</v>
      </c>
    </row>
    <row r="544" spans="2:5" x14ac:dyDescent="0.2">
      <c r="B544" s="256">
        <v>59019</v>
      </c>
      <c r="C544" s="254">
        <v>3.9999999999999994E-2</v>
      </c>
      <c r="D544" s="254">
        <f t="shared" si="18"/>
        <v>9.9000000000000005E-2</v>
      </c>
      <c r="E544" s="254">
        <f t="shared" si="17"/>
        <v>9.9000000000000005E-2</v>
      </c>
    </row>
    <row r="545" spans="2:5" x14ac:dyDescent="0.2">
      <c r="B545" s="256">
        <v>59050</v>
      </c>
      <c r="C545" s="254">
        <v>3.9999999999999994E-2</v>
      </c>
      <c r="D545" s="254">
        <f t="shared" si="18"/>
        <v>9.9000000000000005E-2</v>
      </c>
      <c r="E545" s="254">
        <f t="shared" si="17"/>
        <v>9.9000000000000005E-2</v>
      </c>
    </row>
    <row r="546" spans="2:5" x14ac:dyDescent="0.2">
      <c r="B546" s="256">
        <v>59080</v>
      </c>
      <c r="C546" s="254">
        <v>3.9999999999999994E-2</v>
      </c>
      <c r="D546" s="254">
        <f t="shared" si="18"/>
        <v>9.9000000000000005E-2</v>
      </c>
      <c r="E546" s="254">
        <f t="shared" si="17"/>
        <v>9.9000000000000005E-2</v>
      </c>
    </row>
    <row r="547" spans="2:5" x14ac:dyDescent="0.2">
      <c r="B547" s="256">
        <v>59111</v>
      </c>
      <c r="C547" s="254">
        <v>3.9999999999999994E-2</v>
      </c>
      <c r="D547" s="254">
        <f t="shared" si="18"/>
        <v>9.9000000000000005E-2</v>
      </c>
      <c r="E547" s="254">
        <f t="shared" si="17"/>
        <v>9.9000000000000005E-2</v>
      </c>
    </row>
    <row r="548" spans="2:5" x14ac:dyDescent="0.2">
      <c r="B548" s="256">
        <v>59141</v>
      </c>
      <c r="C548" s="254">
        <v>3.9999999999999994E-2</v>
      </c>
      <c r="D548" s="254">
        <f t="shared" si="18"/>
        <v>9.9000000000000005E-2</v>
      </c>
      <c r="E548" s="254">
        <f t="shared" si="17"/>
        <v>9.9000000000000005E-2</v>
      </c>
    </row>
    <row r="549" spans="2:5" x14ac:dyDescent="0.2">
      <c r="B549" s="256">
        <v>59172</v>
      </c>
      <c r="C549" s="254">
        <v>3.9999999999999994E-2</v>
      </c>
      <c r="D549" s="254">
        <f t="shared" si="18"/>
        <v>9.9000000000000005E-2</v>
      </c>
      <c r="E549" s="254">
        <f t="shared" si="17"/>
        <v>9.9000000000000005E-2</v>
      </c>
    </row>
    <row r="550" spans="2:5" x14ac:dyDescent="0.2">
      <c r="B550" s="256">
        <v>59203</v>
      </c>
      <c r="C550" s="254">
        <v>3.9999999999999994E-2</v>
      </c>
      <c r="D550" s="254">
        <f t="shared" si="18"/>
        <v>9.9000000000000005E-2</v>
      </c>
      <c r="E550" s="254">
        <f t="shared" si="17"/>
        <v>9.9000000000000005E-2</v>
      </c>
    </row>
    <row r="551" spans="2:5" x14ac:dyDescent="0.2">
      <c r="B551" s="256">
        <v>59231</v>
      </c>
      <c r="C551" s="254">
        <v>3.9999999999999994E-2</v>
      </c>
      <c r="D551" s="254">
        <f t="shared" si="18"/>
        <v>9.9000000000000005E-2</v>
      </c>
      <c r="E551" s="254">
        <f t="shared" si="17"/>
        <v>9.9000000000000005E-2</v>
      </c>
    </row>
    <row r="552" spans="2:5" x14ac:dyDescent="0.2">
      <c r="B552" s="256">
        <v>59262</v>
      </c>
      <c r="C552" s="254">
        <v>3.9999999999999994E-2</v>
      </c>
      <c r="D552" s="254">
        <f t="shared" si="18"/>
        <v>9.9000000000000005E-2</v>
      </c>
      <c r="E552" s="254">
        <f t="shared" si="17"/>
        <v>9.9000000000000005E-2</v>
      </c>
    </row>
    <row r="553" spans="2:5" x14ac:dyDescent="0.2">
      <c r="B553" s="256">
        <v>59292</v>
      </c>
      <c r="C553" s="254">
        <v>3.9999999999999994E-2</v>
      </c>
      <c r="D553" s="254">
        <f t="shared" si="18"/>
        <v>9.9000000000000005E-2</v>
      </c>
      <c r="E553" s="254">
        <f t="shared" si="17"/>
        <v>9.9000000000000005E-2</v>
      </c>
    </row>
    <row r="554" spans="2:5" x14ac:dyDescent="0.2">
      <c r="B554" s="256">
        <v>59323</v>
      </c>
      <c r="C554" s="254">
        <v>3.9999999999999994E-2</v>
      </c>
      <c r="D554" s="254">
        <f t="shared" si="18"/>
        <v>9.9000000000000005E-2</v>
      </c>
      <c r="E554" s="254">
        <f t="shared" si="17"/>
        <v>9.9000000000000005E-2</v>
      </c>
    </row>
    <row r="555" spans="2:5" x14ac:dyDescent="0.2">
      <c r="B555" s="256">
        <v>59353</v>
      </c>
      <c r="C555" s="254">
        <v>3.9999999999999994E-2</v>
      </c>
      <c r="D555" s="254">
        <f t="shared" si="18"/>
        <v>9.9000000000000005E-2</v>
      </c>
      <c r="E555" s="254">
        <f t="shared" si="17"/>
        <v>9.9000000000000005E-2</v>
      </c>
    </row>
    <row r="556" spans="2:5" x14ac:dyDescent="0.2">
      <c r="B556" s="256">
        <v>59384</v>
      </c>
      <c r="C556" s="254">
        <v>3.9999999999999994E-2</v>
      </c>
      <c r="D556" s="254">
        <f t="shared" si="18"/>
        <v>9.9000000000000005E-2</v>
      </c>
      <c r="E556" s="254">
        <f t="shared" si="17"/>
        <v>9.9000000000000005E-2</v>
      </c>
    </row>
    <row r="557" spans="2:5" x14ac:dyDescent="0.2">
      <c r="B557" s="256">
        <v>59415</v>
      </c>
      <c r="C557" s="254">
        <v>3.9999999999999994E-2</v>
      </c>
      <c r="D557" s="254">
        <f t="shared" si="18"/>
        <v>9.9000000000000005E-2</v>
      </c>
      <c r="E557" s="254">
        <f t="shared" si="17"/>
        <v>9.9000000000000005E-2</v>
      </c>
    </row>
    <row r="558" spans="2:5" x14ac:dyDescent="0.2">
      <c r="B558" s="256">
        <v>59445</v>
      </c>
      <c r="C558" s="254">
        <v>3.9999999999999994E-2</v>
      </c>
      <c r="D558" s="254">
        <f t="shared" si="18"/>
        <v>9.9000000000000005E-2</v>
      </c>
      <c r="E558" s="254">
        <f t="shared" si="17"/>
        <v>9.9000000000000005E-2</v>
      </c>
    </row>
    <row r="559" spans="2:5" x14ac:dyDescent="0.2">
      <c r="B559" s="256">
        <v>59476</v>
      </c>
      <c r="C559" s="254">
        <v>3.9999999999999994E-2</v>
      </c>
      <c r="D559" s="254">
        <f t="shared" si="18"/>
        <v>9.9000000000000005E-2</v>
      </c>
      <c r="E559" s="254">
        <f t="shared" si="17"/>
        <v>9.9000000000000005E-2</v>
      </c>
    </row>
    <row r="560" spans="2:5" x14ac:dyDescent="0.2">
      <c r="B560" s="256">
        <v>59506</v>
      </c>
      <c r="C560" s="254">
        <v>3.9999999999999994E-2</v>
      </c>
      <c r="D560" s="254">
        <f t="shared" si="18"/>
        <v>9.9000000000000005E-2</v>
      </c>
      <c r="E560" s="254">
        <f t="shared" si="17"/>
        <v>9.9000000000000005E-2</v>
      </c>
    </row>
    <row r="561" spans="2:5" x14ac:dyDescent="0.2">
      <c r="B561" s="256">
        <v>59537</v>
      </c>
      <c r="C561" s="254">
        <v>3.9999999999999994E-2</v>
      </c>
      <c r="D561" s="254">
        <f t="shared" si="18"/>
        <v>9.9000000000000005E-2</v>
      </c>
      <c r="E561" s="254">
        <f t="shared" si="17"/>
        <v>9.9000000000000005E-2</v>
      </c>
    </row>
    <row r="562" spans="2:5" x14ac:dyDescent="0.2">
      <c r="B562" s="256">
        <v>59568</v>
      </c>
      <c r="C562" s="254">
        <v>3.9999999999999994E-2</v>
      </c>
      <c r="D562" s="254">
        <f t="shared" si="18"/>
        <v>9.9000000000000005E-2</v>
      </c>
      <c r="E562" s="254">
        <f t="shared" si="17"/>
        <v>9.9000000000000005E-2</v>
      </c>
    </row>
    <row r="563" spans="2:5" x14ac:dyDescent="0.2">
      <c r="B563" s="256">
        <v>59596</v>
      </c>
      <c r="C563" s="254">
        <v>3.9999999999999994E-2</v>
      </c>
      <c r="D563" s="254">
        <f t="shared" si="18"/>
        <v>9.9000000000000005E-2</v>
      </c>
      <c r="E563" s="254">
        <f t="shared" si="17"/>
        <v>9.9000000000000005E-2</v>
      </c>
    </row>
    <row r="564" spans="2:5" x14ac:dyDescent="0.2">
      <c r="B564" s="256">
        <v>59627</v>
      </c>
      <c r="C564" s="254">
        <v>3.9999999999999994E-2</v>
      </c>
      <c r="D564" s="254">
        <f t="shared" si="18"/>
        <v>9.9000000000000005E-2</v>
      </c>
      <c r="E564" s="254">
        <f t="shared" si="17"/>
        <v>9.9000000000000005E-2</v>
      </c>
    </row>
    <row r="565" spans="2:5" x14ac:dyDescent="0.2">
      <c r="B565" s="256">
        <v>59657</v>
      </c>
      <c r="C565" s="254">
        <v>3.9999999999999994E-2</v>
      </c>
      <c r="D565" s="254">
        <f t="shared" si="18"/>
        <v>9.9000000000000005E-2</v>
      </c>
      <c r="E565" s="254">
        <f t="shared" si="17"/>
        <v>9.9000000000000005E-2</v>
      </c>
    </row>
    <row r="566" spans="2:5" x14ac:dyDescent="0.2">
      <c r="B566" s="256">
        <v>59688</v>
      </c>
      <c r="C566" s="254">
        <v>3.9999999999999994E-2</v>
      </c>
      <c r="D566" s="254">
        <f t="shared" si="18"/>
        <v>9.9000000000000005E-2</v>
      </c>
      <c r="E566" s="254">
        <f t="shared" si="17"/>
        <v>9.9000000000000005E-2</v>
      </c>
    </row>
    <row r="567" spans="2:5" x14ac:dyDescent="0.2">
      <c r="B567" s="256">
        <v>59718</v>
      </c>
      <c r="C567" s="254">
        <v>3.9999999999999994E-2</v>
      </c>
      <c r="D567" s="254">
        <f t="shared" si="18"/>
        <v>9.9000000000000005E-2</v>
      </c>
      <c r="E567" s="254">
        <f t="shared" si="17"/>
        <v>9.9000000000000005E-2</v>
      </c>
    </row>
    <row r="568" spans="2:5" x14ac:dyDescent="0.2">
      <c r="B568" s="256">
        <v>59749</v>
      </c>
      <c r="C568" s="254">
        <v>3.9999999999999994E-2</v>
      </c>
      <c r="D568" s="254">
        <f t="shared" si="18"/>
        <v>9.9000000000000005E-2</v>
      </c>
      <c r="E568" s="254">
        <f t="shared" si="17"/>
        <v>9.9000000000000005E-2</v>
      </c>
    </row>
    <row r="569" spans="2:5" x14ac:dyDescent="0.2">
      <c r="B569" s="256">
        <v>59780</v>
      </c>
      <c r="C569" s="254">
        <v>3.9999999999999994E-2</v>
      </c>
      <c r="D569" s="254">
        <f t="shared" si="18"/>
        <v>9.9000000000000005E-2</v>
      </c>
      <c r="E569" s="254">
        <f t="shared" si="17"/>
        <v>9.9000000000000005E-2</v>
      </c>
    </row>
    <row r="570" spans="2:5" x14ac:dyDescent="0.2">
      <c r="B570" s="256">
        <v>59810</v>
      </c>
      <c r="C570" s="254">
        <v>3.9999999999999994E-2</v>
      </c>
      <c r="D570" s="254">
        <f t="shared" si="18"/>
        <v>9.9000000000000005E-2</v>
      </c>
      <c r="E570" s="254">
        <f t="shared" si="17"/>
        <v>9.9000000000000005E-2</v>
      </c>
    </row>
    <row r="571" spans="2:5" x14ac:dyDescent="0.2">
      <c r="B571" s="256">
        <v>59841</v>
      </c>
      <c r="C571" s="254">
        <v>3.9999999999999994E-2</v>
      </c>
      <c r="D571" s="254">
        <f t="shared" si="18"/>
        <v>9.9000000000000005E-2</v>
      </c>
      <c r="E571" s="254">
        <f t="shared" si="17"/>
        <v>9.9000000000000005E-2</v>
      </c>
    </row>
    <row r="572" spans="2:5" x14ac:dyDescent="0.2">
      <c r="B572" s="256">
        <v>59871</v>
      </c>
      <c r="C572" s="254">
        <v>3.9999999999999994E-2</v>
      </c>
      <c r="D572" s="254">
        <f t="shared" si="18"/>
        <v>9.9000000000000005E-2</v>
      </c>
      <c r="E572" s="254">
        <f t="shared" si="17"/>
        <v>9.9000000000000005E-2</v>
      </c>
    </row>
    <row r="573" spans="2:5" x14ac:dyDescent="0.2">
      <c r="B573" s="256">
        <v>59902</v>
      </c>
      <c r="C573" s="254">
        <v>3.9999999999999994E-2</v>
      </c>
      <c r="D573" s="254">
        <f t="shared" si="18"/>
        <v>9.9000000000000005E-2</v>
      </c>
      <c r="E573" s="254">
        <f t="shared" si="17"/>
        <v>9.9000000000000005E-2</v>
      </c>
    </row>
    <row r="574" spans="2:5" x14ac:dyDescent="0.2">
      <c r="B574" s="256">
        <v>59933</v>
      </c>
      <c r="C574" s="254">
        <v>3.9999999999999994E-2</v>
      </c>
      <c r="D574" s="254">
        <f t="shared" si="18"/>
        <v>9.9000000000000005E-2</v>
      </c>
      <c r="E574" s="254">
        <f t="shared" si="17"/>
        <v>9.9000000000000005E-2</v>
      </c>
    </row>
    <row r="575" spans="2:5" x14ac:dyDescent="0.2">
      <c r="B575" s="256">
        <v>59962</v>
      </c>
      <c r="C575" s="254">
        <v>3.9999999999999994E-2</v>
      </c>
      <c r="D575" s="254">
        <f t="shared" si="18"/>
        <v>9.9000000000000005E-2</v>
      </c>
      <c r="E575" s="254">
        <f t="shared" si="17"/>
        <v>9.9000000000000005E-2</v>
      </c>
    </row>
    <row r="576" spans="2:5" x14ac:dyDescent="0.2">
      <c r="B576" s="256">
        <v>59993</v>
      </c>
      <c r="C576" s="254">
        <v>3.9999999999999994E-2</v>
      </c>
      <c r="D576" s="254">
        <f t="shared" si="18"/>
        <v>9.9000000000000005E-2</v>
      </c>
      <c r="E576" s="254">
        <f t="shared" si="17"/>
        <v>9.9000000000000005E-2</v>
      </c>
    </row>
    <row r="577" spans="2:5" x14ac:dyDescent="0.2">
      <c r="B577" s="256">
        <v>60023</v>
      </c>
      <c r="C577" s="254">
        <v>3.9999999999999994E-2</v>
      </c>
      <c r="D577" s="254">
        <f t="shared" si="18"/>
        <v>9.9000000000000005E-2</v>
      </c>
      <c r="E577" s="254">
        <f t="shared" si="17"/>
        <v>9.9000000000000005E-2</v>
      </c>
    </row>
    <row r="578" spans="2:5" x14ac:dyDescent="0.2">
      <c r="B578" s="256">
        <v>60054</v>
      </c>
      <c r="C578" s="254">
        <v>3.9999999999999994E-2</v>
      </c>
      <c r="D578" s="254">
        <f t="shared" si="18"/>
        <v>9.9000000000000005E-2</v>
      </c>
      <c r="E578" s="254">
        <f t="shared" si="17"/>
        <v>9.9000000000000005E-2</v>
      </c>
    </row>
    <row r="579" spans="2:5" x14ac:dyDescent="0.2">
      <c r="B579" s="256">
        <v>60084</v>
      </c>
      <c r="C579" s="254">
        <v>3.9999999999999994E-2</v>
      </c>
      <c r="D579" s="254">
        <f t="shared" si="18"/>
        <v>9.9000000000000005E-2</v>
      </c>
      <c r="E579" s="254">
        <f t="shared" si="17"/>
        <v>9.9000000000000005E-2</v>
      </c>
    </row>
    <row r="580" spans="2:5" x14ac:dyDescent="0.2">
      <c r="B580" s="256">
        <v>60115</v>
      </c>
      <c r="C580" s="254">
        <v>3.9999999999999994E-2</v>
      </c>
      <c r="D580" s="254">
        <f t="shared" si="18"/>
        <v>9.9000000000000005E-2</v>
      </c>
      <c r="E580" s="254">
        <f t="shared" si="17"/>
        <v>9.9000000000000005E-2</v>
      </c>
    </row>
    <row r="581" spans="2:5" x14ac:dyDescent="0.2">
      <c r="B581" s="256">
        <v>60146</v>
      </c>
      <c r="C581" s="254">
        <v>3.9999999999999994E-2</v>
      </c>
      <c r="D581" s="254">
        <f t="shared" si="18"/>
        <v>9.9000000000000005E-2</v>
      </c>
      <c r="E581" s="254">
        <f t="shared" si="17"/>
        <v>9.9000000000000005E-2</v>
      </c>
    </row>
    <row r="582" spans="2:5" x14ac:dyDescent="0.2">
      <c r="B582" s="256">
        <v>60176</v>
      </c>
      <c r="C582" s="254">
        <v>3.9999999999999994E-2</v>
      </c>
      <c r="D582" s="254">
        <f t="shared" si="18"/>
        <v>9.9000000000000005E-2</v>
      </c>
      <c r="E582" s="254">
        <f t="shared" ref="E582:E645" si="19">D582+$C$1+$C$2+$E$2</f>
        <v>9.9000000000000005E-2</v>
      </c>
    </row>
    <row r="583" spans="2:5" x14ac:dyDescent="0.2">
      <c r="B583" s="256">
        <v>60207</v>
      </c>
      <c r="C583" s="254">
        <v>3.9999999999999994E-2</v>
      </c>
      <c r="D583" s="254">
        <f t="shared" si="18"/>
        <v>9.9000000000000005E-2</v>
      </c>
      <c r="E583" s="254">
        <f t="shared" si="19"/>
        <v>9.9000000000000005E-2</v>
      </c>
    </row>
    <row r="584" spans="2:5" x14ac:dyDescent="0.2">
      <c r="B584" s="256">
        <v>60237</v>
      </c>
      <c r="C584" s="254">
        <v>3.9999999999999994E-2</v>
      </c>
      <c r="D584" s="254">
        <f t="shared" si="18"/>
        <v>9.9000000000000005E-2</v>
      </c>
      <c r="E584" s="254">
        <f t="shared" si="19"/>
        <v>9.9000000000000005E-2</v>
      </c>
    </row>
    <row r="585" spans="2:5" x14ac:dyDescent="0.2">
      <c r="B585" s="256">
        <v>60268</v>
      </c>
      <c r="C585" s="254">
        <v>3.9999999999999994E-2</v>
      </c>
      <c r="D585" s="254">
        <f t="shared" si="18"/>
        <v>9.9000000000000005E-2</v>
      </c>
      <c r="E585" s="254">
        <f t="shared" si="19"/>
        <v>9.9000000000000005E-2</v>
      </c>
    </row>
    <row r="586" spans="2:5" x14ac:dyDescent="0.2">
      <c r="B586" s="256">
        <v>60299</v>
      </c>
      <c r="C586" s="254">
        <v>3.9999999999999994E-2</v>
      </c>
      <c r="D586" s="254">
        <f t="shared" ref="D586:D649" si="20">C586+5.9%</f>
        <v>9.9000000000000005E-2</v>
      </c>
      <c r="E586" s="254">
        <f t="shared" si="19"/>
        <v>9.9000000000000005E-2</v>
      </c>
    </row>
    <row r="587" spans="2:5" x14ac:dyDescent="0.2">
      <c r="B587" s="256">
        <v>60327</v>
      </c>
      <c r="C587" s="254">
        <v>3.9999999999999994E-2</v>
      </c>
      <c r="D587" s="254">
        <f t="shared" si="20"/>
        <v>9.9000000000000005E-2</v>
      </c>
      <c r="E587" s="254">
        <f t="shared" si="19"/>
        <v>9.9000000000000005E-2</v>
      </c>
    </row>
    <row r="588" spans="2:5" x14ac:dyDescent="0.2">
      <c r="B588" s="256">
        <v>60358</v>
      </c>
      <c r="C588" s="254">
        <v>3.9999999999999994E-2</v>
      </c>
      <c r="D588" s="254">
        <f t="shared" si="20"/>
        <v>9.9000000000000005E-2</v>
      </c>
      <c r="E588" s="254">
        <f t="shared" si="19"/>
        <v>9.9000000000000005E-2</v>
      </c>
    </row>
    <row r="589" spans="2:5" x14ac:dyDescent="0.2">
      <c r="B589" s="256">
        <v>60388</v>
      </c>
      <c r="C589" s="254">
        <v>3.9999999999999994E-2</v>
      </c>
      <c r="D589" s="254">
        <f t="shared" si="20"/>
        <v>9.9000000000000005E-2</v>
      </c>
      <c r="E589" s="254">
        <f t="shared" si="19"/>
        <v>9.9000000000000005E-2</v>
      </c>
    </row>
    <row r="590" spans="2:5" x14ac:dyDescent="0.2">
      <c r="B590" s="256">
        <v>60419</v>
      </c>
      <c r="C590" s="254">
        <v>3.9999999999999994E-2</v>
      </c>
      <c r="D590" s="254">
        <f t="shared" si="20"/>
        <v>9.9000000000000005E-2</v>
      </c>
      <c r="E590" s="254">
        <f t="shared" si="19"/>
        <v>9.9000000000000005E-2</v>
      </c>
    </row>
    <row r="591" spans="2:5" x14ac:dyDescent="0.2">
      <c r="B591" s="256">
        <v>60449</v>
      </c>
      <c r="C591" s="254">
        <v>3.9999999999999994E-2</v>
      </c>
      <c r="D591" s="254">
        <f t="shared" si="20"/>
        <v>9.9000000000000005E-2</v>
      </c>
      <c r="E591" s="254">
        <f t="shared" si="19"/>
        <v>9.9000000000000005E-2</v>
      </c>
    </row>
    <row r="592" spans="2:5" x14ac:dyDescent="0.2">
      <c r="B592" s="256">
        <v>60480</v>
      </c>
      <c r="C592" s="254">
        <v>3.9999999999999994E-2</v>
      </c>
      <c r="D592" s="254">
        <f t="shared" si="20"/>
        <v>9.9000000000000005E-2</v>
      </c>
      <c r="E592" s="254">
        <f t="shared" si="19"/>
        <v>9.9000000000000005E-2</v>
      </c>
    </row>
    <row r="593" spans="2:5" x14ac:dyDescent="0.2">
      <c r="B593" s="256">
        <v>60511</v>
      </c>
      <c r="C593" s="254">
        <v>3.9999999999999994E-2</v>
      </c>
      <c r="D593" s="254">
        <f t="shared" si="20"/>
        <v>9.9000000000000005E-2</v>
      </c>
      <c r="E593" s="254">
        <f t="shared" si="19"/>
        <v>9.9000000000000005E-2</v>
      </c>
    </row>
    <row r="594" spans="2:5" x14ac:dyDescent="0.2">
      <c r="B594" s="256">
        <v>60541</v>
      </c>
      <c r="C594" s="254">
        <v>3.9999999999999994E-2</v>
      </c>
      <c r="D594" s="254">
        <f t="shared" si="20"/>
        <v>9.9000000000000005E-2</v>
      </c>
      <c r="E594" s="254">
        <f t="shared" si="19"/>
        <v>9.9000000000000005E-2</v>
      </c>
    </row>
    <row r="595" spans="2:5" x14ac:dyDescent="0.2">
      <c r="B595" s="256">
        <v>60572</v>
      </c>
      <c r="C595" s="254">
        <v>3.9999999999999994E-2</v>
      </c>
      <c r="D595" s="254">
        <f t="shared" si="20"/>
        <v>9.9000000000000005E-2</v>
      </c>
      <c r="E595" s="254">
        <f t="shared" si="19"/>
        <v>9.9000000000000005E-2</v>
      </c>
    </row>
    <row r="596" spans="2:5" x14ac:dyDescent="0.2">
      <c r="B596" s="256">
        <v>60602</v>
      </c>
      <c r="C596" s="254">
        <v>3.9999999999999994E-2</v>
      </c>
      <c r="D596" s="254">
        <f t="shared" si="20"/>
        <v>9.9000000000000005E-2</v>
      </c>
      <c r="E596" s="254">
        <f t="shared" si="19"/>
        <v>9.9000000000000005E-2</v>
      </c>
    </row>
    <row r="597" spans="2:5" x14ac:dyDescent="0.2">
      <c r="B597" s="256">
        <v>60633</v>
      </c>
      <c r="C597" s="254">
        <v>3.9999999999999994E-2</v>
      </c>
      <c r="D597" s="254">
        <f t="shared" si="20"/>
        <v>9.9000000000000005E-2</v>
      </c>
      <c r="E597" s="254">
        <f t="shared" si="19"/>
        <v>9.9000000000000005E-2</v>
      </c>
    </row>
    <row r="598" spans="2:5" x14ac:dyDescent="0.2">
      <c r="B598" s="256">
        <v>60664</v>
      </c>
      <c r="C598" s="254">
        <v>3.9999999999999994E-2</v>
      </c>
      <c r="D598" s="254">
        <f t="shared" si="20"/>
        <v>9.9000000000000005E-2</v>
      </c>
      <c r="E598" s="254">
        <f t="shared" si="19"/>
        <v>9.9000000000000005E-2</v>
      </c>
    </row>
    <row r="599" spans="2:5" x14ac:dyDescent="0.2">
      <c r="B599" s="256">
        <v>60692</v>
      </c>
      <c r="C599" s="254">
        <v>3.9999999999999994E-2</v>
      </c>
      <c r="D599" s="254">
        <f t="shared" si="20"/>
        <v>9.9000000000000005E-2</v>
      </c>
      <c r="E599" s="254">
        <f t="shared" si="19"/>
        <v>9.9000000000000005E-2</v>
      </c>
    </row>
    <row r="600" spans="2:5" x14ac:dyDescent="0.2">
      <c r="B600" s="256">
        <v>60723</v>
      </c>
      <c r="C600" s="254">
        <v>3.9999999999999994E-2</v>
      </c>
      <c r="D600" s="254">
        <f t="shared" si="20"/>
        <v>9.9000000000000005E-2</v>
      </c>
      <c r="E600" s="254">
        <f t="shared" si="19"/>
        <v>9.9000000000000005E-2</v>
      </c>
    </row>
    <row r="601" spans="2:5" x14ac:dyDescent="0.2">
      <c r="B601" s="256">
        <v>60753</v>
      </c>
      <c r="C601" s="254">
        <v>3.9999999999999994E-2</v>
      </c>
      <c r="D601" s="254">
        <f t="shared" si="20"/>
        <v>9.9000000000000005E-2</v>
      </c>
      <c r="E601" s="254">
        <f t="shared" si="19"/>
        <v>9.9000000000000005E-2</v>
      </c>
    </row>
    <row r="602" spans="2:5" x14ac:dyDescent="0.2">
      <c r="B602" s="256">
        <v>60784</v>
      </c>
      <c r="C602" s="254">
        <v>3.9999999999999994E-2</v>
      </c>
      <c r="D602" s="254">
        <f t="shared" si="20"/>
        <v>9.9000000000000005E-2</v>
      </c>
      <c r="E602" s="254">
        <f t="shared" si="19"/>
        <v>9.9000000000000005E-2</v>
      </c>
    </row>
    <row r="603" spans="2:5" x14ac:dyDescent="0.2">
      <c r="B603" s="256">
        <v>60814</v>
      </c>
      <c r="C603" s="254">
        <v>3.9999999999999994E-2</v>
      </c>
      <c r="D603" s="254">
        <f t="shared" si="20"/>
        <v>9.9000000000000005E-2</v>
      </c>
      <c r="E603" s="254">
        <f t="shared" si="19"/>
        <v>9.9000000000000005E-2</v>
      </c>
    </row>
    <row r="604" spans="2:5" x14ac:dyDescent="0.2">
      <c r="B604" s="256">
        <v>60845</v>
      </c>
      <c r="C604" s="254">
        <v>3.9999999999999994E-2</v>
      </c>
      <c r="D604" s="254">
        <f t="shared" si="20"/>
        <v>9.9000000000000005E-2</v>
      </c>
      <c r="E604" s="254">
        <f t="shared" si="19"/>
        <v>9.9000000000000005E-2</v>
      </c>
    </row>
    <row r="605" spans="2:5" x14ac:dyDescent="0.2">
      <c r="B605" s="256">
        <v>60876</v>
      </c>
      <c r="C605" s="254">
        <v>3.9999999999999994E-2</v>
      </c>
      <c r="D605" s="254">
        <f t="shared" si="20"/>
        <v>9.9000000000000005E-2</v>
      </c>
      <c r="E605" s="254">
        <f t="shared" si="19"/>
        <v>9.9000000000000005E-2</v>
      </c>
    </row>
    <row r="606" spans="2:5" x14ac:dyDescent="0.2">
      <c r="B606" s="256">
        <v>60906</v>
      </c>
      <c r="C606" s="254">
        <v>3.9999999999999994E-2</v>
      </c>
      <c r="D606" s="254">
        <f t="shared" si="20"/>
        <v>9.9000000000000005E-2</v>
      </c>
      <c r="E606" s="254">
        <f t="shared" si="19"/>
        <v>9.9000000000000005E-2</v>
      </c>
    </row>
    <row r="607" spans="2:5" x14ac:dyDescent="0.2">
      <c r="B607" s="256">
        <v>60937</v>
      </c>
      <c r="C607" s="254">
        <v>3.9999999999999994E-2</v>
      </c>
      <c r="D607" s="254">
        <f t="shared" si="20"/>
        <v>9.9000000000000005E-2</v>
      </c>
      <c r="E607" s="254">
        <f t="shared" si="19"/>
        <v>9.9000000000000005E-2</v>
      </c>
    </row>
    <row r="608" spans="2:5" x14ac:dyDescent="0.2">
      <c r="B608" s="256">
        <v>60967</v>
      </c>
      <c r="C608" s="254">
        <v>3.9999999999999994E-2</v>
      </c>
      <c r="D608" s="254">
        <f t="shared" si="20"/>
        <v>9.9000000000000005E-2</v>
      </c>
      <c r="E608" s="254">
        <f t="shared" si="19"/>
        <v>9.9000000000000005E-2</v>
      </c>
    </row>
    <row r="609" spans="2:5" x14ac:dyDescent="0.2">
      <c r="B609" s="256">
        <v>60998</v>
      </c>
      <c r="C609" s="254">
        <v>3.9999999999999994E-2</v>
      </c>
      <c r="D609" s="254">
        <f t="shared" si="20"/>
        <v>9.9000000000000005E-2</v>
      </c>
      <c r="E609" s="254">
        <f t="shared" si="19"/>
        <v>9.9000000000000005E-2</v>
      </c>
    </row>
    <row r="610" spans="2:5" x14ac:dyDescent="0.2">
      <c r="B610" s="256">
        <v>61029</v>
      </c>
      <c r="C610" s="254">
        <v>3.9999999999999994E-2</v>
      </c>
      <c r="D610" s="254">
        <f t="shared" si="20"/>
        <v>9.9000000000000005E-2</v>
      </c>
      <c r="E610" s="254">
        <f t="shared" si="19"/>
        <v>9.9000000000000005E-2</v>
      </c>
    </row>
    <row r="611" spans="2:5" x14ac:dyDescent="0.2">
      <c r="B611" s="256">
        <v>61057</v>
      </c>
      <c r="C611" s="254">
        <v>3.9999999999999994E-2</v>
      </c>
      <c r="D611" s="254">
        <f t="shared" si="20"/>
        <v>9.9000000000000005E-2</v>
      </c>
      <c r="E611" s="254">
        <f t="shared" si="19"/>
        <v>9.9000000000000005E-2</v>
      </c>
    </row>
    <row r="612" spans="2:5" x14ac:dyDescent="0.2">
      <c r="B612" s="256">
        <v>61088</v>
      </c>
      <c r="C612" s="254">
        <v>3.9999999999999994E-2</v>
      </c>
      <c r="D612" s="254">
        <f t="shared" si="20"/>
        <v>9.9000000000000005E-2</v>
      </c>
      <c r="E612" s="254">
        <f t="shared" si="19"/>
        <v>9.9000000000000005E-2</v>
      </c>
    </row>
    <row r="613" spans="2:5" x14ac:dyDescent="0.2">
      <c r="B613" s="256">
        <v>61118</v>
      </c>
      <c r="C613" s="254">
        <v>3.9999999999999994E-2</v>
      </c>
      <c r="D613" s="254">
        <f t="shared" si="20"/>
        <v>9.9000000000000005E-2</v>
      </c>
      <c r="E613" s="254">
        <f t="shared" si="19"/>
        <v>9.9000000000000005E-2</v>
      </c>
    </row>
    <row r="614" spans="2:5" x14ac:dyDescent="0.2">
      <c r="B614" s="256">
        <v>61149</v>
      </c>
      <c r="C614" s="254">
        <v>3.9999999999999994E-2</v>
      </c>
      <c r="D614" s="254">
        <f t="shared" si="20"/>
        <v>9.9000000000000005E-2</v>
      </c>
      <c r="E614" s="254">
        <f t="shared" si="19"/>
        <v>9.9000000000000005E-2</v>
      </c>
    </row>
    <row r="615" spans="2:5" x14ac:dyDescent="0.2">
      <c r="B615" s="256">
        <v>61179</v>
      </c>
      <c r="C615" s="254">
        <v>3.9999999999999994E-2</v>
      </c>
      <c r="D615" s="254">
        <f t="shared" si="20"/>
        <v>9.9000000000000005E-2</v>
      </c>
      <c r="E615" s="254">
        <f t="shared" si="19"/>
        <v>9.9000000000000005E-2</v>
      </c>
    </row>
    <row r="616" spans="2:5" x14ac:dyDescent="0.2">
      <c r="B616" s="256">
        <v>61210</v>
      </c>
      <c r="C616" s="254">
        <v>3.9999999999999994E-2</v>
      </c>
      <c r="D616" s="254">
        <f t="shared" si="20"/>
        <v>9.9000000000000005E-2</v>
      </c>
      <c r="E616" s="254">
        <f t="shared" si="19"/>
        <v>9.9000000000000005E-2</v>
      </c>
    </row>
    <row r="617" spans="2:5" x14ac:dyDescent="0.2">
      <c r="B617" s="256">
        <v>61241</v>
      </c>
      <c r="C617" s="254">
        <v>3.9999999999999994E-2</v>
      </c>
      <c r="D617" s="254">
        <f t="shared" si="20"/>
        <v>9.9000000000000005E-2</v>
      </c>
      <c r="E617" s="254">
        <f t="shared" si="19"/>
        <v>9.9000000000000005E-2</v>
      </c>
    </row>
    <row r="618" spans="2:5" x14ac:dyDescent="0.2">
      <c r="B618" s="256">
        <v>61271</v>
      </c>
      <c r="C618" s="254">
        <v>3.9999999999999994E-2</v>
      </c>
      <c r="D618" s="254">
        <f t="shared" si="20"/>
        <v>9.9000000000000005E-2</v>
      </c>
      <c r="E618" s="254">
        <f t="shared" si="19"/>
        <v>9.9000000000000005E-2</v>
      </c>
    </row>
    <row r="619" spans="2:5" x14ac:dyDescent="0.2">
      <c r="B619" s="256">
        <v>61302</v>
      </c>
      <c r="C619" s="254">
        <v>3.9999999999999994E-2</v>
      </c>
      <c r="D619" s="254">
        <f t="shared" si="20"/>
        <v>9.9000000000000005E-2</v>
      </c>
      <c r="E619" s="254">
        <f t="shared" si="19"/>
        <v>9.9000000000000005E-2</v>
      </c>
    </row>
    <row r="620" spans="2:5" x14ac:dyDescent="0.2">
      <c r="B620" s="256">
        <v>61332</v>
      </c>
      <c r="C620" s="254">
        <v>3.9999999999999994E-2</v>
      </c>
      <c r="D620" s="254">
        <f t="shared" si="20"/>
        <v>9.9000000000000005E-2</v>
      </c>
      <c r="E620" s="254">
        <f t="shared" si="19"/>
        <v>9.9000000000000005E-2</v>
      </c>
    </row>
    <row r="621" spans="2:5" x14ac:dyDescent="0.2">
      <c r="B621" s="256">
        <v>61363</v>
      </c>
      <c r="C621" s="254">
        <v>3.9999999999999994E-2</v>
      </c>
      <c r="D621" s="254">
        <f t="shared" si="20"/>
        <v>9.9000000000000005E-2</v>
      </c>
      <c r="E621" s="254">
        <f t="shared" si="19"/>
        <v>9.9000000000000005E-2</v>
      </c>
    </row>
    <row r="622" spans="2:5" x14ac:dyDescent="0.2">
      <c r="B622" s="256">
        <v>61394</v>
      </c>
      <c r="C622" s="254">
        <v>3.9999999999999994E-2</v>
      </c>
      <c r="D622" s="254">
        <f t="shared" si="20"/>
        <v>9.9000000000000005E-2</v>
      </c>
      <c r="E622" s="254">
        <f t="shared" si="19"/>
        <v>9.9000000000000005E-2</v>
      </c>
    </row>
    <row r="623" spans="2:5" x14ac:dyDescent="0.2">
      <c r="B623" s="256">
        <v>61423</v>
      </c>
      <c r="C623" s="254">
        <v>3.9999999999999994E-2</v>
      </c>
      <c r="D623" s="254">
        <f t="shared" si="20"/>
        <v>9.9000000000000005E-2</v>
      </c>
      <c r="E623" s="254">
        <f t="shared" si="19"/>
        <v>9.9000000000000005E-2</v>
      </c>
    </row>
    <row r="624" spans="2:5" x14ac:dyDescent="0.2">
      <c r="B624" s="256">
        <v>61454</v>
      </c>
      <c r="C624" s="254">
        <v>3.9999999999999994E-2</v>
      </c>
      <c r="D624" s="254">
        <f t="shared" si="20"/>
        <v>9.9000000000000005E-2</v>
      </c>
      <c r="E624" s="254">
        <f t="shared" si="19"/>
        <v>9.9000000000000005E-2</v>
      </c>
    </row>
    <row r="625" spans="2:5" x14ac:dyDescent="0.2">
      <c r="B625" s="256">
        <v>61484</v>
      </c>
      <c r="C625" s="254">
        <v>3.9999999999999994E-2</v>
      </c>
      <c r="D625" s="254">
        <f t="shared" si="20"/>
        <v>9.9000000000000005E-2</v>
      </c>
      <c r="E625" s="254">
        <f t="shared" si="19"/>
        <v>9.9000000000000005E-2</v>
      </c>
    </row>
    <row r="626" spans="2:5" x14ac:dyDescent="0.2">
      <c r="B626" s="256">
        <v>61515</v>
      </c>
      <c r="C626" s="254">
        <v>3.9999999999999994E-2</v>
      </c>
      <c r="D626" s="254">
        <f t="shared" si="20"/>
        <v>9.9000000000000005E-2</v>
      </c>
      <c r="E626" s="254">
        <f t="shared" si="19"/>
        <v>9.9000000000000005E-2</v>
      </c>
    </row>
    <row r="627" spans="2:5" x14ac:dyDescent="0.2">
      <c r="B627" s="256">
        <v>61545</v>
      </c>
      <c r="C627" s="254">
        <v>3.9999999999999994E-2</v>
      </c>
      <c r="D627" s="254">
        <f t="shared" si="20"/>
        <v>9.9000000000000005E-2</v>
      </c>
      <c r="E627" s="254">
        <f t="shared" si="19"/>
        <v>9.9000000000000005E-2</v>
      </c>
    </row>
    <row r="628" spans="2:5" x14ac:dyDescent="0.2">
      <c r="B628" s="256">
        <v>61576</v>
      </c>
      <c r="C628" s="254">
        <v>3.9999999999999994E-2</v>
      </c>
      <c r="D628" s="254">
        <f t="shared" si="20"/>
        <v>9.9000000000000005E-2</v>
      </c>
      <c r="E628" s="254">
        <f t="shared" si="19"/>
        <v>9.9000000000000005E-2</v>
      </c>
    </row>
    <row r="629" spans="2:5" x14ac:dyDescent="0.2">
      <c r="B629" s="256">
        <v>61607</v>
      </c>
      <c r="C629" s="254">
        <v>3.9999999999999994E-2</v>
      </c>
      <c r="D629" s="254">
        <f t="shared" si="20"/>
        <v>9.9000000000000005E-2</v>
      </c>
      <c r="E629" s="254">
        <f t="shared" si="19"/>
        <v>9.9000000000000005E-2</v>
      </c>
    </row>
    <row r="630" spans="2:5" x14ac:dyDescent="0.2">
      <c r="B630" s="256">
        <v>61637</v>
      </c>
      <c r="C630" s="254">
        <v>3.9999999999999994E-2</v>
      </c>
      <c r="D630" s="254">
        <f t="shared" si="20"/>
        <v>9.9000000000000005E-2</v>
      </c>
      <c r="E630" s="254">
        <f t="shared" si="19"/>
        <v>9.9000000000000005E-2</v>
      </c>
    </row>
    <row r="631" spans="2:5" x14ac:dyDescent="0.2">
      <c r="B631" s="256">
        <v>61668</v>
      </c>
      <c r="C631" s="254">
        <v>3.9999999999999994E-2</v>
      </c>
      <c r="D631" s="254">
        <f t="shared" si="20"/>
        <v>9.9000000000000005E-2</v>
      </c>
      <c r="E631" s="254">
        <f t="shared" si="19"/>
        <v>9.9000000000000005E-2</v>
      </c>
    </row>
    <row r="632" spans="2:5" x14ac:dyDescent="0.2">
      <c r="B632" s="256">
        <v>61698</v>
      </c>
      <c r="C632" s="254">
        <v>3.9999999999999994E-2</v>
      </c>
      <c r="D632" s="254">
        <f t="shared" si="20"/>
        <v>9.9000000000000005E-2</v>
      </c>
      <c r="E632" s="254">
        <f t="shared" si="19"/>
        <v>9.9000000000000005E-2</v>
      </c>
    </row>
    <row r="633" spans="2:5" x14ac:dyDescent="0.2">
      <c r="B633" s="256">
        <v>61729</v>
      </c>
      <c r="C633" s="254">
        <v>3.9999999999999994E-2</v>
      </c>
      <c r="D633" s="254">
        <f t="shared" si="20"/>
        <v>9.9000000000000005E-2</v>
      </c>
      <c r="E633" s="254">
        <f t="shared" si="19"/>
        <v>9.9000000000000005E-2</v>
      </c>
    </row>
    <row r="634" spans="2:5" x14ac:dyDescent="0.2">
      <c r="B634" s="256">
        <v>61760</v>
      </c>
      <c r="C634" s="254">
        <v>3.9999999999999994E-2</v>
      </c>
      <c r="D634" s="254">
        <f t="shared" si="20"/>
        <v>9.9000000000000005E-2</v>
      </c>
      <c r="E634" s="254">
        <f t="shared" si="19"/>
        <v>9.9000000000000005E-2</v>
      </c>
    </row>
    <row r="635" spans="2:5" x14ac:dyDescent="0.2">
      <c r="B635" s="256">
        <v>61788</v>
      </c>
      <c r="C635" s="254">
        <v>3.9999999999999994E-2</v>
      </c>
      <c r="D635" s="254">
        <f t="shared" si="20"/>
        <v>9.9000000000000005E-2</v>
      </c>
      <c r="E635" s="254">
        <f t="shared" si="19"/>
        <v>9.9000000000000005E-2</v>
      </c>
    </row>
    <row r="636" spans="2:5" x14ac:dyDescent="0.2">
      <c r="B636" s="256">
        <v>61819</v>
      </c>
      <c r="C636" s="254">
        <v>3.9999999999999994E-2</v>
      </c>
      <c r="D636" s="254">
        <f t="shared" si="20"/>
        <v>9.9000000000000005E-2</v>
      </c>
      <c r="E636" s="254">
        <f t="shared" si="19"/>
        <v>9.9000000000000005E-2</v>
      </c>
    </row>
    <row r="637" spans="2:5" x14ac:dyDescent="0.2">
      <c r="B637" s="256">
        <v>61849</v>
      </c>
      <c r="C637" s="254">
        <v>3.9999999999999994E-2</v>
      </c>
      <c r="D637" s="254">
        <f t="shared" si="20"/>
        <v>9.9000000000000005E-2</v>
      </c>
      <c r="E637" s="254">
        <f t="shared" si="19"/>
        <v>9.9000000000000005E-2</v>
      </c>
    </row>
    <row r="638" spans="2:5" x14ac:dyDescent="0.2">
      <c r="B638" s="256">
        <v>61880</v>
      </c>
      <c r="C638" s="254">
        <v>3.9999999999999994E-2</v>
      </c>
      <c r="D638" s="254">
        <f t="shared" si="20"/>
        <v>9.9000000000000005E-2</v>
      </c>
      <c r="E638" s="254">
        <f t="shared" si="19"/>
        <v>9.9000000000000005E-2</v>
      </c>
    </row>
    <row r="639" spans="2:5" x14ac:dyDescent="0.2">
      <c r="B639" s="256">
        <v>61910</v>
      </c>
      <c r="C639" s="254">
        <v>3.9999999999999994E-2</v>
      </c>
      <c r="D639" s="254">
        <f t="shared" si="20"/>
        <v>9.9000000000000005E-2</v>
      </c>
      <c r="E639" s="254">
        <f t="shared" si="19"/>
        <v>9.9000000000000005E-2</v>
      </c>
    </row>
    <row r="640" spans="2:5" x14ac:dyDescent="0.2">
      <c r="B640" s="256">
        <v>61941</v>
      </c>
      <c r="C640" s="254">
        <v>3.9999999999999994E-2</v>
      </c>
      <c r="D640" s="254">
        <f t="shared" si="20"/>
        <v>9.9000000000000005E-2</v>
      </c>
      <c r="E640" s="254">
        <f t="shared" si="19"/>
        <v>9.9000000000000005E-2</v>
      </c>
    </row>
    <row r="641" spans="2:5" x14ac:dyDescent="0.2">
      <c r="B641" s="256">
        <v>61972</v>
      </c>
      <c r="C641" s="254">
        <v>3.9999999999999994E-2</v>
      </c>
      <c r="D641" s="254">
        <f t="shared" si="20"/>
        <v>9.9000000000000005E-2</v>
      </c>
      <c r="E641" s="254">
        <f t="shared" si="19"/>
        <v>9.9000000000000005E-2</v>
      </c>
    </row>
    <row r="642" spans="2:5" x14ac:dyDescent="0.2">
      <c r="B642" s="256">
        <v>62002</v>
      </c>
      <c r="C642" s="254">
        <v>3.9999999999999994E-2</v>
      </c>
      <c r="D642" s="254">
        <f t="shared" si="20"/>
        <v>9.9000000000000005E-2</v>
      </c>
      <c r="E642" s="254">
        <f t="shared" si="19"/>
        <v>9.9000000000000005E-2</v>
      </c>
    </row>
    <row r="643" spans="2:5" x14ac:dyDescent="0.2">
      <c r="B643" s="256">
        <v>62033</v>
      </c>
      <c r="C643" s="254">
        <v>3.9999999999999994E-2</v>
      </c>
      <c r="D643" s="254">
        <f t="shared" si="20"/>
        <v>9.9000000000000005E-2</v>
      </c>
      <c r="E643" s="254">
        <f t="shared" si="19"/>
        <v>9.9000000000000005E-2</v>
      </c>
    </row>
    <row r="644" spans="2:5" x14ac:dyDescent="0.2">
      <c r="B644" s="256">
        <v>62063</v>
      </c>
      <c r="C644" s="254">
        <v>3.9999999999999994E-2</v>
      </c>
      <c r="D644" s="254">
        <f t="shared" si="20"/>
        <v>9.9000000000000005E-2</v>
      </c>
      <c r="E644" s="254">
        <f t="shared" si="19"/>
        <v>9.9000000000000005E-2</v>
      </c>
    </row>
    <row r="645" spans="2:5" x14ac:dyDescent="0.2">
      <c r="B645" s="256">
        <v>62094</v>
      </c>
      <c r="C645" s="254">
        <v>3.9999999999999994E-2</v>
      </c>
      <c r="D645" s="254">
        <f t="shared" si="20"/>
        <v>9.9000000000000005E-2</v>
      </c>
      <c r="E645" s="254">
        <f t="shared" si="19"/>
        <v>9.9000000000000005E-2</v>
      </c>
    </row>
    <row r="646" spans="2:5" x14ac:dyDescent="0.2">
      <c r="B646" s="256">
        <v>62125</v>
      </c>
      <c r="C646" s="254">
        <v>3.9999999999999994E-2</v>
      </c>
      <c r="D646" s="254">
        <f t="shared" si="20"/>
        <v>9.9000000000000005E-2</v>
      </c>
      <c r="E646" s="254">
        <f t="shared" ref="E646:E678" si="21">D646+$C$1+$C$2+$E$2</f>
        <v>9.9000000000000005E-2</v>
      </c>
    </row>
    <row r="647" spans="2:5" x14ac:dyDescent="0.2">
      <c r="B647" s="256">
        <v>62153</v>
      </c>
      <c r="C647" s="254">
        <v>3.9999999999999994E-2</v>
      </c>
      <c r="D647" s="254">
        <f t="shared" si="20"/>
        <v>9.9000000000000005E-2</v>
      </c>
      <c r="E647" s="254">
        <f t="shared" si="21"/>
        <v>9.9000000000000005E-2</v>
      </c>
    </row>
    <row r="648" spans="2:5" x14ac:dyDescent="0.2">
      <c r="B648" s="256">
        <v>62184</v>
      </c>
      <c r="C648" s="254">
        <v>3.9999999999999994E-2</v>
      </c>
      <c r="D648" s="254">
        <f t="shared" si="20"/>
        <v>9.9000000000000005E-2</v>
      </c>
      <c r="E648" s="254">
        <f t="shared" si="21"/>
        <v>9.9000000000000005E-2</v>
      </c>
    </row>
    <row r="649" spans="2:5" x14ac:dyDescent="0.2">
      <c r="B649" s="256">
        <v>62214</v>
      </c>
      <c r="C649" s="254">
        <v>3.9999999999999994E-2</v>
      </c>
      <c r="D649" s="254">
        <f t="shared" si="20"/>
        <v>9.9000000000000005E-2</v>
      </c>
      <c r="E649" s="254">
        <f t="shared" si="21"/>
        <v>9.9000000000000005E-2</v>
      </c>
    </row>
    <row r="650" spans="2:5" x14ac:dyDescent="0.2">
      <c r="B650" s="256">
        <v>62245</v>
      </c>
      <c r="C650" s="254">
        <v>3.9999999999999994E-2</v>
      </c>
      <c r="D650" s="254">
        <f t="shared" ref="D650:D678" si="22">C650+5.9%</f>
        <v>9.9000000000000005E-2</v>
      </c>
      <c r="E650" s="254">
        <f t="shared" si="21"/>
        <v>9.9000000000000005E-2</v>
      </c>
    </row>
    <row r="651" spans="2:5" x14ac:dyDescent="0.2">
      <c r="B651" s="256">
        <v>62275</v>
      </c>
      <c r="C651" s="254">
        <v>3.9999999999999994E-2</v>
      </c>
      <c r="D651" s="254">
        <f t="shared" si="22"/>
        <v>9.9000000000000005E-2</v>
      </c>
      <c r="E651" s="254">
        <f t="shared" si="21"/>
        <v>9.9000000000000005E-2</v>
      </c>
    </row>
    <row r="652" spans="2:5" x14ac:dyDescent="0.2">
      <c r="B652" s="256">
        <v>62306</v>
      </c>
      <c r="C652" s="254">
        <v>3.9999999999999994E-2</v>
      </c>
      <c r="D652" s="254">
        <f t="shared" si="22"/>
        <v>9.9000000000000005E-2</v>
      </c>
      <c r="E652" s="254">
        <f t="shared" si="21"/>
        <v>9.9000000000000005E-2</v>
      </c>
    </row>
    <row r="653" spans="2:5" x14ac:dyDescent="0.2">
      <c r="B653" s="256">
        <v>62337</v>
      </c>
      <c r="C653" s="254">
        <v>3.9999999999999994E-2</v>
      </c>
      <c r="D653" s="254">
        <f t="shared" si="22"/>
        <v>9.9000000000000005E-2</v>
      </c>
      <c r="E653" s="254">
        <f t="shared" si="21"/>
        <v>9.9000000000000005E-2</v>
      </c>
    </row>
    <row r="654" spans="2:5" x14ac:dyDescent="0.2">
      <c r="B654" s="256">
        <v>62367</v>
      </c>
      <c r="C654" s="254">
        <v>3.9999999999999994E-2</v>
      </c>
      <c r="D654" s="254">
        <f t="shared" si="22"/>
        <v>9.9000000000000005E-2</v>
      </c>
      <c r="E654" s="254">
        <f t="shared" si="21"/>
        <v>9.9000000000000005E-2</v>
      </c>
    </row>
    <row r="655" spans="2:5" x14ac:dyDescent="0.2">
      <c r="B655" s="256">
        <v>62398</v>
      </c>
      <c r="C655" s="254">
        <v>3.9999999999999994E-2</v>
      </c>
      <c r="D655" s="254">
        <f t="shared" si="22"/>
        <v>9.9000000000000005E-2</v>
      </c>
      <c r="E655" s="254">
        <f t="shared" si="21"/>
        <v>9.9000000000000005E-2</v>
      </c>
    </row>
    <row r="656" spans="2:5" x14ac:dyDescent="0.2">
      <c r="B656" s="256">
        <v>62428</v>
      </c>
      <c r="C656" s="254">
        <v>3.9999999999999994E-2</v>
      </c>
      <c r="D656" s="254">
        <f t="shared" si="22"/>
        <v>9.9000000000000005E-2</v>
      </c>
      <c r="E656" s="254">
        <f t="shared" si="21"/>
        <v>9.9000000000000005E-2</v>
      </c>
    </row>
    <row r="657" spans="2:5" x14ac:dyDescent="0.2">
      <c r="B657" s="256">
        <v>62459</v>
      </c>
      <c r="C657" s="254">
        <v>3.9999999999999994E-2</v>
      </c>
      <c r="D657" s="254">
        <f t="shared" si="22"/>
        <v>9.9000000000000005E-2</v>
      </c>
      <c r="E657" s="254">
        <f t="shared" si="21"/>
        <v>9.9000000000000005E-2</v>
      </c>
    </row>
    <row r="658" spans="2:5" x14ac:dyDescent="0.2">
      <c r="B658" s="256">
        <v>62490</v>
      </c>
      <c r="C658" s="254">
        <v>3.9999999999999994E-2</v>
      </c>
      <c r="D658" s="254">
        <f t="shared" si="22"/>
        <v>9.9000000000000005E-2</v>
      </c>
      <c r="E658" s="254">
        <f t="shared" si="21"/>
        <v>9.9000000000000005E-2</v>
      </c>
    </row>
    <row r="659" spans="2:5" x14ac:dyDescent="0.2">
      <c r="B659" s="256">
        <v>62518</v>
      </c>
      <c r="C659" s="254">
        <v>3.9999999999999994E-2</v>
      </c>
      <c r="D659" s="254">
        <f t="shared" si="22"/>
        <v>9.9000000000000005E-2</v>
      </c>
      <c r="E659" s="254">
        <f t="shared" si="21"/>
        <v>9.9000000000000005E-2</v>
      </c>
    </row>
    <row r="660" spans="2:5" x14ac:dyDescent="0.2">
      <c r="B660" s="256">
        <v>62549</v>
      </c>
      <c r="C660" s="254">
        <v>3.9999999999999994E-2</v>
      </c>
      <c r="D660" s="254">
        <f t="shared" si="22"/>
        <v>9.9000000000000005E-2</v>
      </c>
      <c r="E660" s="254">
        <f t="shared" si="21"/>
        <v>9.9000000000000005E-2</v>
      </c>
    </row>
    <row r="661" spans="2:5" x14ac:dyDescent="0.2">
      <c r="B661" s="256">
        <v>62579</v>
      </c>
      <c r="C661" s="254">
        <v>3.9999999999999994E-2</v>
      </c>
      <c r="D661" s="254">
        <f t="shared" si="22"/>
        <v>9.9000000000000005E-2</v>
      </c>
      <c r="E661" s="254">
        <f t="shared" si="21"/>
        <v>9.9000000000000005E-2</v>
      </c>
    </row>
    <row r="662" spans="2:5" x14ac:dyDescent="0.2">
      <c r="B662" s="256">
        <v>62610</v>
      </c>
      <c r="C662" s="254">
        <v>3.9999999999999994E-2</v>
      </c>
      <c r="D662" s="254">
        <f t="shared" si="22"/>
        <v>9.9000000000000005E-2</v>
      </c>
      <c r="E662" s="254">
        <f t="shared" si="21"/>
        <v>9.9000000000000005E-2</v>
      </c>
    </row>
    <row r="663" spans="2:5" x14ac:dyDescent="0.2">
      <c r="B663" s="256">
        <v>62640</v>
      </c>
      <c r="C663" s="254">
        <v>3.9999999999999994E-2</v>
      </c>
      <c r="D663" s="254">
        <f t="shared" si="22"/>
        <v>9.9000000000000005E-2</v>
      </c>
      <c r="E663" s="254">
        <f t="shared" si="21"/>
        <v>9.9000000000000005E-2</v>
      </c>
    </row>
    <row r="664" spans="2:5" x14ac:dyDescent="0.2">
      <c r="B664" s="256">
        <v>62671</v>
      </c>
      <c r="C664" s="254">
        <v>3.9999999999999994E-2</v>
      </c>
      <c r="D664" s="254">
        <f t="shared" si="22"/>
        <v>9.9000000000000005E-2</v>
      </c>
      <c r="E664" s="254">
        <f t="shared" si="21"/>
        <v>9.9000000000000005E-2</v>
      </c>
    </row>
    <row r="665" spans="2:5" x14ac:dyDescent="0.2">
      <c r="B665" s="256">
        <v>62702</v>
      </c>
      <c r="C665" s="254">
        <v>3.9999999999999994E-2</v>
      </c>
      <c r="D665" s="254">
        <f t="shared" si="22"/>
        <v>9.9000000000000005E-2</v>
      </c>
      <c r="E665" s="254">
        <f t="shared" si="21"/>
        <v>9.9000000000000005E-2</v>
      </c>
    </row>
    <row r="666" spans="2:5" x14ac:dyDescent="0.2">
      <c r="B666" s="256">
        <v>62732</v>
      </c>
      <c r="C666" s="254">
        <v>3.9999999999999994E-2</v>
      </c>
      <c r="D666" s="254">
        <f t="shared" si="22"/>
        <v>9.9000000000000005E-2</v>
      </c>
      <c r="E666" s="254">
        <f t="shared" si="21"/>
        <v>9.9000000000000005E-2</v>
      </c>
    </row>
    <row r="667" spans="2:5" x14ac:dyDescent="0.2">
      <c r="B667" s="256">
        <v>62763</v>
      </c>
      <c r="C667" s="254">
        <v>3.9999999999999994E-2</v>
      </c>
      <c r="D667" s="254">
        <f t="shared" si="22"/>
        <v>9.9000000000000005E-2</v>
      </c>
      <c r="E667" s="254">
        <f t="shared" si="21"/>
        <v>9.9000000000000005E-2</v>
      </c>
    </row>
    <row r="668" spans="2:5" x14ac:dyDescent="0.2">
      <c r="B668" s="256">
        <v>62793</v>
      </c>
      <c r="C668" s="254">
        <v>3.9999999999999994E-2</v>
      </c>
      <c r="D668" s="254">
        <f t="shared" si="22"/>
        <v>9.9000000000000005E-2</v>
      </c>
      <c r="E668" s="254">
        <f t="shared" si="21"/>
        <v>9.9000000000000005E-2</v>
      </c>
    </row>
    <row r="669" spans="2:5" x14ac:dyDescent="0.2">
      <c r="B669" s="256">
        <v>62824</v>
      </c>
      <c r="C669" s="254">
        <v>3.9999999999999994E-2</v>
      </c>
      <c r="D669" s="254">
        <f t="shared" si="22"/>
        <v>9.9000000000000005E-2</v>
      </c>
      <c r="E669" s="254">
        <f t="shared" si="21"/>
        <v>9.9000000000000005E-2</v>
      </c>
    </row>
    <row r="670" spans="2:5" x14ac:dyDescent="0.2">
      <c r="B670" s="256">
        <v>62855</v>
      </c>
      <c r="C670" s="254">
        <v>3.9999999999999994E-2</v>
      </c>
      <c r="D670" s="254">
        <f t="shared" si="22"/>
        <v>9.9000000000000005E-2</v>
      </c>
      <c r="E670" s="254">
        <f t="shared" si="21"/>
        <v>9.9000000000000005E-2</v>
      </c>
    </row>
    <row r="671" spans="2:5" x14ac:dyDescent="0.2">
      <c r="B671" s="256">
        <v>62884</v>
      </c>
      <c r="C671" s="254">
        <v>3.9999999999999994E-2</v>
      </c>
      <c r="D671" s="254">
        <f t="shared" si="22"/>
        <v>9.9000000000000005E-2</v>
      </c>
      <c r="E671" s="254">
        <f t="shared" si="21"/>
        <v>9.9000000000000005E-2</v>
      </c>
    </row>
    <row r="672" spans="2:5" x14ac:dyDescent="0.2">
      <c r="B672" s="256">
        <v>62915</v>
      </c>
      <c r="C672" s="254">
        <v>3.9999999999999994E-2</v>
      </c>
      <c r="D672" s="254">
        <f t="shared" si="22"/>
        <v>9.9000000000000005E-2</v>
      </c>
      <c r="E672" s="254">
        <f t="shared" si="21"/>
        <v>9.9000000000000005E-2</v>
      </c>
    </row>
    <row r="673" spans="2:5" x14ac:dyDescent="0.2">
      <c r="B673" s="256">
        <v>62945</v>
      </c>
      <c r="C673" s="254">
        <v>3.9999999999999994E-2</v>
      </c>
      <c r="D673" s="254">
        <f t="shared" si="22"/>
        <v>9.9000000000000005E-2</v>
      </c>
      <c r="E673" s="254">
        <f t="shared" si="21"/>
        <v>9.9000000000000005E-2</v>
      </c>
    </row>
    <row r="674" spans="2:5" x14ac:dyDescent="0.2">
      <c r="B674" s="256">
        <v>62976</v>
      </c>
      <c r="C674" s="254">
        <v>3.9999999999999994E-2</v>
      </c>
      <c r="D674" s="254">
        <f t="shared" si="22"/>
        <v>9.9000000000000005E-2</v>
      </c>
      <c r="E674" s="254">
        <f t="shared" si="21"/>
        <v>9.9000000000000005E-2</v>
      </c>
    </row>
    <row r="675" spans="2:5" x14ac:dyDescent="0.2">
      <c r="B675" s="256">
        <v>63006</v>
      </c>
      <c r="C675" s="254">
        <v>3.9999999999999994E-2</v>
      </c>
      <c r="D675" s="254">
        <f t="shared" si="22"/>
        <v>9.9000000000000005E-2</v>
      </c>
      <c r="E675" s="254">
        <f t="shared" si="21"/>
        <v>9.9000000000000005E-2</v>
      </c>
    </row>
    <row r="676" spans="2:5" x14ac:dyDescent="0.2">
      <c r="B676" s="256">
        <v>63037</v>
      </c>
      <c r="C676" s="254">
        <v>3.9999999999999994E-2</v>
      </c>
      <c r="D676" s="254">
        <f t="shared" si="22"/>
        <v>9.9000000000000005E-2</v>
      </c>
      <c r="E676" s="254">
        <f t="shared" si="21"/>
        <v>9.9000000000000005E-2</v>
      </c>
    </row>
    <row r="677" spans="2:5" x14ac:dyDescent="0.2">
      <c r="B677" s="256">
        <v>63068</v>
      </c>
      <c r="C677" s="254">
        <v>3.9999999999999994E-2</v>
      </c>
      <c r="D677" s="254">
        <f t="shared" si="22"/>
        <v>9.9000000000000005E-2</v>
      </c>
      <c r="E677" s="254">
        <f t="shared" si="21"/>
        <v>9.9000000000000005E-2</v>
      </c>
    </row>
    <row r="678" spans="2:5" x14ac:dyDescent="0.2">
      <c r="B678" s="256">
        <v>63098</v>
      </c>
      <c r="C678" s="254">
        <v>3.9999999999999994E-2</v>
      </c>
      <c r="D678" s="254">
        <f t="shared" si="22"/>
        <v>9.9000000000000005E-2</v>
      </c>
      <c r="E678" s="254">
        <f t="shared" si="21"/>
        <v>9.9000000000000005E-2</v>
      </c>
    </row>
  </sheetData>
  <customSheetViews>
    <customSheetView guid="{A6ED9047-BF5F-4715-989F-6B73F8A8D111}" state="hidden">
      <selection activeCell="L51" sqref="L5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"/>
  <sheetViews>
    <sheetView showGridLines="0" showRowColHeaders="0" workbookViewId="0">
      <selection activeCell="C43" sqref="C43"/>
    </sheetView>
  </sheetViews>
  <sheetFormatPr defaultRowHeight="15" x14ac:dyDescent="0.25"/>
  <cols>
    <col min="17" max="17" width="10.140625" customWidth="1"/>
  </cols>
  <sheetData>
    <row r="2" spans="2:2" x14ac:dyDescent="0.25">
      <c r="B2" s="2"/>
    </row>
  </sheetData>
  <customSheetViews>
    <customSheetView guid="{A6ED9047-BF5F-4715-989F-6B73F8A8D111}" showGridLines="0" showRowCol="0" state="veryHidden">
      <selection activeCell="C43" sqref="C43"/>
      <pageMargins left="0.7" right="0.7" top="0.75" bottom="0.75" header="0.3" footer="0.3"/>
    </customSheetView>
  </customSheetViews>
  <phoneticPr fontId="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G239"/>
  <sheetViews>
    <sheetView showGridLines="0" workbookViewId="0">
      <selection activeCell="F17" sqref="F17"/>
    </sheetView>
  </sheetViews>
  <sheetFormatPr defaultRowHeight="15" x14ac:dyDescent="0.25"/>
  <cols>
    <col min="1" max="1" width="6.42578125" style="20" customWidth="1" collapsed="1"/>
    <col min="2" max="2" width="7.42578125" style="21" customWidth="1"/>
    <col min="3" max="3" width="5.140625" style="20" customWidth="1"/>
    <col min="4" max="4" width="8.5703125" style="20" customWidth="1"/>
    <col min="5" max="11" width="8.42578125" style="20" customWidth="1"/>
    <col min="12" max="12" width="8.42578125" style="22" customWidth="1"/>
    <col min="13" max="13" width="10.42578125" style="22" customWidth="1"/>
    <col min="14" max="14" width="7.42578125" style="22" customWidth="1"/>
    <col min="15" max="15" width="10.42578125" style="22" customWidth="1"/>
    <col min="16" max="33" width="9.140625" style="26" customWidth="1"/>
  </cols>
  <sheetData>
    <row r="1" spans="1:15" s="42" customFormat="1" x14ac:dyDescent="0.25">
      <c r="A1" s="23"/>
      <c r="B1" s="24"/>
      <c r="C1" s="23"/>
      <c r="D1" s="23"/>
      <c r="E1" s="23"/>
      <c r="F1" s="23"/>
      <c r="G1" s="23"/>
      <c r="H1" s="23"/>
      <c r="I1" s="23"/>
      <c r="J1" s="23"/>
      <c r="K1" s="23"/>
      <c r="L1" s="25"/>
      <c r="M1" s="25"/>
      <c r="N1" s="25"/>
      <c r="O1" s="25"/>
    </row>
    <row r="2" spans="1:15" s="42" customFormat="1" x14ac:dyDescent="0.25">
      <c r="A2" s="692"/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</row>
    <row r="3" spans="1:15" s="42" customFormat="1" ht="12" customHeight="1" x14ac:dyDescent="0.25">
      <c r="A3" s="23"/>
      <c r="B3" s="24"/>
      <c r="C3" s="23"/>
      <c r="D3" s="23"/>
      <c r="E3" s="23"/>
      <c r="F3" s="23"/>
      <c r="G3" s="23"/>
      <c r="H3" s="23"/>
      <c r="I3" s="23"/>
      <c r="J3" s="23"/>
      <c r="K3" s="23"/>
      <c r="L3" s="25"/>
      <c r="M3" s="25"/>
      <c r="N3" s="25"/>
      <c r="O3" s="25"/>
    </row>
    <row r="4" spans="1:15" s="42" customFormat="1" ht="12" customHeight="1" x14ac:dyDescent="0.25">
      <c r="A4" s="23"/>
      <c r="B4" s="24"/>
      <c r="C4" s="23"/>
      <c r="D4" s="693"/>
      <c r="E4" s="693"/>
      <c r="F4" s="691"/>
      <c r="G4" s="691"/>
      <c r="H4" s="691"/>
      <c r="I4" s="691"/>
      <c r="J4" s="691"/>
      <c r="K4" s="23"/>
      <c r="L4" s="25"/>
      <c r="M4" s="25"/>
      <c r="N4" s="25"/>
      <c r="O4" s="25"/>
    </row>
    <row r="5" spans="1:15" s="42" customFormat="1" ht="12" customHeight="1" x14ac:dyDescent="0.25">
      <c r="A5" s="23"/>
      <c r="B5" s="24"/>
      <c r="C5" s="23"/>
      <c r="D5" s="693"/>
      <c r="E5" s="693"/>
      <c r="F5" s="697"/>
      <c r="G5" s="697"/>
      <c r="H5" s="697"/>
      <c r="I5" s="697"/>
      <c r="J5" s="697"/>
      <c r="K5" s="23"/>
      <c r="L5" s="25"/>
      <c r="M5" s="25"/>
      <c r="N5" s="25"/>
      <c r="O5" s="25"/>
    </row>
    <row r="6" spans="1:15" s="42" customFormat="1" ht="12" customHeight="1" x14ac:dyDescent="0.25">
      <c r="A6" s="23"/>
      <c r="B6" s="24"/>
      <c r="C6" s="23"/>
      <c r="D6" s="693"/>
      <c r="E6" s="693"/>
      <c r="F6" s="698"/>
      <c r="G6" s="698"/>
      <c r="H6" s="698"/>
      <c r="I6" s="698"/>
      <c r="J6" s="698"/>
      <c r="K6" s="23"/>
      <c r="L6" s="25"/>
      <c r="M6" s="25"/>
      <c r="N6" s="25"/>
      <c r="O6" s="25"/>
    </row>
    <row r="7" spans="1:15" s="42" customFormat="1" ht="12" customHeight="1" x14ac:dyDescent="0.25">
      <c r="A7" s="25"/>
      <c r="B7" s="24"/>
      <c r="C7" s="25"/>
      <c r="D7" s="694"/>
      <c r="E7" s="694"/>
      <c r="F7" s="694"/>
      <c r="G7" s="694"/>
      <c r="H7" s="695"/>
      <c r="I7" s="695"/>
      <c r="J7" s="44"/>
      <c r="K7" s="45"/>
      <c r="L7" s="25"/>
      <c r="M7" s="25"/>
      <c r="N7" s="25"/>
      <c r="O7" s="25"/>
    </row>
    <row r="8" spans="1:15" s="42" customFormat="1" ht="12" customHeight="1" x14ac:dyDescent="0.25">
      <c r="A8" s="25"/>
      <c r="B8" s="24"/>
      <c r="C8" s="25"/>
      <c r="D8" s="694"/>
      <c r="E8" s="694"/>
      <c r="F8" s="694"/>
      <c r="G8" s="694"/>
      <c r="H8" s="696"/>
      <c r="I8" s="696"/>
      <c r="J8" s="44"/>
      <c r="K8" s="25"/>
      <c r="L8" s="25"/>
      <c r="M8" s="25"/>
      <c r="N8" s="25"/>
      <c r="O8" s="25"/>
    </row>
    <row r="9" spans="1:15" s="42" customFormat="1" ht="12" customHeight="1" x14ac:dyDescent="0.25">
      <c r="A9" s="25"/>
      <c r="B9" s="24"/>
      <c r="C9" s="25"/>
      <c r="D9" s="694"/>
      <c r="E9" s="694"/>
      <c r="F9" s="694"/>
      <c r="G9" s="694"/>
      <c r="H9" s="700"/>
      <c r="I9" s="700"/>
      <c r="J9" s="44"/>
      <c r="K9" s="25"/>
      <c r="L9" s="25"/>
      <c r="M9" s="25"/>
      <c r="N9" s="25"/>
      <c r="O9" s="25"/>
    </row>
    <row r="10" spans="1:15" s="42" customFormat="1" ht="12" customHeight="1" x14ac:dyDescent="0.25">
      <c r="A10" s="25"/>
      <c r="B10" s="24"/>
      <c r="C10" s="25"/>
      <c r="D10" s="694"/>
      <c r="E10" s="694"/>
      <c r="F10" s="694"/>
      <c r="G10" s="694"/>
      <c r="H10" s="701"/>
      <c r="I10" s="701"/>
      <c r="J10" s="44"/>
      <c r="K10" s="25"/>
      <c r="L10" s="25"/>
      <c r="M10" s="25"/>
      <c r="N10" s="25"/>
      <c r="O10" s="25"/>
    </row>
    <row r="11" spans="1:15" s="42" customFormat="1" ht="12" customHeight="1" x14ac:dyDescent="0.25">
      <c r="A11" s="25"/>
      <c r="B11" s="24"/>
      <c r="C11" s="25"/>
      <c r="D11" s="52"/>
      <c r="E11" s="52"/>
      <c r="F11" s="52"/>
      <c r="G11" s="52"/>
      <c r="H11" s="53"/>
      <c r="I11" s="53"/>
      <c r="J11" s="44"/>
      <c r="K11" s="46"/>
      <c r="L11" s="25"/>
      <c r="M11" s="25"/>
      <c r="N11" s="25"/>
      <c r="O11" s="25"/>
    </row>
    <row r="12" spans="1:15" s="42" customFormat="1" ht="12" customHeight="1" x14ac:dyDescent="0.25">
      <c r="A12" s="25"/>
      <c r="B12" s="24"/>
      <c r="C12" s="25"/>
      <c r="D12" s="54"/>
      <c r="E12" s="54"/>
      <c r="F12" s="54"/>
      <c r="G12" s="54"/>
      <c r="H12" s="55"/>
      <c r="I12" s="55"/>
      <c r="J12" s="44"/>
      <c r="K12" s="46"/>
      <c r="L12" s="25"/>
      <c r="M12" s="25"/>
      <c r="N12" s="25"/>
      <c r="O12" s="25"/>
    </row>
    <row r="13" spans="1:15" s="42" customFormat="1" ht="27" customHeight="1" x14ac:dyDescent="0.25">
      <c r="A13" s="25"/>
      <c r="B13" s="24"/>
      <c r="C13" s="25"/>
      <c r="D13" s="25"/>
      <c r="E13" s="25"/>
      <c r="F13" s="25"/>
      <c r="G13" s="25"/>
      <c r="H13" s="25"/>
      <c r="I13" s="25"/>
      <c r="J13" s="25"/>
      <c r="K13" s="46"/>
      <c r="L13" s="25"/>
      <c r="M13" s="25"/>
      <c r="N13" s="25"/>
      <c r="O13" s="25"/>
    </row>
    <row r="14" spans="1:15" s="42" customFormat="1" x14ac:dyDescent="0.2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</row>
    <row r="15" spans="1:15" s="42" customFormat="1" x14ac:dyDescent="0.25">
      <c r="A15" s="47"/>
      <c r="B15" s="47"/>
      <c r="C15" s="47"/>
      <c r="D15" s="47"/>
      <c r="E15" s="47"/>
      <c r="F15" s="48"/>
      <c r="G15" s="48"/>
      <c r="H15" s="48"/>
      <c r="I15" s="48"/>
      <c r="J15" s="48"/>
      <c r="K15" s="48"/>
      <c r="L15" s="47"/>
      <c r="M15" s="47"/>
      <c r="N15" s="47"/>
      <c r="O15" s="47"/>
    </row>
    <row r="16" spans="1:15" s="42" customFormat="1" ht="60.75" customHeight="1" x14ac:dyDescent="0.25">
      <c r="A16" s="49"/>
      <c r="B16" s="49"/>
      <c r="C16" s="49"/>
      <c r="D16" s="49"/>
      <c r="E16" s="50"/>
      <c r="F16" s="49"/>
      <c r="G16" s="51"/>
      <c r="H16" s="51"/>
      <c r="I16" s="51"/>
      <c r="J16" s="51"/>
      <c r="K16" s="51"/>
      <c r="L16" s="51"/>
      <c r="M16" s="49"/>
      <c r="N16" s="49"/>
      <c r="O16" s="49"/>
    </row>
    <row r="17" spans="1:33" s="43" customFormat="1" ht="10.5" customHeight="1" x14ac:dyDescent="0.25"/>
    <row r="18" spans="1:33" s="26" customFormat="1" x14ac:dyDescent="0.25">
      <c r="A18" s="40"/>
      <c r="B18" s="40"/>
      <c r="C18" s="40"/>
      <c r="D18" s="40"/>
      <c r="E18" s="27"/>
      <c r="F18" s="40"/>
      <c r="G18" s="41"/>
      <c r="H18" s="41"/>
      <c r="I18" s="41"/>
      <c r="J18" s="41"/>
      <c r="K18" s="41"/>
      <c r="L18" s="41"/>
      <c r="M18" s="40"/>
      <c r="N18" s="40"/>
      <c r="O18" s="40"/>
    </row>
    <row r="19" spans="1:33" s="34" customFormat="1" ht="10.5" customHeight="1" x14ac:dyDescent="0.25">
      <c r="A19" s="62">
        <v>0</v>
      </c>
      <c r="B19" s="57">
        <v>0</v>
      </c>
      <c r="C19" s="58">
        <v>0</v>
      </c>
      <c r="D19" s="59">
        <v>0</v>
      </c>
      <c r="E19" s="60">
        <v>9999999.9900000002</v>
      </c>
      <c r="F19" s="61">
        <v>0</v>
      </c>
      <c r="G19" s="61">
        <v>0</v>
      </c>
      <c r="H19" s="60">
        <v>0</v>
      </c>
      <c r="I19" s="60">
        <v>0</v>
      </c>
      <c r="J19" s="60">
        <v>9320</v>
      </c>
      <c r="K19" s="60">
        <v>0</v>
      </c>
      <c r="L19" s="60">
        <v>0</v>
      </c>
      <c r="M19" s="60">
        <v>0</v>
      </c>
      <c r="N19" s="60">
        <v>0</v>
      </c>
      <c r="O19" s="63">
        <v>0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s="26" customFormat="1" x14ac:dyDescent="0.25">
      <c r="A20" s="40"/>
      <c r="B20" s="40"/>
      <c r="C20" s="40"/>
      <c r="D20" s="40"/>
      <c r="E20" s="27"/>
      <c r="F20" s="40"/>
      <c r="G20" s="41"/>
      <c r="H20" s="41"/>
      <c r="I20" s="41"/>
      <c r="J20" s="41"/>
      <c r="K20" s="41"/>
      <c r="L20" s="41"/>
      <c r="M20" s="40"/>
      <c r="N20" s="40"/>
      <c r="O20" s="40"/>
    </row>
    <row r="21" spans="1:33" s="34" customFormat="1" ht="10.5" customHeight="1" x14ac:dyDescent="0.25">
      <c r="A21" s="62">
        <v>0</v>
      </c>
      <c r="B21" s="74">
        <v>0</v>
      </c>
      <c r="C21" s="58">
        <v>0</v>
      </c>
      <c r="D21" s="59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3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s="26" customFormat="1" x14ac:dyDescent="0.25">
      <c r="A22" s="27"/>
      <c r="B22" s="28"/>
      <c r="C22" s="35"/>
      <c r="D22" s="29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</row>
    <row r="23" spans="1:33" s="34" customFormat="1" ht="10.5" customHeight="1" thickBot="1" x14ac:dyDescent="0.3">
      <c r="A23" s="64">
        <v>0</v>
      </c>
      <c r="B23" s="65">
        <v>0</v>
      </c>
      <c r="C23" s="66">
        <v>0</v>
      </c>
      <c r="D23" s="67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9">
        <v>0</v>
      </c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s="26" customFormat="1" x14ac:dyDescent="0.25">
      <c r="A24" s="23"/>
      <c r="B24" s="24"/>
      <c r="C24" s="23"/>
      <c r="D24" s="23"/>
      <c r="E24" s="23"/>
      <c r="F24" s="23"/>
      <c r="G24" s="23"/>
      <c r="H24" s="23"/>
      <c r="I24" s="23"/>
      <c r="J24" s="23"/>
      <c r="K24" s="23"/>
      <c r="L24" s="25"/>
      <c r="M24" s="25"/>
      <c r="N24" s="25"/>
      <c r="O24" s="25"/>
    </row>
    <row r="25" spans="1:33" s="34" customFormat="1" ht="10.5" customHeight="1" thickBot="1" x14ac:dyDescent="0.3">
      <c r="A25" s="75">
        <v>0</v>
      </c>
      <c r="B25" s="76">
        <v>0</v>
      </c>
      <c r="C25" s="77">
        <v>0</v>
      </c>
      <c r="D25" s="78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80">
        <v>0</v>
      </c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s="26" customFormat="1" x14ac:dyDescent="0.25">
      <c r="A26" s="23"/>
      <c r="B26" s="24"/>
      <c r="C26" s="23"/>
      <c r="D26" s="23"/>
      <c r="E26" s="23"/>
      <c r="F26" s="23"/>
      <c r="G26" s="23"/>
      <c r="H26" s="23"/>
      <c r="I26" s="23"/>
      <c r="J26" s="23"/>
      <c r="K26" s="23"/>
      <c r="L26" s="25"/>
      <c r="M26" s="25"/>
      <c r="N26" s="25"/>
      <c r="O26" s="25"/>
    </row>
    <row r="27" spans="1:33" x14ac:dyDescent="0.25">
      <c r="K27" s="22"/>
    </row>
    <row r="28" spans="1:33" x14ac:dyDescent="0.25">
      <c r="B28" s="656" t="s">
        <v>31</v>
      </c>
      <c r="C28" s="656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</row>
    <row r="29" spans="1:33" ht="15.75" customHeight="1" x14ac:dyDescent="0.25">
      <c r="K29" s="22"/>
    </row>
    <row r="30" spans="1:33" x14ac:dyDescent="0.25">
      <c r="B30" s="656" t="s">
        <v>28</v>
      </c>
      <c r="C30" s="656"/>
      <c r="D30" s="656"/>
      <c r="E30" s="656"/>
      <c r="F30" s="656"/>
      <c r="G30" s="656"/>
      <c r="H30" s="656"/>
      <c r="I30" s="656"/>
      <c r="J30" s="656"/>
      <c r="K30" s="656"/>
      <c r="L30" s="656"/>
      <c r="M30" s="656"/>
      <c r="N30" s="656"/>
      <c r="O30" s="656"/>
    </row>
    <row r="31" spans="1:33" ht="11.25" customHeight="1" x14ac:dyDescent="0.25">
      <c r="B31" s="36"/>
      <c r="C31" s="37"/>
      <c r="D31" s="37"/>
      <c r="E31" s="37"/>
      <c r="F31" s="37"/>
      <c r="G31" s="37"/>
      <c r="H31" s="37"/>
      <c r="I31" s="37"/>
      <c r="J31" s="37"/>
      <c r="K31" s="38"/>
      <c r="L31" s="38"/>
      <c r="M31" s="38"/>
      <c r="N31" s="38"/>
      <c r="O31" s="38"/>
    </row>
    <row r="32" spans="1:33" x14ac:dyDescent="0.25">
      <c r="B32" s="656" t="s">
        <v>32</v>
      </c>
      <c r="C32" s="656"/>
      <c r="D32" s="656"/>
      <c r="E32" s="656"/>
      <c r="F32" s="656"/>
      <c r="G32" s="656"/>
      <c r="H32" s="656"/>
      <c r="I32" s="656"/>
      <c r="J32" s="656"/>
      <c r="K32" s="656"/>
      <c r="L32" s="656"/>
      <c r="M32" s="656"/>
      <c r="N32" s="656"/>
      <c r="O32" s="656"/>
    </row>
    <row r="33" spans="1:15" ht="10.5" customHeight="1" x14ac:dyDescent="0.25">
      <c r="A33" s="71"/>
      <c r="B33" s="72"/>
      <c r="C33" s="71"/>
      <c r="D33" s="71"/>
      <c r="E33" s="71"/>
      <c r="F33" s="71"/>
      <c r="G33" s="71"/>
      <c r="H33" s="71"/>
      <c r="I33" s="71"/>
      <c r="J33" s="71"/>
      <c r="K33" s="73"/>
      <c r="L33" s="73"/>
      <c r="M33" s="73"/>
      <c r="N33" s="73"/>
      <c r="O33" s="73"/>
    </row>
    <row r="34" spans="1:15" x14ac:dyDescent="0.25">
      <c r="A34" s="71"/>
      <c r="B34" s="656" t="s">
        <v>35</v>
      </c>
      <c r="C34" s="656"/>
      <c r="D34" s="656"/>
      <c r="E34" s="656"/>
      <c r="F34" s="656"/>
      <c r="G34" s="656"/>
      <c r="H34" s="656"/>
      <c r="I34" s="656"/>
      <c r="J34" s="656"/>
      <c r="K34" s="656"/>
      <c r="L34" s="656"/>
      <c r="M34" s="656"/>
      <c r="N34" s="656"/>
      <c r="O34" s="656"/>
    </row>
    <row r="35" spans="1:15" x14ac:dyDescent="0.25">
      <c r="A35" s="31"/>
      <c r="B35" s="32"/>
      <c r="C35" s="31"/>
      <c r="D35" s="31"/>
      <c r="E35" s="31"/>
      <c r="F35" s="31"/>
      <c r="G35" s="31"/>
      <c r="H35" s="31"/>
      <c r="I35" s="31"/>
      <c r="J35" s="31"/>
      <c r="K35" s="31"/>
      <c r="L35" s="33"/>
      <c r="M35" s="33"/>
      <c r="N35" s="33"/>
      <c r="O35" s="33"/>
    </row>
    <row r="36" spans="1:15" x14ac:dyDescent="0.25">
      <c r="A36" s="31"/>
      <c r="B36" s="32"/>
      <c r="C36" s="31"/>
      <c r="D36" s="31"/>
      <c r="E36" s="31"/>
      <c r="F36" s="31"/>
      <c r="G36" s="31"/>
      <c r="H36" s="31"/>
      <c r="I36" s="31"/>
      <c r="J36" s="31"/>
      <c r="K36" s="31"/>
      <c r="L36" s="33"/>
      <c r="M36" s="33"/>
      <c r="N36" s="33"/>
      <c r="O36" s="33"/>
    </row>
    <row r="37" spans="1:15" x14ac:dyDescent="0.25">
      <c r="A37" s="31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3"/>
      <c r="M37" s="33"/>
      <c r="N37" s="33"/>
      <c r="O37" s="33"/>
    </row>
    <row r="38" spans="1:15" x14ac:dyDescent="0.25">
      <c r="A38" s="31"/>
      <c r="B38" s="32"/>
      <c r="C38" s="31"/>
      <c r="D38" s="31"/>
      <c r="E38" s="31"/>
      <c r="F38" s="31"/>
      <c r="G38" s="31"/>
      <c r="H38" s="31"/>
      <c r="I38" s="31"/>
      <c r="J38" s="31"/>
      <c r="K38" s="31"/>
      <c r="L38" s="33"/>
      <c r="M38" s="33"/>
      <c r="N38" s="33"/>
      <c r="O38" s="33"/>
    </row>
    <row r="39" spans="1:15" x14ac:dyDescent="0.25">
      <c r="A39" s="31"/>
      <c r="B39" s="32"/>
      <c r="C39" s="31"/>
      <c r="D39" s="31"/>
      <c r="E39" s="31"/>
      <c r="F39" s="31"/>
      <c r="G39" s="31"/>
      <c r="H39" s="31"/>
      <c r="I39" s="31"/>
      <c r="J39" s="31"/>
      <c r="K39" s="31"/>
      <c r="L39" s="33"/>
      <c r="M39" s="33"/>
      <c r="N39" s="33"/>
      <c r="O39" s="33"/>
    </row>
    <row r="40" spans="1:15" x14ac:dyDescent="0.25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33"/>
      <c r="M40" s="33"/>
      <c r="N40" s="33"/>
      <c r="O40" s="33"/>
    </row>
    <row r="41" spans="1:15" x14ac:dyDescent="0.25">
      <c r="A41" s="31"/>
      <c r="B41" s="32"/>
      <c r="C41" s="31"/>
      <c r="D41" s="31"/>
      <c r="E41" s="31"/>
      <c r="F41" s="31"/>
      <c r="G41" s="31"/>
      <c r="H41" s="31"/>
      <c r="I41" s="31"/>
      <c r="J41" s="31"/>
      <c r="K41" s="31"/>
      <c r="L41" s="33"/>
      <c r="M41" s="33"/>
      <c r="N41" s="33"/>
      <c r="O41" s="33"/>
    </row>
    <row r="42" spans="1:15" x14ac:dyDescent="0.25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33"/>
      <c r="M42" s="33"/>
      <c r="N42" s="33"/>
      <c r="O42" s="33"/>
    </row>
    <row r="43" spans="1:15" x14ac:dyDescent="0.25">
      <c r="A43" s="31"/>
      <c r="B43" s="32"/>
      <c r="C43" s="31"/>
      <c r="D43" s="31"/>
      <c r="E43" s="31"/>
      <c r="F43" s="31"/>
      <c r="G43" s="31"/>
      <c r="H43" s="31"/>
      <c r="I43" s="31"/>
      <c r="J43" s="31"/>
      <c r="K43" s="31"/>
      <c r="L43" s="33"/>
      <c r="M43" s="33"/>
      <c r="N43" s="33"/>
      <c r="O43" s="33"/>
    </row>
    <row r="44" spans="1:15" x14ac:dyDescent="0.25">
      <c r="A44" s="31"/>
      <c r="B44" s="32"/>
      <c r="C44" s="31"/>
      <c r="D44" s="31"/>
      <c r="E44" s="31"/>
      <c r="F44" s="31"/>
      <c r="G44" s="31"/>
      <c r="H44" s="31"/>
      <c r="I44" s="31"/>
      <c r="J44" s="31"/>
      <c r="K44" s="31"/>
      <c r="L44" s="33"/>
      <c r="M44" s="33"/>
      <c r="N44" s="33"/>
      <c r="O44" s="33"/>
    </row>
    <row r="45" spans="1:15" x14ac:dyDescent="0.25">
      <c r="A45" s="31"/>
      <c r="B45" s="32"/>
      <c r="C45" s="31"/>
      <c r="D45" s="31"/>
      <c r="E45" s="31"/>
      <c r="F45" s="31"/>
      <c r="G45" s="31"/>
      <c r="H45" s="31"/>
      <c r="I45" s="31"/>
      <c r="J45" s="31"/>
      <c r="K45" s="31"/>
      <c r="L45" s="33"/>
      <c r="M45" s="33"/>
      <c r="N45" s="33"/>
      <c r="O45" s="33"/>
    </row>
    <row r="46" spans="1:15" x14ac:dyDescent="0.25">
      <c r="A46" s="31"/>
      <c r="B46" s="32"/>
      <c r="C46" s="31"/>
      <c r="D46" s="31"/>
      <c r="E46" s="31"/>
      <c r="F46" s="31"/>
      <c r="G46" s="31"/>
      <c r="H46" s="31"/>
      <c r="I46" s="31"/>
      <c r="J46" s="31"/>
      <c r="K46" s="31"/>
      <c r="L46" s="33"/>
      <c r="M46" s="33"/>
      <c r="N46" s="33"/>
      <c r="O46" s="33"/>
    </row>
    <row r="47" spans="1:15" x14ac:dyDescent="0.25">
      <c r="A47" s="31"/>
      <c r="B47" s="32"/>
      <c r="C47" s="31"/>
      <c r="D47" s="31"/>
      <c r="E47" s="31"/>
      <c r="F47" s="31"/>
      <c r="G47" s="31"/>
      <c r="H47" s="31"/>
      <c r="I47" s="31"/>
      <c r="J47" s="31"/>
      <c r="K47" s="31"/>
      <c r="L47" s="33"/>
      <c r="M47" s="33"/>
      <c r="N47" s="33"/>
      <c r="O47" s="33"/>
    </row>
    <row r="48" spans="1:15" x14ac:dyDescent="0.25">
      <c r="A48" s="31"/>
      <c r="B48" s="32"/>
      <c r="C48" s="31"/>
      <c r="D48" s="31"/>
      <c r="E48" s="31"/>
      <c r="F48" s="31"/>
      <c r="G48" s="31"/>
      <c r="H48" s="31"/>
      <c r="I48" s="31"/>
      <c r="J48" s="31"/>
      <c r="K48" s="31"/>
      <c r="L48" s="33"/>
      <c r="M48" s="33"/>
      <c r="N48" s="33"/>
      <c r="O48" s="33"/>
    </row>
    <row r="49" spans="1:15" x14ac:dyDescent="0.25">
      <c r="A49" s="31"/>
      <c r="B49" s="32"/>
      <c r="C49" s="31"/>
      <c r="D49" s="31"/>
      <c r="E49" s="31"/>
      <c r="F49" s="31"/>
      <c r="G49" s="31"/>
      <c r="H49" s="31"/>
      <c r="I49" s="31"/>
      <c r="J49" s="31"/>
      <c r="K49" s="31"/>
      <c r="L49" s="33"/>
      <c r="M49" s="33"/>
      <c r="N49" s="33"/>
      <c r="O49" s="33"/>
    </row>
    <row r="50" spans="1:15" x14ac:dyDescent="0.25">
      <c r="A50" s="31"/>
      <c r="B50" s="32"/>
      <c r="C50" s="31"/>
      <c r="D50" s="31"/>
      <c r="E50" s="31"/>
      <c r="F50" s="31"/>
      <c r="G50" s="31"/>
      <c r="H50" s="31"/>
      <c r="I50" s="31"/>
      <c r="J50" s="31"/>
      <c r="K50" s="31"/>
      <c r="L50" s="33"/>
      <c r="M50" s="33"/>
      <c r="N50" s="33"/>
      <c r="O50" s="33"/>
    </row>
    <row r="51" spans="1:15" x14ac:dyDescent="0.25">
      <c r="A51" s="31"/>
      <c r="B51" s="32"/>
      <c r="C51" s="31"/>
      <c r="D51" s="31"/>
      <c r="E51" s="31"/>
      <c r="F51" s="31"/>
      <c r="G51" s="31"/>
      <c r="H51" s="31"/>
      <c r="I51" s="31"/>
      <c r="J51" s="31"/>
      <c r="K51" s="31"/>
      <c r="L51" s="33"/>
      <c r="M51" s="33"/>
      <c r="N51" s="33"/>
      <c r="O51" s="33"/>
    </row>
    <row r="52" spans="1:15" x14ac:dyDescent="0.25">
      <c r="A52" s="31"/>
      <c r="B52" s="32"/>
      <c r="C52" s="31"/>
      <c r="D52" s="31"/>
      <c r="E52" s="31"/>
      <c r="F52" s="31"/>
      <c r="G52" s="31"/>
      <c r="H52" s="31"/>
      <c r="I52" s="31"/>
      <c r="J52" s="31"/>
      <c r="K52" s="31"/>
      <c r="L52" s="33"/>
      <c r="M52" s="33"/>
      <c r="N52" s="33"/>
      <c r="O52" s="33"/>
    </row>
    <row r="53" spans="1:15" x14ac:dyDescent="0.25">
      <c r="A53" s="31"/>
      <c r="B53" s="32"/>
      <c r="C53" s="31"/>
      <c r="D53" s="31"/>
      <c r="E53" s="31"/>
      <c r="F53" s="31"/>
      <c r="G53" s="31"/>
      <c r="H53" s="31"/>
      <c r="I53" s="31"/>
      <c r="J53" s="31"/>
      <c r="K53" s="31"/>
      <c r="L53" s="33"/>
      <c r="M53" s="33"/>
      <c r="N53" s="33"/>
      <c r="O53" s="33"/>
    </row>
    <row r="234" spans="2:15" x14ac:dyDescent="0.25">
      <c r="K234" s="22"/>
    </row>
    <row r="235" spans="2:15" x14ac:dyDescent="0.25">
      <c r="B235" s="656"/>
      <c r="C235" s="656"/>
      <c r="D235" s="656"/>
      <c r="E235" s="656"/>
      <c r="F235" s="656"/>
      <c r="G235" s="656"/>
      <c r="H235" s="656"/>
      <c r="I235" s="656"/>
      <c r="J235" s="656"/>
      <c r="K235" s="656"/>
      <c r="L235" s="656"/>
      <c r="M235" s="656"/>
      <c r="N235" s="656"/>
      <c r="O235" s="656"/>
    </row>
    <row r="236" spans="2:15" x14ac:dyDescent="0.25">
      <c r="K236" s="22"/>
    </row>
    <row r="237" spans="2:15" x14ac:dyDescent="0.25">
      <c r="B237" s="699"/>
      <c r="C237" s="699"/>
      <c r="D237" s="699"/>
      <c r="E237" s="699"/>
      <c r="F237" s="699"/>
      <c r="G237" s="699"/>
      <c r="H237" s="699"/>
      <c r="I237" s="699"/>
      <c r="J237" s="699"/>
      <c r="K237" s="699"/>
      <c r="L237" s="699"/>
      <c r="M237" s="699"/>
      <c r="N237" s="699"/>
      <c r="O237" s="699"/>
    </row>
    <row r="238" spans="2:15" x14ac:dyDescent="0.25">
      <c r="B238" s="36"/>
      <c r="C238" s="37"/>
      <c r="D238" s="37"/>
      <c r="E238" s="37"/>
      <c r="F238" s="37"/>
      <c r="G238" s="37"/>
      <c r="H238" s="37"/>
      <c r="I238" s="37"/>
      <c r="J238" s="37"/>
      <c r="K238" s="38"/>
      <c r="L238" s="38"/>
      <c r="M238" s="38"/>
      <c r="N238" s="38"/>
      <c r="O238" s="38"/>
    </row>
    <row r="239" spans="2:15" x14ac:dyDescent="0.25">
      <c r="B239" s="656"/>
      <c r="C239" s="656"/>
      <c r="D239" s="656"/>
      <c r="E239" s="656"/>
      <c r="F239" s="656"/>
      <c r="G239" s="656"/>
      <c r="H239" s="656"/>
      <c r="I239" s="656"/>
      <c r="J239" s="656"/>
      <c r="K239" s="656"/>
      <c r="L239" s="656"/>
      <c r="M239" s="656"/>
      <c r="N239" s="656"/>
      <c r="O239" s="656"/>
    </row>
  </sheetData>
  <customSheetViews>
    <customSheetView guid="{A6ED9047-BF5F-4715-989F-6B73F8A8D111}" showGridLines="0" state="veryHidden">
      <selection activeCell="F17" sqref="F17"/>
      <pageMargins left="0.39370078740157483" right="0.39370078740157483" top="1.3385826771653544" bottom="0.74803149606299213" header="0" footer="0"/>
      <pageSetup paperSize="9" orientation="landscape" verticalDpi="0" r:id="rId1"/>
    </customSheetView>
  </customSheetViews>
  <mergeCells count="22">
    <mergeCell ref="B237:O237"/>
    <mergeCell ref="D10:G10"/>
    <mergeCell ref="H9:I9"/>
    <mergeCell ref="H10:I10"/>
    <mergeCell ref="B235:O235"/>
    <mergeCell ref="B34:O34"/>
    <mergeCell ref="F4:J4"/>
    <mergeCell ref="B30:O30"/>
    <mergeCell ref="B239:O239"/>
    <mergeCell ref="A2:O2"/>
    <mergeCell ref="D4:E4"/>
    <mergeCell ref="D5:E5"/>
    <mergeCell ref="D6:E6"/>
    <mergeCell ref="D7:G7"/>
    <mergeCell ref="B28:O28"/>
    <mergeCell ref="H7:I7"/>
    <mergeCell ref="H8:I8"/>
    <mergeCell ref="B32:O32"/>
    <mergeCell ref="F5:J5"/>
    <mergeCell ref="F6:J6"/>
    <mergeCell ref="D8:G8"/>
    <mergeCell ref="D9:G9"/>
  </mergeCells>
  <phoneticPr fontId="0" type="noConversion"/>
  <pageMargins left="0.39370078740157483" right="0.39370078740157483" top="1.3385826771653544" bottom="0.74803149606299213" header="0" footer="0"/>
  <pageSetup paperSize="9" orientation="landscape" verticalDpi="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477"/>
  <sheetViews>
    <sheetView showGridLines="0" topLeftCell="A52" workbookViewId="0">
      <selection activeCell="D20" sqref="D20"/>
    </sheetView>
  </sheetViews>
  <sheetFormatPr defaultColWidth="9.140625" defaultRowHeight="15" x14ac:dyDescent="0.25"/>
  <cols>
    <col min="1" max="1" width="9.140625" style="4" customWidth="1"/>
    <col min="2" max="2" width="3.42578125" style="4" customWidth="1"/>
    <col min="3" max="4" width="14.5703125" style="4" customWidth="1"/>
    <col min="5" max="5" width="16.85546875" style="4" customWidth="1"/>
    <col min="6" max="7" width="3.42578125" style="4" customWidth="1"/>
    <col min="8" max="8" width="11" style="4" bestFit="1" customWidth="1"/>
    <col min="9" max="10" width="6.140625" style="4" bestFit="1" customWidth="1"/>
    <col min="11" max="11" width="10.5703125" style="4" bestFit="1" customWidth="1"/>
    <col min="12" max="12" width="3.42578125" style="4" customWidth="1"/>
    <col min="13" max="16384" width="9.140625" style="4"/>
  </cols>
  <sheetData>
    <row r="1" spans="2:12" ht="15.75" thickBot="1" x14ac:dyDescent="0.3"/>
    <row r="2" spans="2:12" ht="49.5" customHeight="1" x14ac:dyDescent="0.25">
      <c r="B2" s="702" t="s">
        <v>43</v>
      </c>
      <c r="C2" s="703"/>
      <c r="D2" s="703"/>
      <c r="E2" s="703"/>
      <c r="F2" s="704"/>
    </row>
    <row r="3" spans="2:12" x14ac:dyDescent="0.25">
      <c r="B3" s="5"/>
      <c r="C3" s="6"/>
      <c r="D3" s="6"/>
      <c r="E3" s="6"/>
      <c r="F3" s="7"/>
      <c r="G3" s="3"/>
      <c r="H3" s="3"/>
      <c r="I3" s="3"/>
      <c r="J3" s="3"/>
      <c r="K3" s="3"/>
      <c r="L3" s="3"/>
    </row>
    <row r="4" spans="2:12" ht="30" x14ac:dyDescent="0.25">
      <c r="B4" s="5"/>
      <c r="C4" s="101" t="s">
        <v>6</v>
      </c>
      <c r="D4" s="101" t="s">
        <v>54</v>
      </c>
      <c r="E4" s="101" t="s">
        <v>42</v>
      </c>
      <c r="F4" s="7"/>
    </row>
    <row r="5" spans="2:12" x14ac:dyDescent="0.25">
      <c r="B5" s="5"/>
      <c r="C5" s="103">
        <v>42370</v>
      </c>
      <c r="D5" s="102">
        <v>0.13200000000000001</v>
      </c>
      <c r="E5" s="100">
        <f>ROUNDUP(SubsCredSumm*Параметры!H30/12/(1-(1+Параметры!H30/12)^(2-KD_period))*0.95,0)</f>
        <v>8149</v>
      </c>
      <c r="F5" s="7"/>
    </row>
    <row r="6" spans="2:12" x14ac:dyDescent="0.25">
      <c r="B6" s="5"/>
      <c r="C6" s="103">
        <v>42401</v>
      </c>
      <c r="D6" s="102">
        <v>0.13200000000000001</v>
      </c>
      <c r="E6" s="100">
        <f>E5</f>
        <v>8149</v>
      </c>
      <c r="F6" s="7"/>
    </row>
    <row r="7" spans="2:12" x14ac:dyDescent="0.25">
      <c r="B7" s="5"/>
      <c r="C7" s="103">
        <v>42430</v>
      </c>
      <c r="D7" s="102">
        <v>0.13200000000000001</v>
      </c>
      <c r="E7" s="100">
        <f t="shared" ref="E7:E70" si="0">E6</f>
        <v>8149</v>
      </c>
      <c r="F7" s="7"/>
    </row>
    <row r="8" spans="2:12" x14ac:dyDescent="0.25">
      <c r="B8" s="5"/>
      <c r="C8" s="103">
        <v>42461</v>
      </c>
      <c r="D8" s="102">
        <v>0.14410000000000001</v>
      </c>
      <c r="E8" s="100">
        <f t="shared" si="0"/>
        <v>8149</v>
      </c>
      <c r="F8" s="7"/>
    </row>
    <row r="9" spans="2:12" x14ac:dyDescent="0.25">
      <c r="B9" s="5"/>
      <c r="C9" s="103">
        <v>42491</v>
      </c>
      <c r="D9" s="102">
        <v>0.14410000000000001</v>
      </c>
      <c r="E9" s="100">
        <f t="shared" si="0"/>
        <v>8149</v>
      </c>
      <c r="F9" s="7"/>
    </row>
    <row r="10" spans="2:12" x14ac:dyDescent="0.25">
      <c r="B10" s="5"/>
      <c r="C10" s="103">
        <v>42522</v>
      </c>
      <c r="D10" s="102">
        <v>0.14410000000000001</v>
      </c>
      <c r="E10" s="100">
        <f t="shared" si="0"/>
        <v>8149</v>
      </c>
      <c r="F10" s="7"/>
    </row>
    <row r="11" spans="2:12" x14ac:dyDescent="0.25">
      <c r="B11" s="5"/>
      <c r="C11" s="103">
        <v>42552</v>
      </c>
      <c r="D11" s="102">
        <v>0.1016</v>
      </c>
      <c r="E11" s="100">
        <f t="shared" si="0"/>
        <v>8149</v>
      </c>
      <c r="F11" s="7"/>
    </row>
    <row r="12" spans="2:12" x14ac:dyDescent="0.25">
      <c r="B12" s="5"/>
      <c r="C12" s="103">
        <v>42583</v>
      </c>
      <c r="D12" s="102">
        <v>0.1016</v>
      </c>
      <c r="E12" s="100">
        <f t="shared" si="0"/>
        <v>8149</v>
      </c>
      <c r="F12" s="7"/>
    </row>
    <row r="13" spans="2:12" x14ac:dyDescent="0.25">
      <c r="B13" s="5"/>
      <c r="C13" s="103">
        <v>42614</v>
      </c>
      <c r="D13" s="102">
        <v>0.1016</v>
      </c>
      <c r="E13" s="100">
        <f t="shared" si="0"/>
        <v>8149</v>
      </c>
      <c r="F13" s="7"/>
    </row>
    <row r="14" spans="2:12" x14ac:dyDescent="0.25">
      <c r="B14" s="5"/>
      <c r="C14" s="103">
        <v>42644</v>
      </c>
      <c r="D14" s="102">
        <v>8.5500000000000007E-2</v>
      </c>
      <c r="E14" s="100">
        <f t="shared" si="0"/>
        <v>8149</v>
      </c>
      <c r="F14" s="7"/>
    </row>
    <row r="15" spans="2:12" x14ac:dyDescent="0.25">
      <c r="B15" s="5"/>
      <c r="C15" s="103">
        <v>42675</v>
      </c>
      <c r="D15" s="102">
        <v>8.5500000000000007E-2</v>
      </c>
      <c r="E15" s="100">
        <f t="shared" si="0"/>
        <v>8149</v>
      </c>
      <c r="F15" s="7"/>
    </row>
    <row r="16" spans="2:12" x14ac:dyDescent="0.25">
      <c r="B16" s="5"/>
      <c r="C16" s="103">
        <v>42705</v>
      </c>
      <c r="D16" s="102">
        <v>8.5500000000000007E-2</v>
      </c>
      <c r="E16" s="100">
        <f t="shared" si="0"/>
        <v>8149</v>
      </c>
      <c r="F16" s="7"/>
    </row>
    <row r="17" spans="2:6" x14ac:dyDescent="0.25">
      <c r="B17" s="5"/>
      <c r="C17" s="103">
        <v>42736</v>
      </c>
      <c r="D17" s="102">
        <v>8.8999999999999996E-2</v>
      </c>
      <c r="E17" s="100">
        <f t="shared" si="0"/>
        <v>8149</v>
      </c>
      <c r="F17" s="7"/>
    </row>
    <row r="18" spans="2:6" x14ac:dyDescent="0.25">
      <c r="B18" s="5"/>
      <c r="C18" s="103">
        <v>42767</v>
      </c>
      <c r="D18" s="102">
        <v>8.8999999999999996E-2</v>
      </c>
      <c r="E18" s="100">
        <f t="shared" si="0"/>
        <v>8149</v>
      </c>
      <c r="F18" s="7"/>
    </row>
    <row r="19" spans="2:6" x14ac:dyDescent="0.25">
      <c r="B19" s="5"/>
      <c r="C19" s="103">
        <v>42795</v>
      </c>
      <c r="D19" s="102">
        <v>8.8999999999999996E-2</v>
      </c>
      <c r="E19" s="100">
        <f t="shared" si="0"/>
        <v>8149</v>
      </c>
      <c r="F19" s="7"/>
    </row>
    <row r="20" spans="2:6" x14ac:dyDescent="0.25">
      <c r="B20" s="5"/>
      <c r="C20" s="103">
        <v>42826</v>
      </c>
      <c r="D20" s="102">
        <v>8.8999999999999996E-2</v>
      </c>
      <c r="E20" s="100">
        <f t="shared" si="0"/>
        <v>8149</v>
      </c>
      <c r="F20" s="7"/>
    </row>
    <row r="21" spans="2:6" x14ac:dyDescent="0.25">
      <c r="B21" s="5"/>
      <c r="C21" s="103">
        <v>42856</v>
      </c>
      <c r="D21" s="102">
        <v>8.8999999999999996E-2</v>
      </c>
      <c r="E21" s="100">
        <f t="shared" si="0"/>
        <v>8149</v>
      </c>
      <c r="F21" s="7"/>
    </row>
    <row r="22" spans="2:6" x14ac:dyDescent="0.25">
      <c r="B22" s="5"/>
      <c r="C22" s="103">
        <v>42887</v>
      </c>
      <c r="D22" s="102">
        <v>8.8999999999999996E-2</v>
      </c>
      <c r="E22" s="100">
        <f t="shared" si="0"/>
        <v>8149</v>
      </c>
      <c r="F22" s="7"/>
    </row>
    <row r="23" spans="2:6" x14ac:dyDescent="0.25">
      <c r="B23" s="5"/>
      <c r="C23" s="103">
        <v>42917</v>
      </c>
      <c r="D23" s="102">
        <v>8.8999999999999996E-2</v>
      </c>
      <c r="E23" s="100">
        <f t="shared" si="0"/>
        <v>8149</v>
      </c>
      <c r="F23" s="7"/>
    </row>
    <row r="24" spans="2:6" x14ac:dyDescent="0.25">
      <c r="B24" s="5"/>
      <c r="C24" s="103">
        <v>42948</v>
      </c>
      <c r="D24" s="102">
        <v>8.8999999999999996E-2</v>
      </c>
      <c r="E24" s="100">
        <f t="shared" si="0"/>
        <v>8149</v>
      </c>
      <c r="F24" s="7"/>
    </row>
    <row r="25" spans="2:6" x14ac:dyDescent="0.25">
      <c r="B25" s="5"/>
      <c r="C25" s="103">
        <v>42979</v>
      </c>
      <c r="D25" s="102">
        <v>8.8999999999999996E-2</v>
      </c>
      <c r="E25" s="100">
        <f t="shared" si="0"/>
        <v>8149</v>
      </c>
      <c r="F25" s="7"/>
    </row>
    <row r="26" spans="2:6" x14ac:dyDescent="0.25">
      <c r="B26" s="5"/>
      <c r="C26" s="103">
        <v>43009</v>
      </c>
      <c r="D26" s="102">
        <v>8.8999999999999996E-2</v>
      </c>
      <c r="E26" s="100">
        <f t="shared" si="0"/>
        <v>8149</v>
      </c>
      <c r="F26" s="7"/>
    </row>
    <row r="27" spans="2:6" x14ac:dyDescent="0.25">
      <c r="B27" s="5"/>
      <c r="C27" s="103">
        <v>43040</v>
      </c>
      <c r="D27" s="102">
        <v>8.8999999999999996E-2</v>
      </c>
      <c r="E27" s="100">
        <f t="shared" si="0"/>
        <v>8149</v>
      </c>
      <c r="F27" s="7"/>
    </row>
    <row r="28" spans="2:6" x14ac:dyDescent="0.25">
      <c r="B28" s="5"/>
      <c r="C28" s="103">
        <v>43070</v>
      </c>
      <c r="D28" s="102">
        <v>8.8999999999999996E-2</v>
      </c>
      <c r="E28" s="100">
        <f t="shared" si="0"/>
        <v>8149</v>
      </c>
      <c r="F28" s="7"/>
    </row>
    <row r="29" spans="2:6" x14ac:dyDescent="0.25">
      <c r="B29" s="5"/>
      <c r="C29" s="103">
        <v>43101</v>
      </c>
      <c r="D29" s="102">
        <v>8.8999999999999996E-2</v>
      </c>
      <c r="E29" s="100">
        <f t="shared" si="0"/>
        <v>8149</v>
      </c>
      <c r="F29" s="7"/>
    </row>
    <row r="30" spans="2:6" x14ac:dyDescent="0.25">
      <c r="B30" s="5"/>
      <c r="C30" s="103">
        <v>43132</v>
      </c>
      <c r="D30" s="102">
        <v>8.8999999999999996E-2</v>
      </c>
      <c r="E30" s="100">
        <f t="shared" si="0"/>
        <v>8149</v>
      </c>
      <c r="F30" s="7"/>
    </row>
    <row r="31" spans="2:6" x14ac:dyDescent="0.25">
      <c r="B31" s="5"/>
      <c r="C31" s="103">
        <v>43160</v>
      </c>
      <c r="D31" s="102">
        <v>8.8999999999999996E-2</v>
      </c>
      <c r="E31" s="100">
        <f t="shared" si="0"/>
        <v>8149</v>
      </c>
      <c r="F31" s="7"/>
    </row>
    <row r="32" spans="2:6" x14ac:dyDescent="0.25">
      <c r="B32" s="5"/>
      <c r="C32" s="103">
        <v>43191</v>
      </c>
      <c r="D32" s="102">
        <v>8.8999999999999996E-2</v>
      </c>
      <c r="E32" s="100">
        <f t="shared" si="0"/>
        <v>8149</v>
      </c>
      <c r="F32" s="7"/>
    </row>
    <row r="33" spans="2:6" x14ac:dyDescent="0.25">
      <c r="B33" s="5"/>
      <c r="C33" s="103">
        <v>43221</v>
      </c>
      <c r="D33" s="102">
        <v>8.8999999999999996E-2</v>
      </c>
      <c r="E33" s="100">
        <f t="shared" si="0"/>
        <v>8149</v>
      </c>
      <c r="F33" s="7"/>
    </row>
    <row r="34" spans="2:6" x14ac:dyDescent="0.25">
      <c r="B34" s="5"/>
      <c r="C34" s="103">
        <v>43252</v>
      </c>
      <c r="D34" s="102">
        <v>8.8999999999999996E-2</v>
      </c>
      <c r="E34" s="100">
        <f t="shared" si="0"/>
        <v>8149</v>
      </c>
      <c r="F34" s="7"/>
    </row>
    <row r="35" spans="2:6" x14ac:dyDescent="0.25">
      <c r="B35" s="5"/>
      <c r="C35" s="103">
        <v>43282</v>
      </c>
      <c r="D35" s="102">
        <v>8.8999999999999996E-2</v>
      </c>
      <c r="E35" s="100">
        <f t="shared" si="0"/>
        <v>8149</v>
      </c>
      <c r="F35" s="7"/>
    </row>
    <row r="36" spans="2:6" x14ac:dyDescent="0.25">
      <c r="B36" s="5"/>
      <c r="C36" s="103">
        <v>43313</v>
      </c>
      <c r="D36" s="102">
        <v>8.8999999999999996E-2</v>
      </c>
      <c r="E36" s="100">
        <f t="shared" si="0"/>
        <v>8149</v>
      </c>
      <c r="F36" s="7"/>
    </row>
    <row r="37" spans="2:6" x14ac:dyDescent="0.25">
      <c r="B37" s="5"/>
      <c r="C37" s="103">
        <v>43344</v>
      </c>
      <c r="D37" s="102">
        <v>8.8999999999999996E-2</v>
      </c>
      <c r="E37" s="100">
        <f t="shared" si="0"/>
        <v>8149</v>
      </c>
      <c r="F37" s="7"/>
    </row>
    <row r="38" spans="2:6" x14ac:dyDescent="0.25">
      <c r="B38" s="5"/>
      <c r="C38" s="103">
        <v>43374</v>
      </c>
      <c r="D38" s="102">
        <v>8.8999999999999996E-2</v>
      </c>
      <c r="E38" s="100">
        <f t="shared" si="0"/>
        <v>8149</v>
      </c>
      <c r="F38" s="7"/>
    </row>
    <row r="39" spans="2:6" x14ac:dyDescent="0.25">
      <c r="B39" s="5"/>
      <c r="C39" s="103">
        <v>43405</v>
      </c>
      <c r="D39" s="102">
        <v>8.8999999999999996E-2</v>
      </c>
      <c r="E39" s="100">
        <f t="shared" si="0"/>
        <v>8149</v>
      </c>
      <c r="F39" s="7"/>
    </row>
    <row r="40" spans="2:6" x14ac:dyDescent="0.25">
      <c r="B40" s="5"/>
      <c r="C40" s="103">
        <v>43435</v>
      </c>
      <c r="D40" s="102">
        <v>8.8999999999999996E-2</v>
      </c>
      <c r="E40" s="100">
        <f t="shared" si="0"/>
        <v>8149</v>
      </c>
      <c r="F40" s="7"/>
    </row>
    <row r="41" spans="2:6" x14ac:dyDescent="0.25">
      <c r="B41" s="5"/>
      <c r="C41" s="103">
        <v>43466</v>
      </c>
      <c r="D41" s="102">
        <v>8.8999999999999996E-2</v>
      </c>
      <c r="E41" s="100">
        <f t="shared" si="0"/>
        <v>8149</v>
      </c>
      <c r="F41" s="7"/>
    </row>
    <row r="42" spans="2:6" x14ac:dyDescent="0.25">
      <c r="B42" s="5"/>
      <c r="C42" s="103">
        <v>43497</v>
      </c>
      <c r="D42" s="102">
        <v>8.8999999999999996E-2</v>
      </c>
      <c r="E42" s="100">
        <f t="shared" si="0"/>
        <v>8149</v>
      </c>
      <c r="F42" s="7"/>
    </row>
    <row r="43" spans="2:6" x14ac:dyDescent="0.25">
      <c r="B43" s="5"/>
      <c r="C43" s="103">
        <v>43525</v>
      </c>
      <c r="D43" s="102">
        <v>8.8999999999999996E-2</v>
      </c>
      <c r="E43" s="100">
        <f t="shared" si="0"/>
        <v>8149</v>
      </c>
      <c r="F43" s="7"/>
    </row>
    <row r="44" spans="2:6" x14ac:dyDescent="0.25">
      <c r="B44" s="5"/>
      <c r="C44" s="103">
        <v>43556</v>
      </c>
      <c r="D44" s="102">
        <v>8.8999999999999996E-2</v>
      </c>
      <c r="E44" s="100">
        <f t="shared" si="0"/>
        <v>8149</v>
      </c>
      <c r="F44" s="7"/>
    </row>
    <row r="45" spans="2:6" x14ac:dyDescent="0.25">
      <c r="B45" s="5"/>
      <c r="C45" s="103">
        <v>43586</v>
      </c>
      <c r="D45" s="102">
        <v>8.8999999999999996E-2</v>
      </c>
      <c r="E45" s="100">
        <f t="shared" si="0"/>
        <v>8149</v>
      </c>
      <c r="F45" s="7"/>
    </row>
    <row r="46" spans="2:6" x14ac:dyDescent="0.25">
      <c r="B46" s="5"/>
      <c r="C46" s="103">
        <v>43617</v>
      </c>
      <c r="D46" s="102">
        <v>8.8999999999999996E-2</v>
      </c>
      <c r="E46" s="100">
        <f t="shared" si="0"/>
        <v>8149</v>
      </c>
      <c r="F46" s="7"/>
    </row>
    <row r="47" spans="2:6" x14ac:dyDescent="0.25">
      <c r="B47" s="5"/>
      <c r="C47" s="103">
        <v>43647</v>
      </c>
      <c r="D47" s="102">
        <v>8.8999999999999996E-2</v>
      </c>
      <c r="E47" s="100">
        <f t="shared" si="0"/>
        <v>8149</v>
      </c>
      <c r="F47" s="7"/>
    </row>
    <row r="48" spans="2:6" x14ac:dyDescent="0.25">
      <c r="B48" s="5"/>
      <c r="C48" s="103">
        <v>43678</v>
      </c>
      <c r="D48" s="102">
        <v>8.8999999999999996E-2</v>
      </c>
      <c r="E48" s="100">
        <f t="shared" si="0"/>
        <v>8149</v>
      </c>
      <c r="F48" s="7"/>
    </row>
    <row r="49" spans="2:6" x14ac:dyDescent="0.25">
      <c r="B49" s="5"/>
      <c r="C49" s="103">
        <v>43709</v>
      </c>
      <c r="D49" s="102">
        <v>8.8999999999999996E-2</v>
      </c>
      <c r="E49" s="100">
        <f t="shared" si="0"/>
        <v>8149</v>
      </c>
      <c r="F49" s="7"/>
    </row>
    <row r="50" spans="2:6" x14ac:dyDescent="0.25">
      <c r="B50" s="5"/>
      <c r="C50" s="103">
        <v>43739</v>
      </c>
      <c r="D50" s="102">
        <v>8.8999999999999996E-2</v>
      </c>
      <c r="E50" s="100">
        <f t="shared" si="0"/>
        <v>8149</v>
      </c>
      <c r="F50" s="7"/>
    </row>
    <row r="51" spans="2:6" x14ac:dyDescent="0.25">
      <c r="B51" s="5"/>
      <c r="C51" s="103">
        <v>43770</v>
      </c>
      <c r="D51" s="102">
        <v>8.8999999999999996E-2</v>
      </c>
      <c r="E51" s="100">
        <f t="shared" si="0"/>
        <v>8149</v>
      </c>
      <c r="F51" s="7"/>
    </row>
    <row r="52" spans="2:6" x14ac:dyDescent="0.25">
      <c r="B52" s="5"/>
      <c r="C52" s="103">
        <v>43800</v>
      </c>
      <c r="D52" s="102">
        <v>8.8999999999999996E-2</v>
      </c>
      <c r="E52" s="100">
        <f t="shared" si="0"/>
        <v>8149</v>
      </c>
      <c r="F52" s="7"/>
    </row>
    <row r="53" spans="2:6" x14ac:dyDescent="0.25">
      <c r="B53" s="5"/>
      <c r="C53" s="103">
        <v>43831</v>
      </c>
      <c r="D53" s="102">
        <v>8.8999999999999996E-2</v>
      </c>
      <c r="E53" s="100">
        <f t="shared" si="0"/>
        <v>8149</v>
      </c>
      <c r="F53" s="7"/>
    </row>
    <row r="54" spans="2:6" x14ac:dyDescent="0.25">
      <c r="B54" s="5"/>
      <c r="C54" s="103">
        <v>43862</v>
      </c>
      <c r="D54" s="102">
        <v>8.8999999999999996E-2</v>
      </c>
      <c r="E54" s="100">
        <f t="shared" si="0"/>
        <v>8149</v>
      </c>
      <c r="F54" s="7"/>
    </row>
    <row r="55" spans="2:6" x14ac:dyDescent="0.25">
      <c r="B55" s="5"/>
      <c r="C55" s="103">
        <v>43891</v>
      </c>
      <c r="D55" s="102">
        <v>8.8999999999999996E-2</v>
      </c>
      <c r="E55" s="100">
        <f t="shared" si="0"/>
        <v>8149</v>
      </c>
      <c r="F55" s="7"/>
    </row>
    <row r="56" spans="2:6" x14ac:dyDescent="0.25">
      <c r="B56" s="5"/>
      <c r="C56" s="103">
        <v>43922</v>
      </c>
      <c r="D56" s="102">
        <v>8.8999999999999996E-2</v>
      </c>
      <c r="E56" s="100">
        <f t="shared" si="0"/>
        <v>8149</v>
      </c>
      <c r="F56" s="7"/>
    </row>
    <row r="57" spans="2:6" x14ac:dyDescent="0.25">
      <c r="B57" s="5"/>
      <c r="C57" s="103">
        <v>43952</v>
      </c>
      <c r="D57" s="102">
        <v>8.8999999999999996E-2</v>
      </c>
      <c r="E57" s="100">
        <f t="shared" si="0"/>
        <v>8149</v>
      </c>
      <c r="F57" s="7"/>
    </row>
    <row r="58" spans="2:6" x14ac:dyDescent="0.25">
      <c r="B58" s="5"/>
      <c r="C58" s="103">
        <v>43983</v>
      </c>
      <c r="D58" s="102">
        <v>8.8999999999999996E-2</v>
      </c>
      <c r="E58" s="100">
        <f t="shared" si="0"/>
        <v>8149</v>
      </c>
      <c r="F58" s="7"/>
    </row>
    <row r="59" spans="2:6" x14ac:dyDescent="0.25">
      <c r="B59" s="5"/>
      <c r="C59" s="103">
        <v>44013</v>
      </c>
      <c r="D59" s="102">
        <v>8.8999999999999996E-2</v>
      </c>
      <c r="E59" s="100">
        <f t="shared" si="0"/>
        <v>8149</v>
      </c>
      <c r="F59" s="7"/>
    </row>
    <row r="60" spans="2:6" x14ac:dyDescent="0.25">
      <c r="B60" s="5"/>
      <c r="C60" s="103">
        <v>44044</v>
      </c>
      <c r="D60" s="102">
        <v>8.8999999999999996E-2</v>
      </c>
      <c r="E60" s="100">
        <f t="shared" si="0"/>
        <v>8149</v>
      </c>
      <c r="F60" s="7"/>
    </row>
    <row r="61" spans="2:6" x14ac:dyDescent="0.25">
      <c r="B61" s="5"/>
      <c r="C61" s="103">
        <v>44075</v>
      </c>
      <c r="D61" s="102">
        <v>8.8999999999999996E-2</v>
      </c>
      <c r="E61" s="100">
        <f t="shared" si="0"/>
        <v>8149</v>
      </c>
      <c r="F61" s="7"/>
    </row>
    <row r="62" spans="2:6" x14ac:dyDescent="0.25">
      <c r="B62" s="5"/>
      <c r="C62" s="103">
        <v>44105</v>
      </c>
      <c r="D62" s="102">
        <v>8.8999999999999996E-2</v>
      </c>
      <c r="E62" s="100">
        <f t="shared" si="0"/>
        <v>8149</v>
      </c>
      <c r="F62" s="7"/>
    </row>
    <row r="63" spans="2:6" x14ac:dyDescent="0.25">
      <c r="B63" s="5"/>
      <c r="C63" s="103">
        <v>44136</v>
      </c>
      <c r="D63" s="102">
        <v>8.8999999999999996E-2</v>
      </c>
      <c r="E63" s="100">
        <f t="shared" si="0"/>
        <v>8149</v>
      </c>
      <c r="F63" s="7"/>
    </row>
    <row r="64" spans="2:6" x14ac:dyDescent="0.25">
      <c r="B64" s="5"/>
      <c r="C64" s="103">
        <v>44166</v>
      </c>
      <c r="D64" s="102">
        <v>8.8999999999999996E-2</v>
      </c>
      <c r="E64" s="100">
        <f t="shared" si="0"/>
        <v>8149</v>
      </c>
      <c r="F64" s="7"/>
    </row>
    <row r="65" spans="2:6" x14ac:dyDescent="0.25">
      <c r="B65" s="5"/>
      <c r="C65" s="103">
        <v>44197</v>
      </c>
      <c r="D65" s="102">
        <v>8.8999999999999996E-2</v>
      </c>
      <c r="E65" s="100">
        <f t="shared" si="0"/>
        <v>8149</v>
      </c>
      <c r="F65" s="7"/>
    </row>
    <row r="66" spans="2:6" x14ac:dyDescent="0.25">
      <c r="B66" s="5"/>
      <c r="C66" s="103">
        <v>44228</v>
      </c>
      <c r="D66" s="102">
        <v>8.8999999999999996E-2</v>
      </c>
      <c r="E66" s="100">
        <f t="shared" si="0"/>
        <v>8149</v>
      </c>
      <c r="F66" s="7"/>
    </row>
    <row r="67" spans="2:6" x14ac:dyDescent="0.25">
      <c r="B67" s="5"/>
      <c r="C67" s="103">
        <v>44256</v>
      </c>
      <c r="D67" s="102">
        <v>8.8999999999999996E-2</v>
      </c>
      <c r="E67" s="100">
        <f t="shared" si="0"/>
        <v>8149</v>
      </c>
      <c r="F67" s="7"/>
    </row>
    <row r="68" spans="2:6" x14ac:dyDescent="0.25">
      <c r="B68" s="5"/>
      <c r="C68" s="103">
        <v>44287</v>
      </c>
      <c r="D68" s="102">
        <v>8.8999999999999996E-2</v>
      </c>
      <c r="E68" s="100">
        <f t="shared" si="0"/>
        <v>8149</v>
      </c>
      <c r="F68" s="7"/>
    </row>
    <row r="69" spans="2:6" x14ac:dyDescent="0.25">
      <c r="B69" s="5"/>
      <c r="C69" s="103">
        <v>44317</v>
      </c>
      <c r="D69" s="102">
        <v>8.8999999999999996E-2</v>
      </c>
      <c r="E69" s="100">
        <f t="shared" si="0"/>
        <v>8149</v>
      </c>
      <c r="F69" s="7"/>
    </row>
    <row r="70" spans="2:6" x14ac:dyDescent="0.25">
      <c r="B70" s="5"/>
      <c r="C70" s="103">
        <v>44348</v>
      </c>
      <c r="D70" s="102">
        <v>8.8999999999999996E-2</v>
      </c>
      <c r="E70" s="100">
        <f t="shared" si="0"/>
        <v>8149</v>
      </c>
      <c r="F70" s="7"/>
    </row>
    <row r="71" spans="2:6" x14ac:dyDescent="0.25">
      <c r="B71" s="5"/>
      <c r="C71" s="103">
        <v>44378</v>
      </c>
      <c r="D71" s="102">
        <v>8.8999999999999996E-2</v>
      </c>
      <c r="E71" s="100">
        <f t="shared" ref="E71:E134" si="1">E70</f>
        <v>8149</v>
      </c>
      <c r="F71" s="7"/>
    </row>
    <row r="72" spans="2:6" x14ac:dyDescent="0.25">
      <c r="B72" s="5"/>
      <c r="C72" s="103">
        <v>44409</v>
      </c>
      <c r="D72" s="102">
        <v>8.8999999999999996E-2</v>
      </c>
      <c r="E72" s="100">
        <f t="shared" si="1"/>
        <v>8149</v>
      </c>
      <c r="F72" s="7"/>
    </row>
    <row r="73" spans="2:6" x14ac:dyDescent="0.25">
      <c r="B73" s="5"/>
      <c r="C73" s="103">
        <v>44440</v>
      </c>
      <c r="D73" s="102">
        <v>8.8999999999999996E-2</v>
      </c>
      <c r="E73" s="100">
        <f t="shared" si="1"/>
        <v>8149</v>
      </c>
      <c r="F73" s="7"/>
    </row>
    <row r="74" spans="2:6" x14ac:dyDescent="0.25">
      <c r="B74" s="5"/>
      <c r="C74" s="103">
        <v>44470</v>
      </c>
      <c r="D74" s="102">
        <v>8.8999999999999996E-2</v>
      </c>
      <c r="E74" s="100">
        <f t="shared" si="1"/>
        <v>8149</v>
      </c>
      <c r="F74" s="7"/>
    </row>
    <row r="75" spans="2:6" x14ac:dyDescent="0.25">
      <c r="B75" s="5"/>
      <c r="C75" s="103">
        <v>44501</v>
      </c>
      <c r="D75" s="102">
        <v>8.8999999999999996E-2</v>
      </c>
      <c r="E75" s="100">
        <f t="shared" si="1"/>
        <v>8149</v>
      </c>
      <c r="F75" s="7"/>
    </row>
    <row r="76" spans="2:6" x14ac:dyDescent="0.25">
      <c r="B76" s="5"/>
      <c r="C76" s="103">
        <v>44531</v>
      </c>
      <c r="D76" s="102">
        <v>8.8999999999999996E-2</v>
      </c>
      <c r="E76" s="100">
        <f t="shared" si="1"/>
        <v>8149</v>
      </c>
      <c r="F76" s="7"/>
    </row>
    <row r="77" spans="2:6" x14ac:dyDescent="0.25">
      <c r="B77" s="5"/>
      <c r="C77" s="103">
        <v>44562</v>
      </c>
      <c r="D77" s="102">
        <v>8.8999999999999996E-2</v>
      </c>
      <c r="E77" s="100">
        <f t="shared" si="1"/>
        <v>8149</v>
      </c>
      <c r="F77" s="7"/>
    </row>
    <row r="78" spans="2:6" x14ac:dyDescent="0.25">
      <c r="B78" s="5"/>
      <c r="C78" s="103">
        <v>44593</v>
      </c>
      <c r="D78" s="102">
        <v>8.8999999999999996E-2</v>
      </c>
      <c r="E78" s="100">
        <f t="shared" si="1"/>
        <v>8149</v>
      </c>
      <c r="F78" s="7"/>
    </row>
    <row r="79" spans="2:6" x14ac:dyDescent="0.25">
      <c r="B79" s="5"/>
      <c r="C79" s="103">
        <v>44621</v>
      </c>
      <c r="D79" s="102">
        <v>8.8999999999999996E-2</v>
      </c>
      <c r="E79" s="100">
        <f t="shared" si="1"/>
        <v>8149</v>
      </c>
      <c r="F79" s="7"/>
    </row>
    <row r="80" spans="2:6" x14ac:dyDescent="0.25">
      <c r="B80" s="5"/>
      <c r="C80" s="103">
        <v>44652</v>
      </c>
      <c r="D80" s="102">
        <v>8.8999999999999996E-2</v>
      </c>
      <c r="E80" s="100">
        <f t="shared" si="1"/>
        <v>8149</v>
      </c>
      <c r="F80" s="7"/>
    </row>
    <row r="81" spans="2:6" x14ac:dyDescent="0.25">
      <c r="B81" s="5"/>
      <c r="C81" s="103">
        <v>44682</v>
      </c>
      <c r="D81" s="102">
        <v>8.8999999999999996E-2</v>
      </c>
      <c r="E81" s="100">
        <f t="shared" si="1"/>
        <v>8149</v>
      </c>
      <c r="F81" s="7"/>
    </row>
    <row r="82" spans="2:6" x14ac:dyDescent="0.25">
      <c r="B82" s="5"/>
      <c r="C82" s="103">
        <v>44713</v>
      </c>
      <c r="D82" s="102">
        <v>8.8999999999999996E-2</v>
      </c>
      <c r="E82" s="100">
        <f t="shared" si="1"/>
        <v>8149</v>
      </c>
      <c r="F82" s="7"/>
    </row>
    <row r="83" spans="2:6" x14ac:dyDescent="0.25">
      <c r="B83" s="5"/>
      <c r="C83" s="103">
        <v>44743</v>
      </c>
      <c r="D83" s="102">
        <v>8.8999999999999996E-2</v>
      </c>
      <c r="E83" s="100">
        <f t="shared" si="1"/>
        <v>8149</v>
      </c>
      <c r="F83" s="7"/>
    </row>
    <row r="84" spans="2:6" x14ac:dyDescent="0.25">
      <c r="B84" s="5"/>
      <c r="C84" s="103">
        <v>44774</v>
      </c>
      <c r="D84" s="102">
        <v>8.8999999999999996E-2</v>
      </c>
      <c r="E84" s="100">
        <f t="shared" si="1"/>
        <v>8149</v>
      </c>
      <c r="F84" s="7"/>
    </row>
    <row r="85" spans="2:6" x14ac:dyDescent="0.25">
      <c r="B85" s="5"/>
      <c r="C85" s="103">
        <v>44805</v>
      </c>
      <c r="D85" s="102">
        <v>8.8999999999999996E-2</v>
      </c>
      <c r="E85" s="100">
        <f t="shared" si="1"/>
        <v>8149</v>
      </c>
      <c r="F85" s="7"/>
    </row>
    <row r="86" spans="2:6" x14ac:dyDescent="0.25">
      <c r="B86" s="5"/>
      <c r="C86" s="103">
        <v>44835</v>
      </c>
      <c r="D86" s="102">
        <v>8.8999999999999996E-2</v>
      </c>
      <c r="E86" s="100">
        <f t="shared" si="1"/>
        <v>8149</v>
      </c>
      <c r="F86" s="7"/>
    </row>
    <row r="87" spans="2:6" x14ac:dyDescent="0.25">
      <c r="B87" s="5"/>
      <c r="C87" s="103">
        <v>44866</v>
      </c>
      <c r="D87" s="102">
        <v>8.8999999999999996E-2</v>
      </c>
      <c r="E87" s="100">
        <f t="shared" si="1"/>
        <v>8149</v>
      </c>
      <c r="F87" s="7"/>
    </row>
    <row r="88" spans="2:6" x14ac:dyDescent="0.25">
      <c r="B88" s="5"/>
      <c r="C88" s="103">
        <v>44896</v>
      </c>
      <c r="D88" s="102">
        <v>8.8999999999999996E-2</v>
      </c>
      <c r="E88" s="100">
        <f t="shared" si="1"/>
        <v>8149</v>
      </c>
      <c r="F88" s="7"/>
    </row>
    <row r="89" spans="2:6" x14ac:dyDescent="0.25">
      <c r="B89" s="5"/>
      <c r="C89" s="103">
        <v>44927</v>
      </c>
      <c r="D89" s="102">
        <v>8.8999999999999996E-2</v>
      </c>
      <c r="E89" s="100">
        <f t="shared" si="1"/>
        <v>8149</v>
      </c>
      <c r="F89" s="7"/>
    </row>
    <row r="90" spans="2:6" x14ac:dyDescent="0.25">
      <c r="B90" s="5"/>
      <c r="C90" s="103">
        <v>44958</v>
      </c>
      <c r="D90" s="102">
        <v>8.8999999999999996E-2</v>
      </c>
      <c r="E90" s="100">
        <f t="shared" si="1"/>
        <v>8149</v>
      </c>
      <c r="F90" s="7"/>
    </row>
    <row r="91" spans="2:6" x14ac:dyDescent="0.25">
      <c r="B91" s="5"/>
      <c r="C91" s="103">
        <v>44986</v>
      </c>
      <c r="D91" s="102">
        <v>8.8999999999999996E-2</v>
      </c>
      <c r="E91" s="100">
        <f t="shared" si="1"/>
        <v>8149</v>
      </c>
      <c r="F91" s="7"/>
    </row>
    <row r="92" spans="2:6" x14ac:dyDescent="0.25">
      <c r="B92" s="5"/>
      <c r="C92" s="103">
        <v>45017</v>
      </c>
      <c r="D92" s="102">
        <v>8.8999999999999996E-2</v>
      </c>
      <c r="E92" s="100">
        <f t="shared" si="1"/>
        <v>8149</v>
      </c>
      <c r="F92" s="7"/>
    </row>
    <row r="93" spans="2:6" x14ac:dyDescent="0.25">
      <c r="B93" s="5"/>
      <c r="C93" s="103">
        <v>45047</v>
      </c>
      <c r="D93" s="102">
        <v>8.8999999999999996E-2</v>
      </c>
      <c r="E93" s="100">
        <f t="shared" si="1"/>
        <v>8149</v>
      </c>
      <c r="F93" s="7"/>
    </row>
    <row r="94" spans="2:6" x14ac:dyDescent="0.25">
      <c r="B94" s="5"/>
      <c r="C94" s="103">
        <v>45078</v>
      </c>
      <c r="D94" s="102">
        <v>8.8999999999999996E-2</v>
      </c>
      <c r="E94" s="100">
        <f t="shared" si="1"/>
        <v>8149</v>
      </c>
      <c r="F94" s="7"/>
    </row>
    <row r="95" spans="2:6" x14ac:dyDescent="0.25">
      <c r="B95" s="5"/>
      <c r="C95" s="103">
        <v>45108</v>
      </c>
      <c r="D95" s="102">
        <v>8.8999999999999996E-2</v>
      </c>
      <c r="E95" s="100">
        <f t="shared" si="1"/>
        <v>8149</v>
      </c>
      <c r="F95" s="7"/>
    </row>
    <row r="96" spans="2:6" x14ac:dyDescent="0.25">
      <c r="B96" s="5"/>
      <c r="C96" s="103">
        <v>45139</v>
      </c>
      <c r="D96" s="102">
        <v>8.8999999999999996E-2</v>
      </c>
      <c r="E96" s="100">
        <f t="shared" si="1"/>
        <v>8149</v>
      </c>
      <c r="F96" s="7"/>
    </row>
    <row r="97" spans="2:6" x14ac:dyDescent="0.25">
      <c r="B97" s="5"/>
      <c r="C97" s="103">
        <v>45170</v>
      </c>
      <c r="D97" s="102">
        <v>8.8999999999999996E-2</v>
      </c>
      <c r="E97" s="100">
        <f t="shared" si="1"/>
        <v>8149</v>
      </c>
      <c r="F97" s="7"/>
    </row>
    <row r="98" spans="2:6" x14ac:dyDescent="0.25">
      <c r="B98" s="5"/>
      <c r="C98" s="103">
        <v>45200</v>
      </c>
      <c r="D98" s="102">
        <v>8.8999999999999996E-2</v>
      </c>
      <c r="E98" s="100">
        <f t="shared" si="1"/>
        <v>8149</v>
      </c>
      <c r="F98" s="7"/>
    </row>
    <row r="99" spans="2:6" x14ac:dyDescent="0.25">
      <c r="B99" s="5"/>
      <c r="C99" s="103">
        <v>45231</v>
      </c>
      <c r="D99" s="102">
        <v>8.8999999999999996E-2</v>
      </c>
      <c r="E99" s="100">
        <f t="shared" si="1"/>
        <v>8149</v>
      </c>
      <c r="F99" s="7"/>
    </row>
    <row r="100" spans="2:6" x14ac:dyDescent="0.25">
      <c r="B100" s="5"/>
      <c r="C100" s="103">
        <v>45261</v>
      </c>
      <c r="D100" s="102">
        <v>8.8999999999999996E-2</v>
      </c>
      <c r="E100" s="100">
        <f t="shared" si="1"/>
        <v>8149</v>
      </c>
      <c r="F100" s="7"/>
    </row>
    <row r="101" spans="2:6" x14ac:dyDescent="0.25">
      <c r="B101" s="5"/>
      <c r="C101" s="103">
        <v>45292</v>
      </c>
      <c r="D101" s="102">
        <v>8.8999999999999996E-2</v>
      </c>
      <c r="E101" s="100">
        <f t="shared" si="1"/>
        <v>8149</v>
      </c>
      <c r="F101" s="7"/>
    </row>
    <row r="102" spans="2:6" x14ac:dyDescent="0.25">
      <c r="B102" s="5"/>
      <c r="C102" s="103">
        <v>45323</v>
      </c>
      <c r="D102" s="102">
        <v>8.8999999999999996E-2</v>
      </c>
      <c r="E102" s="100">
        <f t="shared" si="1"/>
        <v>8149</v>
      </c>
      <c r="F102" s="7"/>
    </row>
    <row r="103" spans="2:6" x14ac:dyDescent="0.25">
      <c r="B103" s="5"/>
      <c r="C103" s="103">
        <v>45352</v>
      </c>
      <c r="D103" s="102">
        <v>8.8999999999999996E-2</v>
      </c>
      <c r="E103" s="100">
        <f t="shared" si="1"/>
        <v>8149</v>
      </c>
      <c r="F103" s="7"/>
    </row>
    <row r="104" spans="2:6" x14ac:dyDescent="0.25">
      <c r="B104" s="5"/>
      <c r="C104" s="103">
        <v>45383</v>
      </c>
      <c r="D104" s="102">
        <v>8.8999999999999996E-2</v>
      </c>
      <c r="E104" s="100">
        <f t="shared" si="1"/>
        <v>8149</v>
      </c>
      <c r="F104" s="7"/>
    </row>
    <row r="105" spans="2:6" x14ac:dyDescent="0.25">
      <c r="B105" s="5"/>
      <c r="C105" s="103">
        <v>45413</v>
      </c>
      <c r="D105" s="102">
        <v>8.8999999999999996E-2</v>
      </c>
      <c r="E105" s="100">
        <f t="shared" si="1"/>
        <v>8149</v>
      </c>
      <c r="F105" s="7"/>
    </row>
    <row r="106" spans="2:6" x14ac:dyDescent="0.25">
      <c r="B106" s="5"/>
      <c r="C106" s="103">
        <v>45444</v>
      </c>
      <c r="D106" s="102">
        <v>8.8999999999999996E-2</v>
      </c>
      <c r="E106" s="100">
        <f t="shared" si="1"/>
        <v>8149</v>
      </c>
      <c r="F106" s="7"/>
    </row>
    <row r="107" spans="2:6" x14ac:dyDescent="0.25">
      <c r="B107" s="5"/>
      <c r="C107" s="103">
        <v>45474</v>
      </c>
      <c r="D107" s="102">
        <v>8.8999999999999996E-2</v>
      </c>
      <c r="E107" s="100">
        <f t="shared" si="1"/>
        <v>8149</v>
      </c>
      <c r="F107" s="7"/>
    </row>
    <row r="108" spans="2:6" x14ac:dyDescent="0.25">
      <c r="B108" s="5"/>
      <c r="C108" s="103">
        <v>45505</v>
      </c>
      <c r="D108" s="102">
        <v>8.8999999999999996E-2</v>
      </c>
      <c r="E108" s="100">
        <f t="shared" si="1"/>
        <v>8149</v>
      </c>
      <c r="F108" s="7"/>
    </row>
    <row r="109" spans="2:6" x14ac:dyDescent="0.25">
      <c r="B109" s="5"/>
      <c r="C109" s="103">
        <v>45536</v>
      </c>
      <c r="D109" s="102">
        <v>8.8999999999999996E-2</v>
      </c>
      <c r="E109" s="100">
        <f t="shared" si="1"/>
        <v>8149</v>
      </c>
      <c r="F109" s="7"/>
    </row>
    <row r="110" spans="2:6" x14ac:dyDescent="0.25">
      <c r="B110" s="5"/>
      <c r="C110" s="103">
        <v>45566</v>
      </c>
      <c r="D110" s="102">
        <v>8.8999999999999996E-2</v>
      </c>
      <c r="E110" s="100">
        <f t="shared" si="1"/>
        <v>8149</v>
      </c>
      <c r="F110" s="7"/>
    </row>
    <row r="111" spans="2:6" x14ac:dyDescent="0.25">
      <c r="B111" s="5"/>
      <c r="C111" s="103">
        <v>45597</v>
      </c>
      <c r="D111" s="102">
        <v>8.8999999999999996E-2</v>
      </c>
      <c r="E111" s="100">
        <f t="shared" si="1"/>
        <v>8149</v>
      </c>
      <c r="F111" s="7"/>
    </row>
    <row r="112" spans="2:6" x14ac:dyDescent="0.25">
      <c r="B112" s="5"/>
      <c r="C112" s="103">
        <v>45627</v>
      </c>
      <c r="D112" s="102">
        <v>8.8999999999999996E-2</v>
      </c>
      <c r="E112" s="100">
        <f t="shared" si="1"/>
        <v>8149</v>
      </c>
      <c r="F112" s="7"/>
    </row>
    <row r="113" spans="2:6" x14ac:dyDescent="0.25">
      <c r="B113" s="5"/>
      <c r="C113" s="103">
        <v>45658</v>
      </c>
      <c r="D113" s="102">
        <v>8.8999999999999996E-2</v>
      </c>
      <c r="E113" s="100">
        <f t="shared" si="1"/>
        <v>8149</v>
      </c>
      <c r="F113" s="7"/>
    </row>
    <row r="114" spans="2:6" x14ac:dyDescent="0.25">
      <c r="B114" s="5"/>
      <c r="C114" s="103">
        <v>45689</v>
      </c>
      <c r="D114" s="102">
        <v>8.8999999999999996E-2</v>
      </c>
      <c r="E114" s="100">
        <f t="shared" si="1"/>
        <v>8149</v>
      </c>
      <c r="F114" s="7"/>
    </row>
    <row r="115" spans="2:6" x14ac:dyDescent="0.25">
      <c r="B115" s="5"/>
      <c r="C115" s="103">
        <v>45717</v>
      </c>
      <c r="D115" s="102">
        <v>8.8999999999999996E-2</v>
      </c>
      <c r="E115" s="100">
        <f t="shared" si="1"/>
        <v>8149</v>
      </c>
      <c r="F115" s="7"/>
    </row>
    <row r="116" spans="2:6" x14ac:dyDescent="0.25">
      <c r="B116" s="5"/>
      <c r="C116" s="103">
        <v>45748</v>
      </c>
      <c r="D116" s="102">
        <v>8.8999999999999996E-2</v>
      </c>
      <c r="E116" s="100">
        <f t="shared" si="1"/>
        <v>8149</v>
      </c>
      <c r="F116" s="7"/>
    </row>
    <row r="117" spans="2:6" x14ac:dyDescent="0.25">
      <c r="B117" s="5"/>
      <c r="C117" s="103">
        <v>45778</v>
      </c>
      <c r="D117" s="102">
        <v>8.8999999999999996E-2</v>
      </c>
      <c r="E117" s="100">
        <f t="shared" si="1"/>
        <v>8149</v>
      </c>
      <c r="F117" s="7"/>
    </row>
    <row r="118" spans="2:6" x14ac:dyDescent="0.25">
      <c r="B118" s="5"/>
      <c r="C118" s="103">
        <v>45809</v>
      </c>
      <c r="D118" s="102">
        <v>8.8999999999999996E-2</v>
      </c>
      <c r="E118" s="100">
        <f t="shared" si="1"/>
        <v>8149</v>
      </c>
      <c r="F118" s="7"/>
    </row>
    <row r="119" spans="2:6" x14ac:dyDescent="0.25">
      <c r="B119" s="5"/>
      <c r="C119" s="103">
        <v>45839</v>
      </c>
      <c r="D119" s="102">
        <v>8.8999999999999996E-2</v>
      </c>
      <c r="E119" s="100">
        <f t="shared" si="1"/>
        <v>8149</v>
      </c>
      <c r="F119" s="7"/>
    </row>
    <row r="120" spans="2:6" x14ac:dyDescent="0.25">
      <c r="B120" s="5"/>
      <c r="C120" s="103">
        <v>45870</v>
      </c>
      <c r="D120" s="102">
        <v>8.8999999999999996E-2</v>
      </c>
      <c r="E120" s="100">
        <f t="shared" si="1"/>
        <v>8149</v>
      </c>
      <c r="F120" s="7"/>
    </row>
    <row r="121" spans="2:6" x14ac:dyDescent="0.25">
      <c r="B121" s="5"/>
      <c r="C121" s="103">
        <v>45901</v>
      </c>
      <c r="D121" s="102">
        <v>8.8999999999999996E-2</v>
      </c>
      <c r="E121" s="100">
        <f t="shared" si="1"/>
        <v>8149</v>
      </c>
      <c r="F121" s="7"/>
    </row>
    <row r="122" spans="2:6" x14ac:dyDescent="0.25">
      <c r="B122" s="5"/>
      <c r="C122" s="103">
        <v>45931</v>
      </c>
      <c r="D122" s="102">
        <v>8.8999999999999996E-2</v>
      </c>
      <c r="E122" s="100">
        <f t="shared" si="1"/>
        <v>8149</v>
      </c>
      <c r="F122" s="7"/>
    </row>
    <row r="123" spans="2:6" x14ac:dyDescent="0.25">
      <c r="B123" s="5"/>
      <c r="C123" s="103">
        <v>45962</v>
      </c>
      <c r="D123" s="102">
        <v>8.8999999999999996E-2</v>
      </c>
      <c r="E123" s="100">
        <f t="shared" si="1"/>
        <v>8149</v>
      </c>
      <c r="F123" s="7"/>
    </row>
    <row r="124" spans="2:6" x14ac:dyDescent="0.25">
      <c r="B124" s="5"/>
      <c r="C124" s="103">
        <v>45992</v>
      </c>
      <c r="D124" s="102">
        <v>8.8999999999999996E-2</v>
      </c>
      <c r="E124" s="100">
        <f t="shared" si="1"/>
        <v>8149</v>
      </c>
      <c r="F124" s="7"/>
    </row>
    <row r="125" spans="2:6" x14ac:dyDescent="0.25">
      <c r="B125" s="5"/>
      <c r="C125" s="103">
        <v>46023</v>
      </c>
      <c r="D125" s="102">
        <v>8.8999999999999996E-2</v>
      </c>
      <c r="E125" s="100">
        <f t="shared" si="1"/>
        <v>8149</v>
      </c>
      <c r="F125" s="7"/>
    </row>
    <row r="126" spans="2:6" x14ac:dyDescent="0.25">
      <c r="B126" s="5"/>
      <c r="C126" s="103">
        <v>46054</v>
      </c>
      <c r="D126" s="102">
        <v>8.8999999999999996E-2</v>
      </c>
      <c r="E126" s="100">
        <f t="shared" si="1"/>
        <v>8149</v>
      </c>
      <c r="F126" s="7"/>
    </row>
    <row r="127" spans="2:6" x14ac:dyDescent="0.25">
      <c r="B127" s="5"/>
      <c r="C127" s="103">
        <v>46082</v>
      </c>
      <c r="D127" s="102">
        <v>8.8999999999999996E-2</v>
      </c>
      <c r="E127" s="100">
        <f t="shared" si="1"/>
        <v>8149</v>
      </c>
      <c r="F127" s="7"/>
    </row>
    <row r="128" spans="2:6" x14ac:dyDescent="0.25">
      <c r="B128" s="5"/>
      <c r="C128" s="103">
        <v>46113</v>
      </c>
      <c r="D128" s="102">
        <v>8.8999999999999996E-2</v>
      </c>
      <c r="E128" s="100">
        <f t="shared" si="1"/>
        <v>8149</v>
      </c>
      <c r="F128" s="7"/>
    </row>
    <row r="129" spans="2:6" x14ac:dyDescent="0.25">
      <c r="B129" s="5"/>
      <c r="C129" s="103">
        <v>46143</v>
      </c>
      <c r="D129" s="102">
        <v>8.8999999999999996E-2</v>
      </c>
      <c r="E129" s="100">
        <f t="shared" si="1"/>
        <v>8149</v>
      </c>
      <c r="F129" s="7"/>
    </row>
    <row r="130" spans="2:6" x14ac:dyDescent="0.25">
      <c r="B130" s="5"/>
      <c r="C130" s="103">
        <v>46174</v>
      </c>
      <c r="D130" s="102">
        <v>8.8999999999999996E-2</v>
      </c>
      <c r="E130" s="100">
        <f t="shared" si="1"/>
        <v>8149</v>
      </c>
      <c r="F130" s="7"/>
    </row>
    <row r="131" spans="2:6" x14ac:dyDescent="0.25">
      <c r="B131" s="5"/>
      <c r="C131" s="103">
        <v>46204</v>
      </c>
      <c r="D131" s="102">
        <v>8.8999999999999996E-2</v>
      </c>
      <c r="E131" s="100">
        <f t="shared" si="1"/>
        <v>8149</v>
      </c>
      <c r="F131" s="7"/>
    </row>
    <row r="132" spans="2:6" x14ac:dyDescent="0.25">
      <c r="B132" s="5"/>
      <c r="C132" s="103">
        <v>46235</v>
      </c>
      <c r="D132" s="102">
        <v>8.8999999999999996E-2</v>
      </c>
      <c r="E132" s="100">
        <f t="shared" si="1"/>
        <v>8149</v>
      </c>
      <c r="F132" s="7"/>
    </row>
    <row r="133" spans="2:6" x14ac:dyDescent="0.25">
      <c r="B133" s="5"/>
      <c r="C133" s="103">
        <v>46266</v>
      </c>
      <c r="D133" s="102">
        <v>8.8999999999999996E-2</v>
      </c>
      <c r="E133" s="100">
        <f t="shared" si="1"/>
        <v>8149</v>
      </c>
      <c r="F133" s="7"/>
    </row>
    <row r="134" spans="2:6" x14ac:dyDescent="0.25">
      <c r="B134" s="5"/>
      <c r="C134" s="103">
        <v>46296</v>
      </c>
      <c r="D134" s="102">
        <v>8.8999999999999996E-2</v>
      </c>
      <c r="E134" s="100">
        <f t="shared" si="1"/>
        <v>8149</v>
      </c>
      <c r="F134" s="7"/>
    </row>
    <row r="135" spans="2:6" x14ac:dyDescent="0.25">
      <c r="B135" s="5"/>
      <c r="C135" s="103">
        <v>46327</v>
      </c>
      <c r="D135" s="102">
        <v>8.8999999999999996E-2</v>
      </c>
      <c r="E135" s="100">
        <f t="shared" ref="E135:E198" si="2">E134</f>
        <v>8149</v>
      </c>
      <c r="F135" s="7"/>
    </row>
    <row r="136" spans="2:6" x14ac:dyDescent="0.25">
      <c r="B136" s="5"/>
      <c r="C136" s="103">
        <v>46357</v>
      </c>
      <c r="D136" s="102">
        <v>8.8999999999999996E-2</v>
      </c>
      <c r="E136" s="100">
        <f t="shared" si="2"/>
        <v>8149</v>
      </c>
      <c r="F136" s="7"/>
    </row>
    <row r="137" spans="2:6" x14ac:dyDescent="0.25">
      <c r="B137" s="5"/>
      <c r="C137" s="103">
        <v>46388</v>
      </c>
      <c r="D137" s="102">
        <v>8.8999999999999996E-2</v>
      </c>
      <c r="E137" s="100">
        <f t="shared" si="2"/>
        <v>8149</v>
      </c>
      <c r="F137" s="7"/>
    </row>
    <row r="138" spans="2:6" x14ac:dyDescent="0.25">
      <c r="B138" s="5"/>
      <c r="C138" s="103">
        <v>46419</v>
      </c>
      <c r="D138" s="102">
        <v>8.8999999999999996E-2</v>
      </c>
      <c r="E138" s="100">
        <f t="shared" si="2"/>
        <v>8149</v>
      </c>
      <c r="F138" s="7"/>
    </row>
    <row r="139" spans="2:6" x14ac:dyDescent="0.25">
      <c r="B139" s="5"/>
      <c r="C139" s="103">
        <v>46447</v>
      </c>
      <c r="D139" s="102">
        <v>8.8999999999999996E-2</v>
      </c>
      <c r="E139" s="100">
        <f t="shared" si="2"/>
        <v>8149</v>
      </c>
      <c r="F139" s="7"/>
    </row>
    <row r="140" spans="2:6" x14ac:dyDescent="0.25">
      <c r="B140" s="5"/>
      <c r="C140" s="103">
        <v>46478</v>
      </c>
      <c r="D140" s="102">
        <v>8.8999999999999996E-2</v>
      </c>
      <c r="E140" s="100">
        <f t="shared" si="2"/>
        <v>8149</v>
      </c>
      <c r="F140" s="7"/>
    </row>
    <row r="141" spans="2:6" x14ac:dyDescent="0.25">
      <c r="B141" s="5"/>
      <c r="C141" s="103">
        <v>46508</v>
      </c>
      <c r="D141" s="102">
        <v>8.8999999999999996E-2</v>
      </c>
      <c r="E141" s="100">
        <f t="shared" si="2"/>
        <v>8149</v>
      </c>
      <c r="F141" s="7"/>
    </row>
    <row r="142" spans="2:6" x14ac:dyDescent="0.25">
      <c r="B142" s="5"/>
      <c r="C142" s="103">
        <v>46539</v>
      </c>
      <c r="D142" s="102">
        <v>8.8999999999999996E-2</v>
      </c>
      <c r="E142" s="100">
        <f t="shared" si="2"/>
        <v>8149</v>
      </c>
      <c r="F142" s="7"/>
    </row>
    <row r="143" spans="2:6" x14ac:dyDescent="0.25">
      <c r="B143" s="5"/>
      <c r="C143" s="103">
        <v>46569</v>
      </c>
      <c r="D143" s="102">
        <v>8.8999999999999996E-2</v>
      </c>
      <c r="E143" s="100">
        <f t="shared" si="2"/>
        <v>8149</v>
      </c>
      <c r="F143" s="7"/>
    </row>
    <row r="144" spans="2:6" x14ac:dyDescent="0.25">
      <c r="B144" s="5"/>
      <c r="C144" s="103">
        <v>46600</v>
      </c>
      <c r="D144" s="102">
        <v>8.8999999999999996E-2</v>
      </c>
      <c r="E144" s="100">
        <f t="shared" si="2"/>
        <v>8149</v>
      </c>
      <c r="F144" s="7"/>
    </row>
    <row r="145" spans="2:6" x14ac:dyDescent="0.25">
      <c r="B145" s="5"/>
      <c r="C145" s="103">
        <v>46631</v>
      </c>
      <c r="D145" s="102">
        <v>8.8999999999999996E-2</v>
      </c>
      <c r="E145" s="100">
        <f t="shared" si="2"/>
        <v>8149</v>
      </c>
      <c r="F145" s="7"/>
    </row>
    <row r="146" spans="2:6" x14ac:dyDescent="0.25">
      <c r="B146" s="5"/>
      <c r="C146" s="103">
        <v>46661</v>
      </c>
      <c r="D146" s="102">
        <v>8.8999999999999996E-2</v>
      </c>
      <c r="E146" s="100">
        <f t="shared" si="2"/>
        <v>8149</v>
      </c>
      <c r="F146" s="7"/>
    </row>
    <row r="147" spans="2:6" x14ac:dyDescent="0.25">
      <c r="B147" s="5"/>
      <c r="C147" s="103">
        <v>46692</v>
      </c>
      <c r="D147" s="102">
        <v>8.8999999999999996E-2</v>
      </c>
      <c r="E147" s="100">
        <f t="shared" si="2"/>
        <v>8149</v>
      </c>
      <c r="F147" s="7"/>
    </row>
    <row r="148" spans="2:6" x14ac:dyDescent="0.25">
      <c r="B148" s="5"/>
      <c r="C148" s="103">
        <v>46722</v>
      </c>
      <c r="D148" s="102">
        <v>8.8999999999999996E-2</v>
      </c>
      <c r="E148" s="100">
        <f t="shared" si="2"/>
        <v>8149</v>
      </c>
      <c r="F148" s="7"/>
    </row>
    <row r="149" spans="2:6" x14ac:dyDescent="0.25">
      <c r="B149" s="5"/>
      <c r="C149" s="103">
        <v>46753</v>
      </c>
      <c r="D149" s="102">
        <v>8.8999999999999996E-2</v>
      </c>
      <c r="E149" s="100">
        <f t="shared" si="2"/>
        <v>8149</v>
      </c>
      <c r="F149" s="7"/>
    </row>
    <row r="150" spans="2:6" x14ac:dyDescent="0.25">
      <c r="B150" s="5"/>
      <c r="C150" s="103">
        <v>46784</v>
      </c>
      <c r="D150" s="102">
        <v>8.8999999999999996E-2</v>
      </c>
      <c r="E150" s="100">
        <f t="shared" si="2"/>
        <v>8149</v>
      </c>
      <c r="F150" s="7"/>
    </row>
    <row r="151" spans="2:6" x14ac:dyDescent="0.25">
      <c r="B151" s="5"/>
      <c r="C151" s="103">
        <v>46813</v>
      </c>
      <c r="D151" s="102">
        <v>8.8999999999999996E-2</v>
      </c>
      <c r="E151" s="100">
        <f t="shared" si="2"/>
        <v>8149</v>
      </c>
      <c r="F151" s="7"/>
    </row>
    <row r="152" spans="2:6" x14ac:dyDescent="0.25">
      <c r="B152" s="5"/>
      <c r="C152" s="103">
        <v>46844</v>
      </c>
      <c r="D152" s="102">
        <v>8.8999999999999996E-2</v>
      </c>
      <c r="E152" s="100">
        <f t="shared" si="2"/>
        <v>8149</v>
      </c>
      <c r="F152" s="7"/>
    </row>
    <row r="153" spans="2:6" x14ac:dyDescent="0.25">
      <c r="B153" s="5"/>
      <c r="C153" s="103">
        <v>46874</v>
      </c>
      <c r="D153" s="102">
        <v>8.8999999999999996E-2</v>
      </c>
      <c r="E153" s="100">
        <f t="shared" si="2"/>
        <v>8149</v>
      </c>
      <c r="F153" s="7"/>
    </row>
    <row r="154" spans="2:6" x14ac:dyDescent="0.25">
      <c r="B154" s="5"/>
      <c r="C154" s="103">
        <v>46905</v>
      </c>
      <c r="D154" s="102">
        <v>8.8999999999999996E-2</v>
      </c>
      <c r="E154" s="100">
        <f t="shared" si="2"/>
        <v>8149</v>
      </c>
      <c r="F154" s="7"/>
    </row>
    <row r="155" spans="2:6" x14ac:dyDescent="0.25">
      <c r="B155" s="5"/>
      <c r="C155" s="103">
        <v>46935</v>
      </c>
      <c r="D155" s="102">
        <v>8.8999999999999996E-2</v>
      </c>
      <c r="E155" s="100">
        <f t="shared" si="2"/>
        <v>8149</v>
      </c>
      <c r="F155" s="7"/>
    </row>
    <row r="156" spans="2:6" x14ac:dyDescent="0.25">
      <c r="B156" s="5"/>
      <c r="C156" s="103">
        <v>46966</v>
      </c>
      <c r="D156" s="102">
        <v>8.8999999999999996E-2</v>
      </c>
      <c r="E156" s="100">
        <f t="shared" si="2"/>
        <v>8149</v>
      </c>
      <c r="F156" s="7"/>
    </row>
    <row r="157" spans="2:6" x14ac:dyDescent="0.25">
      <c r="B157" s="5"/>
      <c r="C157" s="103">
        <v>46997</v>
      </c>
      <c r="D157" s="102">
        <v>8.8999999999999996E-2</v>
      </c>
      <c r="E157" s="100">
        <f t="shared" si="2"/>
        <v>8149</v>
      </c>
      <c r="F157" s="7"/>
    </row>
    <row r="158" spans="2:6" x14ac:dyDescent="0.25">
      <c r="B158" s="5"/>
      <c r="C158" s="103">
        <v>47027</v>
      </c>
      <c r="D158" s="102">
        <v>8.8999999999999996E-2</v>
      </c>
      <c r="E158" s="100">
        <f t="shared" si="2"/>
        <v>8149</v>
      </c>
      <c r="F158" s="7"/>
    </row>
    <row r="159" spans="2:6" x14ac:dyDescent="0.25">
      <c r="B159" s="5"/>
      <c r="C159" s="103">
        <v>47058</v>
      </c>
      <c r="D159" s="102">
        <v>8.8999999999999996E-2</v>
      </c>
      <c r="E159" s="100">
        <f t="shared" si="2"/>
        <v>8149</v>
      </c>
      <c r="F159" s="7"/>
    </row>
    <row r="160" spans="2:6" x14ac:dyDescent="0.25">
      <c r="B160" s="5"/>
      <c r="C160" s="103">
        <v>47088</v>
      </c>
      <c r="D160" s="102">
        <v>8.8999999999999996E-2</v>
      </c>
      <c r="E160" s="100">
        <f t="shared" si="2"/>
        <v>8149</v>
      </c>
      <c r="F160" s="7"/>
    </row>
    <row r="161" spans="2:6" x14ac:dyDescent="0.25">
      <c r="B161" s="5"/>
      <c r="C161" s="103">
        <v>47119</v>
      </c>
      <c r="D161" s="102">
        <v>8.8999999999999996E-2</v>
      </c>
      <c r="E161" s="100">
        <f t="shared" si="2"/>
        <v>8149</v>
      </c>
      <c r="F161" s="7"/>
    </row>
    <row r="162" spans="2:6" x14ac:dyDescent="0.25">
      <c r="B162" s="5"/>
      <c r="C162" s="103">
        <v>47150</v>
      </c>
      <c r="D162" s="102">
        <v>8.8999999999999996E-2</v>
      </c>
      <c r="E162" s="100">
        <f t="shared" si="2"/>
        <v>8149</v>
      </c>
      <c r="F162" s="7"/>
    </row>
    <row r="163" spans="2:6" x14ac:dyDescent="0.25">
      <c r="B163" s="5"/>
      <c r="C163" s="103">
        <v>47178</v>
      </c>
      <c r="D163" s="102">
        <v>8.8999999999999996E-2</v>
      </c>
      <c r="E163" s="100">
        <f t="shared" si="2"/>
        <v>8149</v>
      </c>
      <c r="F163" s="7"/>
    </row>
    <row r="164" spans="2:6" x14ac:dyDescent="0.25">
      <c r="B164" s="5"/>
      <c r="C164" s="103">
        <v>47209</v>
      </c>
      <c r="D164" s="102">
        <v>8.8999999999999996E-2</v>
      </c>
      <c r="E164" s="100">
        <f t="shared" si="2"/>
        <v>8149</v>
      </c>
      <c r="F164" s="7"/>
    </row>
    <row r="165" spans="2:6" x14ac:dyDescent="0.25">
      <c r="B165" s="5"/>
      <c r="C165" s="103">
        <v>47239</v>
      </c>
      <c r="D165" s="102">
        <v>8.8999999999999996E-2</v>
      </c>
      <c r="E165" s="100">
        <f t="shared" si="2"/>
        <v>8149</v>
      </c>
      <c r="F165" s="7"/>
    </row>
    <row r="166" spans="2:6" x14ac:dyDescent="0.25">
      <c r="B166" s="5"/>
      <c r="C166" s="103">
        <v>47270</v>
      </c>
      <c r="D166" s="102">
        <v>8.8999999999999996E-2</v>
      </c>
      <c r="E166" s="100">
        <f t="shared" si="2"/>
        <v>8149</v>
      </c>
      <c r="F166" s="7"/>
    </row>
    <row r="167" spans="2:6" x14ac:dyDescent="0.25">
      <c r="B167" s="5"/>
      <c r="C167" s="103">
        <v>47300</v>
      </c>
      <c r="D167" s="102">
        <v>8.8999999999999996E-2</v>
      </c>
      <c r="E167" s="100">
        <f t="shared" si="2"/>
        <v>8149</v>
      </c>
      <c r="F167" s="7"/>
    </row>
    <row r="168" spans="2:6" x14ac:dyDescent="0.25">
      <c r="B168" s="5"/>
      <c r="C168" s="103">
        <v>47331</v>
      </c>
      <c r="D168" s="102">
        <v>8.8999999999999996E-2</v>
      </c>
      <c r="E168" s="100">
        <f t="shared" si="2"/>
        <v>8149</v>
      </c>
      <c r="F168" s="7"/>
    </row>
    <row r="169" spans="2:6" x14ac:dyDescent="0.25">
      <c r="B169" s="5"/>
      <c r="C169" s="103">
        <v>47362</v>
      </c>
      <c r="D169" s="102">
        <v>8.8999999999999996E-2</v>
      </c>
      <c r="E169" s="100">
        <f t="shared" si="2"/>
        <v>8149</v>
      </c>
      <c r="F169" s="7"/>
    </row>
    <row r="170" spans="2:6" x14ac:dyDescent="0.25">
      <c r="B170" s="5"/>
      <c r="C170" s="103">
        <v>47392</v>
      </c>
      <c r="D170" s="102">
        <v>8.8999999999999996E-2</v>
      </c>
      <c r="E170" s="100">
        <f t="shared" si="2"/>
        <v>8149</v>
      </c>
      <c r="F170" s="7"/>
    </row>
    <row r="171" spans="2:6" x14ac:dyDescent="0.25">
      <c r="B171" s="5"/>
      <c r="C171" s="103">
        <v>47423</v>
      </c>
      <c r="D171" s="102">
        <v>8.8999999999999996E-2</v>
      </c>
      <c r="E171" s="100">
        <f t="shared" si="2"/>
        <v>8149</v>
      </c>
      <c r="F171" s="7"/>
    </row>
    <row r="172" spans="2:6" x14ac:dyDescent="0.25">
      <c r="B172" s="5"/>
      <c r="C172" s="103">
        <v>47453</v>
      </c>
      <c r="D172" s="102">
        <v>8.8999999999999996E-2</v>
      </c>
      <c r="E172" s="100">
        <f t="shared" si="2"/>
        <v>8149</v>
      </c>
      <c r="F172" s="7"/>
    </row>
    <row r="173" spans="2:6" x14ac:dyDescent="0.25">
      <c r="B173" s="5"/>
      <c r="C173" s="103">
        <v>47484</v>
      </c>
      <c r="D173" s="102">
        <v>8.8999999999999996E-2</v>
      </c>
      <c r="E173" s="100">
        <f t="shared" si="2"/>
        <v>8149</v>
      </c>
      <c r="F173" s="7"/>
    </row>
    <row r="174" spans="2:6" x14ac:dyDescent="0.25">
      <c r="B174" s="5"/>
      <c r="C174" s="103">
        <v>47515</v>
      </c>
      <c r="D174" s="102">
        <v>8.8999999999999996E-2</v>
      </c>
      <c r="E174" s="100">
        <f t="shared" si="2"/>
        <v>8149</v>
      </c>
      <c r="F174" s="7"/>
    </row>
    <row r="175" spans="2:6" x14ac:dyDescent="0.25">
      <c r="B175" s="5"/>
      <c r="C175" s="103">
        <v>47543</v>
      </c>
      <c r="D175" s="102">
        <v>8.8999999999999996E-2</v>
      </c>
      <c r="E175" s="100">
        <f t="shared" si="2"/>
        <v>8149</v>
      </c>
      <c r="F175" s="7"/>
    </row>
    <row r="176" spans="2:6" x14ac:dyDescent="0.25">
      <c r="B176" s="5"/>
      <c r="C176" s="103">
        <v>47574</v>
      </c>
      <c r="D176" s="102">
        <v>8.8999999999999996E-2</v>
      </c>
      <c r="E176" s="100">
        <f t="shared" si="2"/>
        <v>8149</v>
      </c>
      <c r="F176" s="7"/>
    </row>
    <row r="177" spans="2:6" x14ac:dyDescent="0.25">
      <c r="B177" s="5"/>
      <c r="C177" s="103">
        <v>47604</v>
      </c>
      <c r="D177" s="102">
        <v>8.8999999999999996E-2</v>
      </c>
      <c r="E177" s="100">
        <f t="shared" si="2"/>
        <v>8149</v>
      </c>
      <c r="F177" s="7"/>
    </row>
    <row r="178" spans="2:6" x14ac:dyDescent="0.25">
      <c r="B178" s="5"/>
      <c r="C178" s="103">
        <v>47635</v>
      </c>
      <c r="D178" s="102">
        <v>8.8999999999999996E-2</v>
      </c>
      <c r="E178" s="100">
        <f t="shared" si="2"/>
        <v>8149</v>
      </c>
      <c r="F178" s="7"/>
    </row>
    <row r="179" spans="2:6" x14ac:dyDescent="0.25">
      <c r="B179" s="5"/>
      <c r="C179" s="103">
        <v>47665</v>
      </c>
      <c r="D179" s="102">
        <v>8.8999999999999996E-2</v>
      </c>
      <c r="E179" s="100">
        <f t="shared" si="2"/>
        <v>8149</v>
      </c>
      <c r="F179" s="7"/>
    </row>
    <row r="180" spans="2:6" x14ac:dyDescent="0.25">
      <c r="B180" s="5"/>
      <c r="C180" s="103">
        <v>47696</v>
      </c>
      <c r="D180" s="102">
        <v>8.8999999999999996E-2</v>
      </c>
      <c r="E180" s="100">
        <f t="shared" si="2"/>
        <v>8149</v>
      </c>
      <c r="F180" s="7"/>
    </row>
    <row r="181" spans="2:6" x14ac:dyDescent="0.25">
      <c r="B181" s="5"/>
      <c r="C181" s="103">
        <v>47727</v>
      </c>
      <c r="D181" s="102">
        <v>8.8999999999999996E-2</v>
      </c>
      <c r="E181" s="100">
        <f t="shared" si="2"/>
        <v>8149</v>
      </c>
      <c r="F181" s="7"/>
    </row>
    <row r="182" spans="2:6" x14ac:dyDescent="0.25">
      <c r="B182" s="5"/>
      <c r="C182" s="103">
        <v>47757</v>
      </c>
      <c r="D182" s="102">
        <v>8.8999999999999996E-2</v>
      </c>
      <c r="E182" s="100">
        <f t="shared" si="2"/>
        <v>8149</v>
      </c>
      <c r="F182" s="7"/>
    </row>
    <row r="183" spans="2:6" x14ac:dyDescent="0.25">
      <c r="B183" s="5"/>
      <c r="C183" s="103">
        <v>47788</v>
      </c>
      <c r="D183" s="102">
        <v>8.8999999999999996E-2</v>
      </c>
      <c r="E183" s="100">
        <f t="shared" si="2"/>
        <v>8149</v>
      </c>
      <c r="F183" s="7"/>
    </row>
    <row r="184" spans="2:6" x14ac:dyDescent="0.25">
      <c r="B184" s="5"/>
      <c r="C184" s="103">
        <v>47818</v>
      </c>
      <c r="D184" s="102">
        <v>8.8999999999999996E-2</v>
      </c>
      <c r="E184" s="100">
        <f t="shared" si="2"/>
        <v>8149</v>
      </c>
      <c r="F184" s="7"/>
    </row>
    <row r="185" spans="2:6" x14ac:dyDescent="0.25">
      <c r="B185" s="5"/>
      <c r="C185" s="103">
        <v>47849</v>
      </c>
      <c r="D185" s="102">
        <v>8.8999999999999996E-2</v>
      </c>
      <c r="E185" s="100">
        <f t="shared" si="2"/>
        <v>8149</v>
      </c>
      <c r="F185" s="7"/>
    </row>
    <row r="186" spans="2:6" x14ac:dyDescent="0.25">
      <c r="B186" s="5"/>
      <c r="C186" s="103">
        <v>47880</v>
      </c>
      <c r="D186" s="102">
        <v>8.8999999999999996E-2</v>
      </c>
      <c r="E186" s="100">
        <f t="shared" si="2"/>
        <v>8149</v>
      </c>
      <c r="F186" s="7"/>
    </row>
    <row r="187" spans="2:6" x14ac:dyDescent="0.25">
      <c r="B187" s="5"/>
      <c r="C187" s="103">
        <v>47908</v>
      </c>
      <c r="D187" s="102">
        <v>8.8999999999999996E-2</v>
      </c>
      <c r="E187" s="100">
        <f t="shared" si="2"/>
        <v>8149</v>
      </c>
      <c r="F187" s="7"/>
    </row>
    <row r="188" spans="2:6" x14ac:dyDescent="0.25">
      <c r="B188" s="5"/>
      <c r="C188" s="103">
        <v>47939</v>
      </c>
      <c r="D188" s="102">
        <v>8.8999999999999996E-2</v>
      </c>
      <c r="E188" s="100">
        <f t="shared" si="2"/>
        <v>8149</v>
      </c>
      <c r="F188" s="7"/>
    </row>
    <row r="189" spans="2:6" x14ac:dyDescent="0.25">
      <c r="B189" s="5"/>
      <c r="C189" s="103">
        <v>47969</v>
      </c>
      <c r="D189" s="102">
        <v>8.8999999999999996E-2</v>
      </c>
      <c r="E189" s="100">
        <f t="shared" si="2"/>
        <v>8149</v>
      </c>
      <c r="F189" s="7"/>
    </row>
    <row r="190" spans="2:6" x14ac:dyDescent="0.25">
      <c r="B190" s="5"/>
      <c r="C190" s="103">
        <v>48000</v>
      </c>
      <c r="D190" s="102">
        <v>8.8999999999999996E-2</v>
      </c>
      <c r="E190" s="100">
        <f t="shared" si="2"/>
        <v>8149</v>
      </c>
      <c r="F190" s="7"/>
    </row>
    <row r="191" spans="2:6" x14ac:dyDescent="0.25">
      <c r="B191" s="5"/>
      <c r="C191" s="103">
        <v>48030</v>
      </c>
      <c r="D191" s="102">
        <v>8.8999999999999996E-2</v>
      </c>
      <c r="E191" s="100">
        <f t="shared" si="2"/>
        <v>8149</v>
      </c>
      <c r="F191" s="7"/>
    </row>
    <row r="192" spans="2:6" x14ac:dyDescent="0.25">
      <c r="B192" s="5"/>
      <c r="C192" s="103">
        <v>48061</v>
      </c>
      <c r="D192" s="102">
        <v>8.8999999999999996E-2</v>
      </c>
      <c r="E192" s="100">
        <f t="shared" si="2"/>
        <v>8149</v>
      </c>
      <c r="F192" s="7"/>
    </row>
    <row r="193" spans="2:6" x14ac:dyDescent="0.25">
      <c r="B193" s="5"/>
      <c r="C193" s="103">
        <v>48092</v>
      </c>
      <c r="D193" s="102">
        <v>8.8999999999999996E-2</v>
      </c>
      <c r="E193" s="100">
        <f t="shared" si="2"/>
        <v>8149</v>
      </c>
      <c r="F193" s="7"/>
    </row>
    <row r="194" spans="2:6" x14ac:dyDescent="0.25">
      <c r="B194" s="5"/>
      <c r="C194" s="103">
        <v>48122</v>
      </c>
      <c r="D194" s="102">
        <v>8.8999999999999996E-2</v>
      </c>
      <c r="E194" s="100">
        <f t="shared" si="2"/>
        <v>8149</v>
      </c>
      <c r="F194" s="7"/>
    </row>
    <row r="195" spans="2:6" x14ac:dyDescent="0.25">
      <c r="B195" s="5"/>
      <c r="C195" s="103">
        <v>48153</v>
      </c>
      <c r="D195" s="102">
        <v>8.8999999999999996E-2</v>
      </c>
      <c r="E195" s="100">
        <f t="shared" si="2"/>
        <v>8149</v>
      </c>
      <c r="F195" s="7"/>
    </row>
    <row r="196" spans="2:6" x14ac:dyDescent="0.25">
      <c r="B196" s="5"/>
      <c r="C196" s="103">
        <v>48183</v>
      </c>
      <c r="D196" s="102">
        <v>8.8999999999999996E-2</v>
      </c>
      <c r="E196" s="100">
        <f t="shared" si="2"/>
        <v>8149</v>
      </c>
      <c r="F196" s="7"/>
    </row>
    <row r="197" spans="2:6" x14ac:dyDescent="0.25">
      <c r="B197" s="5"/>
      <c r="C197" s="103">
        <v>48214</v>
      </c>
      <c r="D197" s="102">
        <v>8.8999999999999996E-2</v>
      </c>
      <c r="E197" s="100">
        <f t="shared" si="2"/>
        <v>8149</v>
      </c>
      <c r="F197" s="7"/>
    </row>
    <row r="198" spans="2:6" x14ac:dyDescent="0.25">
      <c r="B198" s="5"/>
      <c r="C198" s="103">
        <v>48245</v>
      </c>
      <c r="D198" s="102">
        <v>8.8999999999999996E-2</v>
      </c>
      <c r="E198" s="100">
        <f t="shared" si="2"/>
        <v>8149</v>
      </c>
      <c r="F198" s="7"/>
    </row>
    <row r="199" spans="2:6" x14ac:dyDescent="0.25">
      <c r="B199" s="5"/>
      <c r="C199" s="103">
        <v>48274</v>
      </c>
      <c r="D199" s="102">
        <v>8.8999999999999996E-2</v>
      </c>
      <c r="E199" s="100">
        <f t="shared" ref="E199:E262" si="3">E198</f>
        <v>8149</v>
      </c>
      <c r="F199" s="7"/>
    </row>
    <row r="200" spans="2:6" x14ac:dyDescent="0.25">
      <c r="B200" s="5"/>
      <c r="C200" s="103">
        <v>48305</v>
      </c>
      <c r="D200" s="102">
        <v>8.8999999999999996E-2</v>
      </c>
      <c r="E200" s="100">
        <f t="shared" si="3"/>
        <v>8149</v>
      </c>
      <c r="F200" s="7"/>
    </row>
    <row r="201" spans="2:6" x14ac:dyDescent="0.25">
      <c r="B201" s="5"/>
      <c r="C201" s="103">
        <v>48335</v>
      </c>
      <c r="D201" s="102">
        <v>8.8999999999999996E-2</v>
      </c>
      <c r="E201" s="100">
        <f t="shared" si="3"/>
        <v>8149</v>
      </c>
      <c r="F201" s="7"/>
    </row>
    <row r="202" spans="2:6" x14ac:dyDescent="0.25">
      <c r="B202" s="5"/>
      <c r="C202" s="103">
        <v>48366</v>
      </c>
      <c r="D202" s="102">
        <v>8.8999999999999996E-2</v>
      </c>
      <c r="E202" s="100">
        <f t="shared" si="3"/>
        <v>8149</v>
      </c>
      <c r="F202" s="7"/>
    </row>
    <row r="203" spans="2:6" x14ac:dyDescent="0.25">
      <c r="B203" s="5"/>
      <c r="C203" s="103">
        <v>48396</v>
      </c>
      <c r="D203" s="102">
        <v>8.8999999999999996E-2</v>
      </c>
      <c r="E203" s="100">
        <f t="shared" si="3"/>
        <v>8149</v>
      </c>
      <c r="F203" s="7"/>
    </row>
    <row r="204" spans="2:6" x14ac:dyDescent="0.25">
      <c r="B204" s="5"/>
      <c r="C204" s="103">
        <v>48427</v>
      </c>
      <c r="D204" s="102">
        <v>8.8999999999999996E-2</v>
      </c>
      <c r="E204" s="100">
        <f t="shared" si="3"/>
        <v>8149</v>
      </c>
      <c r="F204" s="7"/>
    </row>
    <row r="205" spans="2:6" x14ac:dyDescent="0.25">
      <c r="B205" s="5"/>
      <c r="C205" s="103">
        <v>48458</v>
      </c>
      <c r="D205" s="102">
        <v>8.8999999999999996E-2</v>
      </c>
      <c r="E205" s="100">
        <f t="shared" si="3"/>
        <v>8149</v>
      </c>
      <c r="F205" s="7"/>
    </row>
    <row r="206" spans="2:6" x14ac:dyDescent="0.25">
      <c r="B206" s="5"/>
      <c r="C206" s="103">
        <v>48488</v>
      </c>
      <c r="D206" s="102">
        <v>8.8999999999999996E-2</v>
      </c>
      <c r="E206" s="100">
        <f t="shared" si="3"/>
        <v>8149</v>
      </c>
      <c r="F206" s="7"/>
    </row>
    <row r="207" spans="2:6" x14ac:dyDescent="0.25">
      <c r="B207" s="5"/>
      <c r="C207" s="103">
        <v>48519</v>
      </c>
      <c r="D207" s="102">
        <v>8.8999999999999996E-2</v>
      </c>
      <c r="E207" s="100">
        <f t="shared" si="3"/>
        <v>8149</v>
      </c>
      <c r="F207" s="7"/>
    </row>
    <row r="208" spans="2:6" x14ac:dyDescent="0.25">
      <c r="B208" s="5"/>
      <c r="C208" s="103">
        <v>48549</v>
      </c>
      <c r="D208" s="102">
        <v>8.8999999999999996E-2</v>
      </c>
      <c r="E208" s="100">
        <f t="shared" si="3"/>
        <v>8149</v>
      </c>
      <c r="F208" s="7"/>
    </row>
    <row r="209" spans="2:6" x14ac:dyDescent="0.25">
      <c r="B209" s="5"/>
      <c r="C209" s="103">
        <v>48580</v>
      </c>
      <c r="D209" s="102">
        <v>8.8999999999999996E-2</v>
      </c>
      <c r="E209" s="100">
        <f t="shared" si="3"/>
        <v>8149</v>
      </c>
      <c r="F209" s="7"/>
    </row>
    <row r="210" spans="2:6" x14ac:dyDescent="0.25">
      <c r="B210" s="5"/>
      <c r="C210" s="103">
        <v>48611</v>
      </c>
      <c r="D210" s="102">
        <v>8.8999999999999996E-2</v>
      </c>
      <c r="E210" s="100">
        <f t="shared" si="3"/>
        <v>8149</v>
      </c>
      <c r="F210" s="7"/>
    </row>
    <row r="211" spans="2:6" x14ac:dyDescent="0.25">
      <c r="B211" s="5"/>
      <c r="C211" s="103">
        <v>48639</v>
      </c>
      <c r="D211" s="102">
        <v>8.8999999999999996E-2</v>
      </c>
      <c r="E211" s="100">
        <f t="shared" si="3"/>
        <v>8149</v>
      </c>
      <c r="F211" s="7"/>
    </row>
    <row r="212" spans="2:6" x14ac:dyDescent="0.25">
      <c r="B212" s="5"/>
      <c r="C212" s="103">
        <v>48670</v>
      </c>
      <c r="D212" s="102">
        <v>8.8999999999999996E-2</v>
      </c>
      <c r="E212" s="100">
        <f t="shared" si="3"/>
        <v>8149</v>
      </c>
      <c r="F212" s="7"/>
    </row>
    <row r="213" spans="2:6" x14ac:dyDescent="0.25">
      <c r="B213" s="5"/>
      <c r="C213" s="103">
        <v>48700</v>
      </c>
      <c r="D213" s="102">
        <v>8.8999999999999996E-2</v>
      </c>
      <c r="E213" s="100">
        <f t="shared" si="3"/>
        <v>8149</v>
      </c>
      <c r="F213" s="7"/>
    </row>
    <row r="214" spans="2:6" x14ac:dyDescent="0.25">
      <c r="B214" s="5"/>
      <c r="C214" s="103">
        <v>48731</v>
      </c>
      <c r="D214" s="102">
        <v>8.8999999999999996E-2</v>
      </c>
      <c r="E214" s="100">
        <f t="shared" si="3"/>
        <v>8149</v>
      </c>
      <c r="F214" s="7"/>
    </row>
    <row r="215" spans="2:6" x14ac:dyDescent="0.25">
      <c r="B215" s="5"/>
      <c r="C215" s="103">
        <v>48761</v>
      </c>
      <c r="D215" s="102">
        <v>8.8999999999999996E-2</v>
      </c>
      <c r="E215" s="100">
        <f t="shared" si="3"/>
        <v>8149</v>
      </c>
      <c r="F215" s="7"/>
    </row>
    <row r="216" spans="2:6" x14ac:dyDescent="0.25">
      <c r="B216" s="5"/>
      <c r="C216" s="103">
        <v>48792</v>
      </c>
      <c r="D216" s="102">
        <v>8.8999999999999996E-2</v>
      </c>
      <c r="E216" s="100">
        <f t="shared" si="3"/>
        <v>8149</v>
      </c>
      <c r="F216" s="7"/>
    </row>
    <row r="217" spans="2:6" x14ac:dyDescent="0.25">
      <c r="B217" s="5"/>
      <c r="C217" s="103">
        <v>48823</v>
      </c>
      <c r="D217" s="102">
        <v>8.8999999999999996E-2</v>
      </c>
      <c r="E217" s="100">
        <f t="shared" si="3"/>
        <v>8149</v>
      </c>
      <c r="F217" s="7"/>
    </row>
    <row r="218" spans="2:6" x14ac:dyDescent="0.25">
      <c r="B218" s="5"/>
      <c r="C218" s="103">
        <v>48853</v>
      </c>
      <c r="D218" s="102">
        <v>8.8999999999999996E-2</v>
      </c>
      <c r="E218" s="100">
        <f t="shared" si="3"/>
        <v>8149</v>
      </c>
      <c r="F218" s="7"/>
    </row>
    <row r="219" spans="2:6" x14ac:dyDescent="0.25">
      <c r="B219" s="5"/>
      <c r="C219" s="103">
        <v>48884</v>
      </c>
      <c r="D219" s="102">
        <v>8.8999999999999996E-2</v>
      </c>
      <c r="E219" s="100">
        <f t="shared" si="3"/>
        <v>8149</v>
      </c>
      <c r="F219" s="7"/>
    </row>
    <row r="220" spans="2:6" x14ac:dyDescent="0.25">
      <c r="B220" s="5"/>
      <c r="C220" s="103">
        <v>48914</v>
      </c>
      <c r="D220" s="102">
        <v>8.8999999999999996E-2</v>
      </c>
      <c r="E220" s="100">
        <f t="shared" si="3"/>
        <v>8149</v>
      </c>
      <c r="F220" s="7"/>
    </row>
    <row r="221" spans="2:6" x14ac:dyDescent="0.25">
      <c r="B221" s="5"/>
      <c r="C221" s="103">
        <v>48945</v>
      </c>
      <c r="D221" s="102">
        <v>8.8999999999999996E-2</v>
      </c>
      <c r="E221" s="100">
        <f t="shared" si="3"/>
        <v>8149</v>
      </c>
      <c r="F221" s="7"/>
    </row>
    <row r="222" spans="2:6" x14ac:dyDescent="0.25">
      <c r="B222" s="5"/>
      <c r="C222" s="103">
        <v>48976</v>
      </c>
      <c r="D222" s="102">
        <v>8.8999999999999996E-2</v>
      </c>
      <c r="E222" s="100">
        <f t="shared" si="3"/>
        <v>8149</v>
      </c>
      <c r="F222" s="7"/>
    </row>
    <row r="223" spans="2:6" x14ac:dyDescent="0.25">
      <c r="B223" s="5"/>
      <c r="C223" s="103">
        <v>49004</v>
      </c>
      <c r="D223" s="102">
        <v>8.8999999999999996E-2</v>
      </c>
      <c r="E223" s="100">
        <f t="shared" si="3"/>
        <v>8149</v>
      </c>
      <c r="F223" s="7"/>
    </row>
    <row r="224" spans="2:6" x14ac:dyDescent="0.25">
      <c r="B224" s="5"/>
      <c r="C224" s="103">
        <v>49035</v>
      </c>
      <c r="D224" s="102">
        <v>8.8999999999999996E-2</v>
      </c>
      <c r="E224" s="100">
        <f t="shared" si="3"/>
        <v>8149</v>
      </c>
      <c r="F224" s="7"/>
    </row>
    <row r="225" spans="2:6" x14ac:dyDescent="0.25">
      <c r="B225" s="5"/>
      <c r="C225" s="103">
        <v>49065</v>
      </c>
      <c r="D225" s="102">
        <v>8.8999999999999996E-2</v>
      </c>
      <c r="E225" s="100">
        <f t="shared" si="3"/>
        <v>8149</v>
      </c>
      <c r="F225" s="7"/>
    </row>
    <row r="226" spans="2:6" x14ac:dyDescent="0.25">
      <c r="B226" s="5"/>
      <c r="C226" s="103">
        <v>49096</v>
      </c>
      <c r="D226" s="102">
        <v>8.8999999999999996E-2</v>
      </c>
      <c r="E226" s="100">
        <f t="shared" si="3"/>
        <v>8149</v>
      </c>
      <c r="F226" s="7"/>
    </row>
    <row r="227" spans="2:6" x14ac:dyDescent="0.25">
      <c r="B227" s="5"/>
      <c r="C227" s="103">
        <v>49126</v>
      </c>
      <c r="D227" s="102">
        <v>8.8999999999999996E-2</v>
      </c>
      <c r="E227" s="100">
        <f t="shared" si="3"/>
        <v>8149</v>
      </c>
      <c r="F227" s="7"/>
    </row>
    <row r="228" spans="2:6" x14ac:dyDescent="0.25">
      <c r="B228" s="5"/>
      <c r="C228" s="103">
        <v>49157</v>
      </c>
      <c r="D228" s="102">
        <v>8.8999999999999996E-2</v>
      </c>
      <c r="E228" s="100">
        <f t="shared" si="3"/>
        <v>8149</v>
      </c>
      <c r="F228" s="7"/>
    </row>
    <row r="229" spans="2:6" x14ac:dyDescent="0.25">
      <c r="B229" s="5"/>
      <c r="C229" s="103">
        <v>49188</v>
      </c>
      <c r="D229" s="102">
        <v>8.8999999999999996E-2</v>
      </c>
      <c r="E229" s="100">
        <f t="shared" si="3"/>
        <v>8149</v>
      </c>
      <c r="F229" s="7"/>
    </row>
    <row r="230" spans="2:6" x14ac:dyDescent="0.25">
      <c r="B230" s="5"/>
      <c r="C230" s="103">
        <v>49218</v>
      </c>
      <c r="D230" s="102">
        <v>8.8999999999999996E-2</v>
      </c>
      <c r="E230" s="100">
        <f t="shared" si="3"/>
        <v>8149</v>
      </c>
      <c r="F230" s="7"/>
    </row>
    <row r="231" spans="2:6" x14ac:dyDescent="0.25">
      <c r="B231" s="5"/>
      <c r="C231" s="103">
        <v>49249</v>
      </c>
      <c r="D231" s="102">
        <v>8.8999999999999996E-2</v>
      </c>
      <c r="E231" s="100">
        <f t="shared" si="3"/>
        <v>8149</v>
      </c>
      <c r="F231" s="7"/>
    </row>
    <row r="232" spans="2:6" x14ac:dyDescent="0.25">
      <c r="B232" s="5"/>
      <c r="C232" s="103">
        <v>49279</v>
      </c>
      <c r="D232" s="102">
        <v>8.8999999999999996E-2</v>
      </c>
      <c r="E232" s="100">
        <f t="shared" si="3"/>
        <v>8149</v>
      </c>
      <c r="F232" s="7"/>
    </row>
    <row r="233" spans="2:6" x14ac:dyDescent="0.25">
      <c r="B233" s="5"/>
      <c r="C233" s="103">
        <v>49310</v>
      </c>
      <c r="D233" s="102">
        <v>8.8999999999999996E-2</v>
      </c>
      <c r="E233" s="100">
        <f t="shared" si="3"/>
        <v>8149</v>
      </c>
      <c r="F233" s="7"/>
    </row>
    <row r="234" spans="2:6" x14ac:dyDescent="0.25">
      <c r="B234" s="5"/>
      <c r="C234" s="103">
        <v>49341</v>
      </c>
      <c r="D234" s="102">
        <v>8.8999999999999996E-2</v>
      </c>
      <c r="E234" s="100">
        <f t="shared" si="3"/>
        <v>8149</v>
      </c>
      <c r="F234" s="7"/>
    </row>
    <row r="235" spans="2:6" x14ac:dyDescent="0.25">
      <c r="B235" s="5"/>
      <c r="C235" s="103">
        <v>49369</v>
      </c>
      <c r="D235" s="102">
        <v>8.8999999999999996E-2</v>
      </c>
      <c r="E235" s="100">
        <f t="shared" si="3"/>
        <v>8149</v>
      </c>
      <c r="F235" s="7"/>
    </row>
    <row r="236" spans="2:6" x14ac:dyDescent="0.25">
      <c r="B236" s="5"/>
      <c r="C236" s="103">
        <v>49400</v>
      </c>
      <c r="D236" s="102">
        <v>8.8999999999999996E-2</v>
      </c>
      <c r="E236" s="100">
        <f t="shared" si="3"/>
        <v>8149</v>
      </c>
      <c r="F236" s="7"/>
    </row>
    <row r="237" spans="2:6" x14ac:dyDescent="0.25">
      <c r="B237" s="5"/>
      <c r="C237" s="103">
        <v>49430</v>
      </c>
      <c r="D237" s="102">
        <v>8.8999999999999996E-2</v>
      </c>
      <c r="E237" s="100">
        <f t="shared" si="3"/>
        <v>8149</v>
      </c>
      <c r="F237" s="7"/>
    </row>
    <row r="238" spans="2:6" x14ac:dyDescent="0.25">
      <c r="B238" s="5"/>
      <c r="C238" s="103">
        <v>49461</v>
      </c>
      <c r="D238" s="102">
        <v>8.8999999999999996E-2</v>
      </c>
      <c r="E238" s="100">
        <f t="shared" si="3"/>
        <v>8149</v>
      </c>
      <c r="F238" s="7"/>
    </row>
    <row r="239" spans="2:6" x14ac:dyDescent="0.25">
      <c r="B239" s="5"/>
      <c r="C239" s="103">
        <v>49491</v>
      </c>
      <c r="D239" s="102">
        <v>8.8999999999999996E-2</v>
      </c>
      <c r="E239" s="100">
        <f t="shared" si="3"/>
        <v>8149</v>
      </c>
      <c r="F239" s="7"/>
    </row>
    <row r="240" spans="2:6" x14ac:dyDescent="0.25">
      <c r="B240" s="5"/>
      <c r="C240" s="103">
        <v>49522</v>
      </c>
      <c r="D240" s="102">
        <v>8.8999999999999996E-2</v>
      </c>
      <c r="E240" s="100">
        <f t="shared" si="3"/>
        <v>8149</v>
      </c>
      <c r="F240" s="7"/>
    </row>
    <row r="241" spans="2:6" x14ac:dyDescent="0.25">
      <c r="B241" s="5"/>
      <c r="C241" s="103">
        <v>49553</v>
      </c>
      <c r="D241" s="102">
        <v>8.8999999999999996E-2</v>
      </c>
      <c r="E241" s="100">
        <f t="shared" si="3"/>
        <v>8149</v>
      </c>
      <c r="F241" s="7"/>
    </row>
    <row r="242" spans="2:6" x14ac:dyDescent="0.25">
      <c r="B242" s="5"/>
      <c r="C242" s="103">
        <v>49583</v>
      </c>
      <c r="D242" s="102">
        <v>8.8999999999999996E-2</v>
      </c>
      <c r="E242" s="100">
        <f t="shared" si="3"/>
        <v>8149</v>
      </c>
      <c r="F242" s="7"/>
    </row>
    <row r="243" spans="2:6" x14ac:dyDescent="0.25">
      <c r="B243" s="5"/>
      <c r="C243" s="103">
        <v>49614</v>
      </c>
      <c r="D243" s="102">
        <v>8.8999999999999996E-2</v>
      </c>
      <c r="E243" s="100">
        <f t="shared" si="3"/>
        <v>8149</v>
      </c>
      <c r="F243" s="7"/>
    </row>
    <row r="244" spans="2:6" x14ac:dyDescent="0.25">
      <c r="B244" s="5"/>
      <c r="C244" s="103">
        <v>49644</v>
      </c>
      <c r="D244" s="102">
        <v>8.8999999999999996E-2</v>
      </c>
      <c r="E244" s="100">
        <f t="shared" si="3"/>
        <v>8149</v>
      </c>
      <c r="F244" s="7"/>
    </row>
    <row r="245" spans="2:6" x14ac:dyDescent="0.25">
      <c r="B245" s="5"/>
      <c r="C245" s="103">
        <v>49675</v>
      </c>
      <c r="D245" s="102">
        <v>8.8999999999999996E-2</v>
      </c>
      <c r="E245" s="100">
        <f t="shared" si="3"/>
        <v>8149</v>
      </c>
      <c r="F245" s="7"/>
    </row>
    <row r="246" spans="2:6" x14ac:dyDescent="0.25">
      <c r="B246" s="5"/>
      <c r="C246" s="103">
        <v>49706</v>
      </c>
      <c r="D246" s="102">
        <v>8.8999999999999996E-2</v>
      </c>
      <c r="E246" s="100">
        <f t="shared" si="3"/>
        <v>8149</v>
      </c>
      <c r="F246" s="7"/>
    </row>
    <row r="247" spans="2:6" x14ac:dyDescent="0.25">
      <c r="B247" s="5"/>
      <c r="C247" s="103">
        <v>49735</v>
      </c>
      <c r="D247" s="102">
        <v>8.8999999999999996E-2</v>
      </c>
      <c r="E247" s="100">
        <f t="shared" si="3"/>
        <v>8149</v>
      </c>
      <c r="F247" s="7"/>
    </row>
    <row r="248" spans="2:6" x14ac:dyDescent="0.25">
      <c r="B248" s="5"/>
      <c r="C248" s="103">
        <v>49766</v>
      </c>
      <c r="D248" s="102">
        <v>8.8999999999999996E-2</v>
      </c>
      <c r="E248" s="100">
        <f t="shared" si="3"/>
        <v>8149</v>
      </c>
      <c r="F248" s="7"/>
    </row>
    <row r="249" spans="2:6" x14ac:dyDescent="0.25">
      <c r="B249" s="5"/>
      <c r="C249" s="103">
        <v>49796</v>
      </c>
      <c r="D249" s="102">
        <v>8.8999999999999996E-2</v>
      </c>
      <c r="E249" s="100">
        <f t="shared" si="3"/>
        <v>8149</v>
      </c>
      <c r="F249" s="7"/>
    </row>
    <row r="250" spans="2:6" x14ac:dyDescent="0.25">
      <c r="B250" s="5"/>
      <c r="C250" s="103">
        <v>49827</v>
      </c>
      <c r="D250" s="102">
        <v>8.8999999999999996E-2</v>
      </c>
      <c r="E250" s="100">
        <f t="shared" si="3"/>
        <v>8149</v>
      </c>
      <c r="F250" s="7"/>
    </row>
    <row r="251" spans="2:6" x14ac:dyDescent="0.25">
      <c r="B251" s="5"/>
      <c r="C251" s="103">
        <v>49857</v>
      </c>
      <c r="D251" s="102">
        <v>8.8999999999999996E-2</v>
      </c>
      <c r="E251" s="100">
        <f t="shared" si="3"/>
        <v>8149</v>
      </c>
      <c r="F251" s="7"/>
    </row>
    <row r="252" spans="2:6" x14ac:dyDescent="0.25">
      <c r="B252" s="5"/>
      <c r="C252" s="103">
        <v>49888</v>
      </c>
      <c r="D252" s="102">
        <v>8.8999999999999996E-2</v>
      </c>
      <c r="E252" s="100">
        <f t="shared" si="3"/>
        <v>8149</v>
      </c>
      <c r="F252" s="7"/>
    </row>
    <row r="253" spans="2:6" x14ac:dyDescent="0.25">
      <c r="B253" s="5"/>
      <c r="C253" s="103">
        <v>49919</v>
      </c>
      <c r="D253" s="102">
        <v>8.8999999999999996E-2</v>
      </c>
      <c r="E253" s="100">
        <f t="shared" si="3"/>
        <v>8149</v>
      </c>
      <c r="F253" s="7"/>
    </row>
    <row r="254" spans="2:6" x14ac:dyDescent="0.25">
      <c r="B254" s="5"/>
      <c r="C254" s="103">
        <v>49949</v>
      </c>
      <c r="D254" s="102">
        <v>8.8999999999999996E-2</v>
      </c>
      <c r="E254" s="100">
        <f t="shared" si="3"/>
        <v>8149</v>
      </c>
      <c r="F254" s="7"/>
    </row>
    <row r="255" spans="2:6" x14ac:dyDescent="0.25">
      <c r="B255" s="5"/>
      <c r="C255" s="103">
        <v>49980</v>
      </c>
      <c r="D255" s="102">
        <v>8.8999999999999996E-2</v>
      </c>
      <c r="E255" s="100">
        <f t="shared" si="3"/>
        <v>8149</v>
      </c>
      <c r="F255" s="7"/>
    </row>
    <row r="256" spans="2:6" x14ac:dyDescent="0.25">
      <c r="B256" s="5"/>
      <c r="C256" s="103">
        <v>50010</v>
      </c>
      <c r="D256" s="102">
        <v>8.8999999999999996E-2</v>
      </c>
      <c r="E256" s="100">
        <f t="shared" si="3"/>
        <v>8149</v>
      </c>
      <c r="F256" s="7"/>
    </row>
    <row r="257" spans="2:6" x14ac:dyDescent="0.25">
      <c r="B257" s="5"/>
      <c r="C257" s="103">
        <v>50041</v>
      </c>
      <c r="D257" s="102">
        <v>8.8999999999999996E-2</v>
      </c>
      <c r="E257" s="100">
        <f t="shared" si="3"/>
        <v>8149</v>
      </c>
      <c r="F257" s="7"/>
    </row>
    <row r="258" spans="2:6" x14ac:dyDescent="0.25">
      <c r="B258" s="5"/>
      <c r="C258" s="103">
        <v>50072</v>
      </c>
      <c r="D258" s="102">
        <v>8.8999999999999996E-2</v>
      </c>
      <c r="E258" s="100">
        <f t="shared" si="3"/>
        <v>8149</v>
      </c>
      <c r="F258" s="7"/>
    </row>
    <row r="259" spans="2:6" x14ac:dyDescent="0.25">
      <c r="B259" s="5"/>
      <c r="C259" s="103">
        <v>50100</v>
      </c>
      <c r="D259" s="102">
        <v>8.8999999999999996E-2</v>
      </c>
      <c r="E259" s="100">
        <f t="shared" si="3"/>
        <v>8149</v>
      </c>
      <c r="F259" s="7"/>
    </row>
    <row r="260" spans="2:6" x14ac:dyDescent="0.25">
      <c r="B260" s="5"/>
      <c r="C260" s="103">
        <v>50131</v>
      </c>
      <c r="D260" s="102">
        <v>8.8999999999999996E-2</v>
      </c>
      <c r="E260" s="100">
        <f t="shared" si="3"/>
        <v>8149</v>
      </c>
      <c r="F260" s="7"/>
    </row>
    <row r="261" spans="2:6" x14ac:dyDescent="0.25">
      <c r="B261" s="5"/>
      <c r="C261" s="103">
        <v>50161</v>
      </c>
      <c r="D261" s="102">
        <v>8.8999999999999996E-2</v>
      </c>
      <c r="E261" s="100">
        <f t="shared" si="3"/>
        <v>8149</v>
      </c>
      <c r="F261" s="7"/>
    </row>
    <row r="262" spans="2:6" x14ac:dyDescent="0.25">
      <c r="B262" s="5"/>
      <c r="C262" s="103">
        <v>50192</v>
      </c>
      <c r="D262" s="102">
        <v>8.8999999999999996E-2</v>
      </c>
      <c r="E262" s="100">
        <f t="shared" si="3"/>
        <v>8149</v>
      </c>
      <c r="F262" s="7"/>
    </row>
    <row r="263" spans="2:6" x14ac:dyDescent="0.25">
      <c r="B263" s="5"/>
      <c r="C263" s="103">
        <v>50222</v>
      </c>
      <c r="D263" s="102">
        <v>8.8999999999999996E-2</v>
      </c>
      <c r="E263" s="100">
        <f t="shared" ref="E263:E326" si="4">E262</f>
        <v>8149</v>
      </c>
      <c r="F263" s="7"/>
    </row>
    <row r="264" spans="2:6" x14ac:dyDescent="0.25">
      <c r="B264" s="5"/>
      <c r="C264" s="103">
        <v>50253</v>
      </c>
      <c r="D264" s="102">
        <v>8.8999999999999996E-2</v>
      </c>
      <c r="E264" s="100">
        <f t="shared" si="4"/>
        <v>8149</v>
      </c>
      <c r="F264" s="7"/>
    </row>
    <row r="265" spans="2:6" x14ac:dyDescent="0.25">
      <c r="B265" s="5"/>
      <c r="C265" s="103">
        <v>50284</v>
      </c>
      <c r="D265" s="102">
        <v>8.8999999999999996E-2</v>
      </c>
      <c r="E265" s="100">
        <f t="shared" si="4"/>
        <v>8149</v>
      </c>
      <c r="F265" s="7"/>
    </row>
    <row r="266" spans="2:6" x14ac:dyDescent="0.25">
      <c r="B266" s="5"/>
      <c r="C266" s="103">
        <v>50314</v>
      </c>
      <c r="D266" s="102">
        <v>8.8999999999999996E-2</v>
      </c>
      <c r="E266" s="100">
        <f t="shared" si="4"/>
        <v>8149</v>
      </c>
      <c r="F266" s="7"/>
    </row>
    <row r="267" spans="2:6" x14ac:dyDescent="0.25">
      <c r="B267" s="5"/>
      <c r="C267" s="103">
        <v>50345</v>
      </c>
      <c r="D267" s="102">
        <v>8.8999999999999996E-2</v>
      </c>
      <c r="E267" s="100">
        <f t="shared" si="4"/>
        <v>8149</v>
      </c>
      <c r="F267" s="7"/>
    </row>
    <row r="268" spans="2:6" x14ac:dyDescent="0.25">
      <c r="B268" s="5"/>
      <c r="C268" s="103">
        <v>50375</v>
      </c>
      <c r="D268" s="102">
        <v>8.8999999999999996E-2</v>
      </c>
      <c r="E268" s="100">
        <f t="shared" si="4"/>
        <v>8149</v>
      </c>
      <c r="F268" s="7"/>
    </row>
    <row r="269" spans="2:6" x14ac:dyDescent="0.25">
      <c r="B269" s="5"/>
      <c r="C269" s="103">
        <v>50406</v>
      </c>
      <c r="D269" s="102">
        <v>8.8999999999999996E-2</v>
      </c>
      <c r="E269" s="100">
        <f t="shared" si="4"/>
        <v>8149</v>
      </c>
      <c r="F269" s="7"/>
    </row>
    <row r="270" spans="2:6" x14ac:dyDescent="0.25">
      <c r="B270" s="5"/>
      <c r="C270" s="103">
        <v>50437</v>
      </c>
      <c r="D270" s="102">
        <v>8.8999999999999996E-2</v>
      </c>
      <c r="E270" s="100">
        <f t="shared" si="4"/>
        <v>8149</v>
      </c>
      <c r="F270" s="7"/>
    </row>
    <row r="271" spans="2:6" x14ac:dyDescent="0.25">
      <c r="B271" s="5"/>
      <c r="C271" s="103">
        <v>50465</v>
      </c>
      <c r="D271" s="102">
        <v>8.8999999999999996E-2</v>
      </c>
      <c r="E271" s="100">
        <f t="shared" si="4"/>
        <v>8149</v>
      </c>
      <c r="F271" s="7"/>
    </row>
    <row r="272" spans="2:6" x14ac:dyDescent="0.25">
      <c r="B272" s="5"/>
      <c r="C272" s="103">
        <v>50496</v>
      </c>
      <c r="D272" s="102">
        <v>8.8999999999999996E-2</v>
      </c>
      <c r="E272" s="100">
        <f t="shared" si="4"/>
        <v>8149</v>
      </c>
      <c r="F272" s="7"/>
    </row>
    <row r="273" spans="2:6" x14ac:dyDescent="0.25">
      <c r="B273" s="5"/>
      <c r="C273" s="103">
        <v>50526</v>
      </c>
      <c r="D273" s="102">
        <v>8.8999999999999996E-2</v>
      </c>
      <c r="E273" s="100">
        <f t="shared" si="4"/>
        <v>8149</v>
      </c>
      <c r="F273" s="7"/>
    </row>
    <row r="274" spans="2:6" x14ac:dyDescent="0.25">
      <c r="B274" s="5"/>
      <c r="C274" s="103">
        <v>50557</v>
      </c>
      <c r="D274" s="102">
        <v>8.8999999999999996E-2</v>
      </c>
      <c r="E274" s="100">
        <f t="shared" si="4"/>
        <v>8149</v>
      </c>
      <c r="F274" s="7"/>
    </row>
    <row r="275" spans="2:6" x14ac:dyDescent="0.25">
      <c r="B275" s="5"/>
      <c r="C275" s="103">
        <v>50587</v>
      </c>
      <c r="D275" s="102">
        <v>8.8999999999999996E-2</v>
      </c>
      <c r="E275" s="100">
        <f t="shared" si="4"/>
        <v>8149</v>
      </c>
      <c r="F275" s="7"/>
    </row>
    <row r="276" spans="2:6" x14ac:dyDescent="0.25">
      <c r="B276" s="5"/>
      <c r="C276" s="103">
        <v>50618</v>
      </c>
      <c r="D276" s="102">
        <v>8.8999999999999996E-2</v>
      </c>
      <c r="E276" s="100">
        <f t="shared" si="4"/>
        <v>8149</v>
      </c>
      <c r="F276" s="7"/>
    </row>
    <row r="277" spans="2:6" x14ac:dyDescent="0.25">
      <c r="B277" s="5"/>
      <c r="C277" s="103">
        <v>50649</v>
      </c>
      <c r="D277" s="102">
        <v>8.8999999999999996E-2</v>
      </c>
      <c r="E277" s="100">
        <f t="shared" si="4"/>
        <v>8149</v>
      </c>
      <c r="F277" s="7"/>
    </row>
    <row r="278" spans="2:6" x14ac:dyDescent="0.25">
      <c r="B278" s="5"/>
      <c r="C278" s="103">
        <v>50679</v>
      </c>
      <c r="D278" s="102">
        <v>8.8999999999999996E-2</v>
      </c>
      <c r="E278" s="100">
        <f t="shared" si="4"/>
        <v>8149</v>
      </c>
      <c r="F278" s="7"/>
    </row>
    <row r="279" spans="2:6" x14ac:dyDescent="0.25">
      <c r="B279" s="5"/>
      <c r="C279" s="103">
        <v>50710</v>
      </c>
      <c r="D279" s="102">
        <v>8.8999999999999996E-2</v>
      </c>
      <c r="E279" s="100">
        <f t="shared" si="4"/>
        <v>8149</v>
      </c>
      <c r="F279" s="7"/>
    </row>
    <row r="280" spans="2:6" x14ac:dyDescent="0.25">
      <c r="B280" s="5"/>
      <c r="C280" s="103">
        <v>50740</v>
      </c>
      <c r="D280" s="102">
        <v>8.8999999999999996E-2</v>
      </c>
      <c r="E280" s="100">
        <f t="shared" si="4"/>
        <v>8149</v>
      </c>
      <c r="F280" s="7"/>
    </row>
    <row r="281" spans="2:6" x14ac:dyDescent="0.25">
      <c r="B281" s="5"/>
      <c r="C281" s="103">
        <v>50771</v>
      </c>
      <c r="D281" s="102">
        <v>8.8999999999999996E-2</v>
      </c>
      <c r="E281" s="100">
        <f t="shared" si="4"/>
        <v>8149</v>
      </c>
      <c r="F281" s="7"/>
    </row>
    <row r="282" spans="2:6" x14ac:dyDescent="0.25">
      <c r="B282" s="5"/>
      <c r="C282" s="103">
        <v>50802</v>
      </c>
      <c r="D282" s="102">
        <v>8.8999999999999996E-2</v>
      </c>
      <c r="E282" s="100">
        <f t="shared" si="4"/>
        <v>8149</v>
      </c>
      <c r="F282" s="7"/>
    </row>
    <row r="283" spans="2:6" x14ac:dyDescent="0.25">
      <c r="B283" s="5"/>
      <c r="C283" s="103">
        <v>50830</v>
      </c>
      <c r="D283" s="102">
        <v>8.8999999999999996E-2</v>
      </c>
      <c r="E283" s="100">
        <f t="shared" si="4"/>
        <v>8149</v>
      </c>
      <c r="F283" s="7"/>
    </row>
    <row r="284" spans="2:6" x14ac:dyDescent="0.25">
      <c r="B284" s="5"/>
      <c r="C284" s="103">
        <v>50861</v>
      </c>
      <c r="D284" s="102">
        <v>8.8999999999999996E-2</v>
      </c>
      <c r="E284" s="100">
        <f t="shared" si="4"/>
        <v>8149</v>
      </c>
      <c r="F284" s="7"/>
    </row>
    <row r="285" spans="2:6" x14ac:dyDescent="0.25">
      <c r="B285" s="5"/>
      <c r="C285" s="103">
        <v>50891</v>
      </c>
      <c r="D285" s="102">
        <v>8.8999999999999996E-2</v>
      </c>
      <c r="E285" s="100">
        <f t="shared" si="4"/>
        <v>8149</v>
      </c>
      <c r="F285" s="7"/>
    </row>
    <row r="286" spans="2:6" x14ac:dyDescent="0.25">
      <c r="B286" s="5"/>
      <c r="C286" s="103">
        <v>50922</v>
      </c>
      <c r="D286" s="102">
        <v>8.8999999999999996E-2</v>
      </c>
      <c r="E286" s="100">
        <f t="shared" si="4"/>
        <v>8149</v>
      </c>
      <c r="F286" s="7"/>
    </row>
    <row r="287" spans="2:6" x14ac:dyDescent="0.25">
      <c r="B287" s="5"/>
      <c r="C287" s="103">
        <v>50952</v>
      </c>
      <c r="D287" s="102">
        <v>8.8999999999999996E-2</v>
      </c>
      <c r="E287" s="100">
        <f t="shared" si="4"/>
        <v>8149</v>
      </c>
      <c r="F287" s="7"/>
    </row>
    <row r="288" spans="2:6" x14ac:dyDescent="0.25">
      <c r="B288" s="5"/>
      <c r="C288" s="103">
        <v>50983</v>
      </c>
      <c r="D288" s="102">
        <v>8.8999999999999996E-2</v>
      </c>
      <c r="E288" s="100">
        <f t="shared" si="4"/>
        <v>8149</v>
      </c>
      <c r="F288" s="7"/>
    </row>
    <row r="289" spans="2:6" x14ac:dyDescent="0.25">
      <c r="B289" s="5"/>
      <c r="C289" s="103">
        <v>51014</v>
      </c>
      <c r="D289" s="102">
        <v>8.8999999999999996E-2</v>
      </c>
      <c r="E289" s="100">
        <f t="shared" si="4"/>
        <v>8149</v>
      </c>
      <c r="F289" s="7"/>
    </row>
    <row r="290" spans="2:6" x14ac:dyDescent="0.25">
      <c r="B290" s="5"/>
      <c r="C290" s="103">
        <v>51044</v>
      </c>
      <c r="D290" s="102">
        <v>8.8999999999999996E-2</v>
      </c>
      <c r="E290" s="100">
        <f t="shared" si="4"/>
        <v>8149</v>
      </c>
      <c r="F290" s="7"/>
    </row>
    <row r="291" spans="2:6" x14ac:dyDescent="0.25">
      <c r="B291" s="5"/>
      <c r="C291" s="103">
        <v>51075</v>
      </c>
      <c r="D291" s="102">
        <v>8.8999999999999996E-2</v>
      </c>
      <c r="E291" s="100">
        <f t="shared" si="4"/>
        <v>8149</v>
      </c>
      <c r="F291" s="7"/>
    </row>
    <row r="292" spans="2:6" x14ac:dyDescent="0.25">
      <c r="B292" s="5"/>
      <c r="C292" s="103">
        <v>51105</v>
      </c>
      <c r="D292" s="102">
        <v>8.8999999999999996E-2</v>
      </c>
      <c r="E292" s="100">
        <f t="shared" si="4"/>
        <v>8149</v>
      </c>
      <c r="F292" s="7"/>
    </row>
    <row r="293" spans="2:6" x14ac:dyDescent="0.25">
      <c r="B293" s="5"/>
      <c r="C293" s="103">
        <v>51136</v>
      </c>
      <c r="D293" s="102">
        <v>8.8999999999999996E-2</v>
      </c>
      <c r="E293" s="100">
        <f t="shared" si="4"/>
        <v>8149</v>
      </c>
      <c r="F293" s="7"/>
    </row>
    <row r="294" spans="2:6" x14ac:dyDescent="0.25">
      <c r="B294" s="5"/>
      <c r="C294" s="103">
        <v>51167</v>
      </c>
      <c r="D294" s="102">
        <v>8.8999999999999996E-2</v>
      </c>
      <c r="E294" s="100">
        <f t="shared" si="4"/>
        <v>8149</v>
      </c>
      <c r="F294" s="7"/>
    </row>
    <row r="295" spans="2:6" x14ac:dyDescent="0.25">
      <c r="B295" s="5"/>
      <c r="C295" s="103">
        <v>51196</v>
      </c>
      <c r="D295" s="102">
        <v>8.8999999999999996E-2</v>
      </c>
      <c r="E295" s="100">
        <f t="shared" si="4"/>
        <v>8149</v>
      </c>
      <c r="F295" s="7"/>
    </row>
    <row r="296" spans="2:6" x14ac:dyDescent="0.25">
      <c r="B296" s="5"/>
      <c r="C296" s="103">
        <v>51227</v>
      </c>
      <c r="D296" s="102">
        <v>8.8999999999999996E-2</v>
      </c>
      <c r="E296" s="100">
        <f t="shared" si="4"/>
        <v>8149</v>
      </c>
      <c r="F296" s="7"/>
    </row>
    <row r="297" spans="2:6" x14ac:dyDescent="0.25">
      <c r="B297" s="5"/>
      <c r="C297" s="103">
        <v>51257</v>
      </c>
      <c r="D297" s="102">
        <v>8.8999999999999996E-2</v>
      </c>
      <c r="E297" s="100">
        <f t="shared" si="4"/>
        <v>8149</v>
      </c>
      <c r="F297" s="7"/>
    </row>
    <row r="298" spans="2:6" x14ac:dyDescent="0.25">
      <c r="B298" s="5"/>
      <c r="C298" s="103">
        <v>51288</v>
      </c>
      <c r="D298" s="102">
        <v>8.8999999999999996E-2</v>
      </c>
      <c r="E298" s="100">
        <f t="shared" si="4"/>
        <v>8149</v>
      </c>
      <c r="F298" s="7"/>
    </row>
    <row r="299" spans="2:6" x14ac:dyDescent="0.25">
      <c r="B299" s="5"/>
      <c r="C299" s="103">
        <v>51318</v>
      </c>
      <c r="D299" s="102">
        <v>8.8999999999999996E-2</v>
      </c>
      <c r="E299" s="100">
        <f t="shared" si="4"/>
        <v>8149</v>
      </c>
      <c r="F299" s="7"/>
    </row>
    <row r="300" spans="2:6" x14ac:dyDescent="0.25">
      <c r="B300" s="5"/>
      <c r="C300" s="103">
        <v>51349</v>
      </c>
      <c r="D300" s="102">
        <v>8.8999999999999996E-2</v>
      </c>
      <c r="E300" s="100">
        <f t="shared" si="4"/>
        <v>8149</v>
      </c>
      <c r="F300" s="7"/>
    </row>
    <row r="301" spans="2:6" x14ac:dyDescent="0.25">
      <c r="B301" s="5"/>
      <c r="C301" s="103">
        <v>51380</v>
      </c>
      <c r="D301" s="102">
        <v>8.8999999999999996E-2</v>
      </c>
      <c r="E301" s="100">
        <f t="shared" si="4"/>
        <v>8149</v>
      </c>
      <c r="F301" s="7"/>
    </row>
    <row r="302" spans="2:6" x14ac:dyDescent="0.25">
      <c r="B302" s="5"/>
      <c r="C302" s="103">
        <v>51410</v>
      </c>
      <c r="D302" s="102">
        <v>8.8999999999999996E-2</v>
      </c>
      <c r="E302" s="100">
        <f t="shared" si="4"/>
        <v>8149</v>
      </c>
      <c r="F302" s="7"/>
    </row>
    <row r="303" spans="2:6" x14ac:dyDescent="0.25">
      <c r="B303" s="5"/>
      <c r="C303" s="103">
        <v>51441</v>
      </c>
      <c r="D303" s="102">
        <v>8.8999999999999996E-2</v>
      </c>
      <c r="E303" s="100">
        <f t="shared" si="4"/>
        <v>8149</v>
      </c>
      <c r="F303" s="7"/>
    </row>
    <row r="304" spans="2:6" x14ac:dyDescent="0.25">
      <c r="B304" s="5"/>
      <c r="C304" s="103">
        <v>51471</v>
      </c>
      <c r="D304" s="102">
        <v>8.8999999999999996E-2</v>
      </c>
      <c r="E304" s="100">
        <f t="shared" si="4"/>
        <v>8149</v>
      </c>
      <c r="F304" s="7"/>
    </row>
    <row r="305" spans="2:6" x14ac:dyDescent="0.25">
      <c r="B305" s="5"/>
      <c r="C305" s="103">
        <v>51502</v>
      </c>
      <c r="D305" s="102">
        <v>8.8999999999999996E-2</v>
      </c>
      <c r="E305" s="100">
        <f t="shared" si="4"/>
        <v>8149</v>
      </c>
      <c r="F305" s="7"/>
    </row>
    <row r="306" spans="2:6" x14ac:dyDescent="0.25">
      <c r="B306" s="5"/>
      <c r="C306" s="103">
        <v>51533</v>
      </c>
      <c r="D306" s="102">
        <v>8.8999999999999996E-2</v>
      </c>
      <c r="E306" s="100">
        <f t="shared" si="4"/>
        <v>8149</v>
      </c>
      <c r="F306" s="7"/>
    </row>
    <row r="307" spans="2:6" x14ac:dyDescent="0.25">
      <c r="B307" s="5"/>
      <c r="C307" s="103">
        <v>51561</v>
      </c>
      <c r="D307" s="102">
        <v>8.8999999999999996E-2</v>
      </c>
      <c r="E307" s="100">
        <f t="shared" si="4"/>
        <v>8149</v>
      </c>
      <c r="F307" s="7"/>
    </row>
    <row r="308" spans="2:6" x14ac:dyDescent="0.25">
      <c r="B308" s="5"/>
      <c r="C308" s="103">
        <v>51592</v>
      </c>
      <c r="D308" s="102">
        <v>8.8999999999999996E-2</v>
      </c>
      <c r="E308" s="100">
        <f t="shared" si="4"/>
        <v>8149</v>
      </c>
      <c r="F308" s="7"/>
    </row>
    <row r="309" spans="2:6" x14ac:dyDescent="0.25">
      <c r="B309" s="5"/>
      <c r="C309" s="103">
        <v>51622</v>
      </c>
      <c r="D309" s="102">
        <v>8.8999999999999996E-2</v>
      </c>
      <c r="E309" s="100">
        <f t="shared" si="4"/>
        <v>8149</v>
      </c>
      <c r="F309" s="7"/>
    </row>
    <row r="310" spans="2:6" x14ac:dyDescent="0.25">
      <c r="B310" s="5"/>
      <c r="C310" s="103">
        <v>51653</v>
      </c>
      <c r="D310" s="102">
        <v>8.8999999999999996E-2</v>
      </c>
      <c r="E310" s="100">
        <f t="shared" si="4"/>
        <v>8149</v>
      </c>
      <c r="F310" s="7"/>
    </row>
    <row r="311" spans="2:6" x14ac:dyDescent="0.25">
      <c r="B311" s="5"/>
      <c r="C311" s="103">
        <v>51683</v>
      </c>
      <c r="D311" s="102">
        <v>8.8999999999999996E-2</v>
      </c>
      <c r="E311" s="100">
        <f t="shared" si="4"/>
        <v>8149</v>
      </c>
      <c r="F311" s="7"/>
    </row>
    <row r="312" spans="2:6" x14ac:dyDescent="0.25">
      <c r="B312" s="5"/>
      <c r="C312" s="103">
        <v>51714</v>
      </c>
      <c r="D312" s="102">
        <v>8.8999999999999996E-2</v>
      </c>
      <c r="E312" s="100">
        <f t="shared" si="4"/>
        <v>8149</v>
      </c>
      <c r="F312" s="7"/>
    </row>
    <row r="313" spans="2:6" x14ac:dyDescent="0.25">
      <c r="B313" s="5"/>
      <c r="C313" s="103">
        <v>51745</v>
      </c>
      <c r="D313" s="102">
        <v>8.8999999999999996E-2</v>
      </c>
      <c r="E313" s="100">
        <f t="shared" si="4"/>
        <v>8149</v>
      </c>
      <c r="F313" s="7"/>
    </row>
    <row r="314" spans="2:6" x14ac:dyDescent="0.25">
      <c r="B314" s="5"/>
      <c r="C314" s="103">
        <v>51775</v>
      </c>
      <c r="D314" s="102">
        <v>8.8999999999999996E-2</v>
      </c>
      <c r="E314" s="100">
        <f t="shared" si="4"/>
        <v>8149</v>
      </c>
      <c r="F314" s="7"/>
    </row>
    <row r="315" spans="2:6" x14ac:dyDescent="0.25">
      <c r="B315" s="5"/>
      <c r="C315" s="103">
        <v>51806</v>
      </c>
      <c r="D315" s="102">
        <v>8.8999999999999996E-2</v>
      </c>
      <c r="E315" s="100">
        <f t="shared" si="4"/>
        <v>8149</v>
      </c>
      <c r="F315" s="7"/>
    </row>
    <row r="316" spans="2:6" x14ac:dyDescent="0.25">
      <c r="B316" s="5"/>
      <c r="C316" s="103">
        <v>51836</v>
      </c>
      <c r="D316" s="102">
        <v>8.8999999999999996E-2</v>
      </c>
      <c r="E316" s="100">
        <f t="shared" si="4"/>
        <v>8149</v>
      </c>
      <c r="F316" s="7"/>
    </row>
    <row r="317" spans="2:6" x14ac:dyDescent="0.25">
      <c r="B317" s="5"/>
      <c r="C317" s="103">
        <v>51867</v>
      </c>
      <c r="D317" s="102">
        <v>8.8999999999999996E-2</v>
      </c>
      <c r="E317" s="100">
        <f t="shared" si="4"/>
        <v>8149</v>
      </c>
      <c r="F317" s="7"/>
    </row>
    <row r="318" spans="2:6" x14ac:dyDescent="0.25">
      <c r="B318" s="5"/>
      <c r="C318" s="103">
        <v>51898</v>
      </c>
      <c r="D318" s="102">
        <v>8.8999999999999996E-2</v>
      </c>
      <c r="E318" s="100">
        <f t="shared" si="4"/>
        <v>8149</v>
      </c>
      <c r="F318" s="7"/>
    </row>
    <row r="319" spans="2:6" x14ac:dyDescent="0.25">
      <c r="B319" s="5"/>
      <c r="C319" s="103">
        <v>51926</v>
      </c>
      <c r="D319" s="102">
        <v>8.8999999999999996E-2</v>
      </c>
      <c r="E319" s="100">
        <f t="shared" si="4"/>
        <v>8149</v>
      </c>
      <c r="F319" s="7"/>
    </row>
    <row r="320" spans="2:6" x14ac:dyDescent="0.25">
      <c r="B320" s="5"/>
      <c r="C320" s="103">
        <v>51957</v>
      </c>
      <c r="D320" s="102">
        <v>8.8999999999999996E-2</v>
      </c>
      <c r="E320" s="100">
        <f t="shared" si="4"/>
        <v>8149</v>
      </c>
      <c r="F320" s="7"/>
    </row>
    <row r="321" spans="2:6" x14ac:dyDescent="0.25">
      <c r="B321" s="5"/>
      <c r="C321" s="103">
        <v>51987</v>
      </c>
      <c r="D321" s="102">
        <v>8.8999999999999996E-2</v>
      </c>
      <c r="E321" s="100">
        <f t="shared" si="4"/>
        <v>8149</v>
      </c>
      <c r="F321" s="7"/>
    </row>
    <row r="322" spans="2:6" x14ac:dyDescent="0.25">
      <c r="B322" s="5"/>
      <c r="C322" s="103">
        <v>52018</v>
      </c>
      <c r="D322" s="102">
        <v>8.8999999999999996E-2</v>
      </c>
      <c r="E322" s="100">
        <f t="shared" si="4"/>
        <v>8149</v>
      </c>
      <c r="F322" s="7"/>
    </row>
    <row r="323" spans="2:6" x14ac:dyDescent="0.25">
      <c r="B323" s="5"/>
      <c r="C323" s="103">
        <v>52048</v>
      </c>
      <c r="D323" s="102">
        <v>8.8999999999999996E-2</v>
      </c>
      <c r="E323" s="100">
        <f t="shared" si="4"/>
        <v>8149</v>
      </c>
      <c r="F323" s="7"/>
    </row>
    <row r="324" spans="2:6" x14ac:dyDescent="0.25">
      <c r="B324" s="5"/>
      <c r="C324" s="103">
        <v>52079</v>
      </c>
      <c r="D324" s="102">
        <v>8.8999999999999996E-2</v>
      </c>
      <c r="E324" s="100">
        <f t="shared" si="4"/>
        <v>8149</v>
      </c>
      <c r="F324" s="7"/>
    </row>
    <row r="325" spans="2:6" x14ac:dyDescent="0.25">
      <c r="B325" s="5"/>
      <c r="C325" s="103">
        <v>52110</v>
      </c>
      <c r="D325" s="102">
        <v>8.8999999999999996E-2</v>
      </c>
      <c r="E325" s="100">
        <f t="shared" si="4"/>
        <v>8149</v>
      </c>
      <c r="F325" s="7"/>
    </row>
    <row r="326" spans="2:6" x14ac:dyDescent="0.25">
      <c r="B326" s="5"/>
      <c r="C326" s="103">
        <v>52140</v>
      </c>
      <c r="D326" s="102">
        <v>8.8999999999999996E-2</v>
      </c>
      <c r="E326" s="100">
        <f t="shared" si="4"/>
        <v>8149</v>
      </c>
      <c r="F326" s="7"/>
    </row>
    <row r="327" spans="2:6" x14ac:dyDescent="0.25">
      <c r="B327" s="5"/>
      <c r="C327" s="103">
        <v>52171</v>
      </c>
      <c r="D327" s="102">
        <v>8.8999999999999996E-2</v>
      </c>
      <c r="E327" s="100">
        <f t="shared" ref="E327:E390" si="5">E326</f>
        <v>8149</v>
      </c>
      <c r="F327" s="7"/>
    </row>
    <row r="328" spans="2:6" x14ac:dyDescent="0.25">
      <c r="B328" s="5"/>
      <c r="C328" s="103">
        <v>52201</v>
      </c>
      <c r="D328" s="102">
        <v>8.8999999999999996E-2</v>
      </c>
      <c r="E328" s="100">
        <f t="shared" si="5"/>
        <v>8149</v>
      </c>
      <c r="F328" s="7"/>
    </row>
    <row r="329" spans="2:6" x14ac:dyDescent="0.25">
      <c r="B329" s="5"/>
      <c r="C329" s="103">
        <v>52232</v>
      </c>
      <c r="D329" s="102">
        <v>8.8999999999999996E-2</v>
      </c>
      <c r="E329" s="100">
        <f t="shared" si="5"/>
        <v>8149</v>
      </c>
      <c r="F329" s="7"/>
    </row>
    <row r="330" spans="2:6" x14ac:dyDescent="0.25">
      <c r="B330" s="5"/>
      <c r="C330" s="103">
        <v>52263</v>
      </c>
      <c r="D330" s="102">
        <v>8.8999999999999996E-2</v>
      </c>
      <c r="E330" s="100">
        <f t="shared" si="5"/>
        <v>8149</v>
      </c>
      <c r="F330" s="7"/>
    </row>
    <row r="331" spans="2:6" x14ac:dyDescent="0.25">
      <c r="B331" s="5"/>
      <c r="C331" s="103">
        <v>52291</v>
      </c>
      <c r="D331" s="102">
        <v>8.8999999999999996E-2</v>
      </c>
      <c r="E331" s="100">
        <f t="shared" si="5"/>
        <v>8149</v>
      </c>
      <c r="F331" s="7"/>
    </row>
    <row r="332" spans="2:6" x14ac:dyDescent="0.25">
      <c r="B332" s="5"/>
      <c r="C332" s="103">
        <v>52322</v>
      </c>
      <c r="D332" s="102">
        <v>8.8999999999999996E-2</v>
      </c>
      <c r="E332" s="100">
        <f t="shared" si="5"/>
        <v>8149</v>
      </c>
      <c r="F332" s="7"/>
    </row>
    <row r="333" spans="2:6" x14ac:dyDescent="0.25">
      <c r="B333" s="5"/>
      <c r="C333" s="103">
        <v>52352</v>
      </c>
      <c r="D333" s="102">
        <v>8.8999999999999996E-2</v>
      </c>
      <c r="E333" s="100">
        <f t="shared" si="5"/>
        <v>8149</v>
      </c>
      <c r="F333" s="7"/>
    </row>
    <row r="334" spans="2:6" x14ac:dyDescent="0.25">
      <c r="B334" s="5"/>
      <c r="C334" s="103">
        <v>52383</v>
      </c>
      <c r="D334" s="102">
        <v>8.8999999999999996E-2</v>
      </c>
      <c r="E334" s="100">
        <f t="shared" si="5"/>
        <v>8149</v>
      </c>
      <c r="F334" s="7"/>
    </row>
    <row r="335" spans="2:6" x14ac:dyDescent="0.25">
      <c r="B335" s="5"/>
      <c r="C335" s="103">
        <v>52413</v>
      </c>
      <c r="D335" s="102">
        <v>8.8999999999999996E-2</v>
      </c>
      <c r="E335" s="100">
        <f t="shared" si="5"/>
        <v>8149</v>
      </c>
      <c r="F335" s="7"/>
    </row>
    <row r="336" spans="2:6" x14ac:dyDescent="0.25">
      <c r="B336" s="5"/>
      <c r="C336" s="103">
        <v>52444</v>
      </c>
      <c r="D336" s="102">
        <v>8.8999999999999996E-2</v>
      </c>
      <c r="E336" s="100">
        <f t="shared" si="5"/>
        <v>8149</v>
      </c>
      <c r="F336" s="7"/>
    </row>
    <row r="337" spans="2:6" x14ac:dyDescent="0.25">
      <c r="B337" s="5"/>
      <c r="C337" s="103">
        <v>52475</v>
      </c>
      <c r="D337" s="102">
        <v>8.8999999999999996E-2</v>
      </c>
      <c r="E337" s="100">
        <f t="shared" si="5"/>
        <v>8149</v>
      </c>
      <c r="F337" s="7"/>
    </row>
    <row r="338" spans="2:6" x14ac:dyDescent="0.25">
      <c r="B338" s="5"/>
      <c r="C338" s="103">
        <v>52505</v>
      </c>
      <c r="D338" s="102">
        <v>8.8999999999999996E-2</v>
      </c>
      <c r="E338" s="100">
        <f t="shared" si="5"/>
        <v>8149</v>
      </c>
      <c r="F338" s="7"/>
    </row>
    <row r="339" spans="2:6" x14ac:dyDescent="0.25">
      <c r="B339" s="5"/>
      <c r="C339" s="103">
        <v>52536</v>
      </c>
      <c r="D339" s="102">
        <v>8.8999999999999996E-2</v>
      </c>
      <c r="E339" s="100">
        <f t="shared" si="5"/>
        <v>8149</v>
      </c>
      <c r="F339" s="7"/>
    </row>
    <row r="340" spans="2:6" x14ac:dyDescent="0.25">
      <c r="B340" s="5"/>
      <c r="C340" s="103">
        <v>52566</v>
      </c>
      <c r="D340" s="102">
        <v>8.8999999999999996E-2</v>
      </c>
      <c r="E340" s="100">
        <f t="shared" si="5"/>
        <v>8149</v>
      </c>
      <c r="F340" s="7"/>
    </row>
    <row r="341" spans="2:6" x14ac:dyDescent="0.25">
      <c r="B341" s="5"/>
      <c r="C341" s="103">
        <v>52597</v>
      </c>
      <c r="D341" s="102">
        <v>8.8999999999999996E-2</v>
      </c>
      <c r="E341" s="100">
        <f t="shared" si="5"/>
        <v>8149</v>
      </c>
      <c r="F341" s="7"/>
    </row>
    <row r="342" spans="2:6" x14ac:dyDescent="0.25">
      <c r="B342" s="5"/>
      <c r="C342" s="103">
        <v>52628</v>
      </c>
      <c r="D342" s="102">
        <v>8.8999999999999996E-2</v>
      </c>
      <c r="E342" s="100">
        <f t="shared" si="5"/>
        <v>8149</v>
      </c>
      <c r="F342" s="7"/>
    </row>
    <row r="343" spans="2:6" x14ac:dyDescent="0.25">
      <c r="B343" s="5"/>
      <c r="C343" s="103">
        <v>52657</v>
      </c>
      <c r="D343" s="102">
        <v>8.8999999999999996E-2</v>
      </c>
      <c r="E343" s="100">
        <f t="shared" si="5"/>
        <v>8149</v>
      </c>
      <c r="F343" s="7"/>
    </row>
    <row r="344" spans="2:6" x14ac:dyDescent="0.25">
      <c r="B344" s="5"/>
      <c r="C344" s="103">
        <v>52688</v>
      </c>
      <c r="D344" s="102">
        <v>8.8999999999999996E-2</v>
      </c>
      <c r="E344" s="100">
        <f t="shared" si="5"/>
        <v>8149</v>
      </c>
      <c r="F344" s="7"/>
    </row>
    <row r="345" spans="2:6" x14ac:dyDescent="0.25">
      <c r="B345" s="5"/>
      <c r="C345" s="103">
        <v>52718</v>
      </c>
      <c r="D345" s="102">
        <v>8.8999999999999996E-2</v>
      </c>
      <c r="E345" s="100">
        <f t="shared" si="5"/>
        <v>8149</v>
      </c>
      <c r="F345" s="7"/>
    </row>
    <row r="346" spans="2:6" x14ac:dyDescent="0.25">
      <c r="B346" s="5"/>
      <c r="C346" s="103">
        <v>52749</v>
      </c>
      <c r="D346" s="102">
        <v>8.8999999999999996E-2</v>
      </c>
      <c r="E346" s="100">
        <f t="shared" si="5"/>
        <v>8149</v>
      </c>
      <c r="F346" s="7"/>
    </row>
    <row r="347" spans="2:6" x14ac:dyDescent="0.25">
      <c r="B347" s="5"/>
      <c r="C347" s="103">
        <v>52779</v>
      </c>
      <c r="D347" s="102">
        <v>8.8999999999999996E-2</v>
      </c>
      <c r="E347" s="100">
        <f t="shared" si="5"/>
        <v>8149</v>
      </c>
      <c r="F347" s="7"/>
    </row>
    <row r="348" spans="2:6" x14ac:dyDescent="0.25">
      <c r="B348" s="5"/>
      <c r="C348" s="103">
        <v>52810</v>
      </c>
      <c r="D348" s="102">
        <v>8.8999999999999996E-2</v>
      </c>
      <c r="E348" s="100">
        <f t="shared" si="5"/>
        <v>8149</v>
      </c>
      <c r="F348" s="7"/>
    </row>
    <row r="349" spans="2:6" x14ac:dyDescent="0.25">
      <c r="B349" s="5"/>
      <c r="C349" s="103">
        <v>52841</v>
      </c>
      <c r="D349" s="102">
        <v>8.8999999999999996E-2</v>
      </c>
      <c r="E349" s="100">
        <f t="shared" si="5"/>
        <v>8149</v>
      </c>
      <c r="F349" s="7"/>
    </row>
    <row r="350" spans="2:6" x14ac:dyDescent="0.25">
      <c r="B350" s="5"/>
      <c r="C350" s="103">
        <v>52871</v>
      </c>
      <c r="D350" s="102">
        <v>8.8999999999999996E-2</v>
      </c>
      <c r="E350" s="100">
        <f t="shared" si="5"/>
        <v>8149</v>
      </c>
      <c r="F350" s="7"/>
    </row>
    <row r="351" spans="2:6" x14ac:dyDescent="0.25">
      <c r="B351" s="5"/>
      <c r="C351" s="103">
        <v>52902</v>
      </c>
      <c r="D351" s="102">
        <v>8.8999999999999996E-2</v>
      </c>
      <c r="E351" s="100">
        <f t="shared" si="5"/>
        <v>8149</v>
      </c>
      <c r="F351" s="7"/>
    </row>
    <row r="352" spans="2:6" x14ac:dyDescent="0.25">
      <c r="B352" s="5"/>
      <c r="C352" s="103">
        <v>52932</v>
      </c>
      <c r="D352" s="102">
        <v>8.8999999999999996E-2</v>
      </c>
      <c r="E352" s="100">
        <f t="shared" si="5"/>
        <v>8149</v>
      </c>
      <c r="F352" s="7"/>
    </row>
    <row r="353" spans="2:6" x14ac:dyDescent="0.25">
      <c r="B353" s="5"/>
      <c r="C353" s="103">
        <v>52963</v>
      </c>
      <c r="D353" s="102">
        <v>8.8999999999999996E-2</v>
      </c>
      <c r="E353" s="100">
        <f t="shared" si="5"/>
        <v>8149</v>
      </c>
      <c r="F353" s="7"/>
    </row>
    <row r="354" spans="2:6" x14ac:dyDescent="0.25">
      <c r="B354" s="5"/>
      <c r="C354" s="103">
        <v>52994</v>
      </c>
      <c r="D354" s="102">
        <v>8.8999999999999996E-2</v>
      </c>
      <c r="E354" s="100">
        <f t="shared" si="5"/>
        <v>8149</v>
      </c>
      <c r="F354" s="7"/>
    </row>
    <row r="355" spans="2:6" x14ac:dyDescent="0.25">
      <c r="B355" s="5"/>
      <c r="C355" s="103">
        <v>53022</v>
      </c>
      <c r="D355" s="102">
        <v>8.8999999999999996E-2</v>
      </c>
      <c r="E355" s="100">
        <f t="shared" si="5"/>
        <v>8149</v>
      </c>
      <c r="F355" s="7"/>
    </row>
    <row r="356" spans="2:6" x14ac:dyDescent="0.25">
      <c r="B356" s="5"/>
      <c r="C356" s="103">
        <v>53053</v>
      </c>
      <c r="D356" s="102">
        <v>8.8999999999999996E-2</v>
      </c>
      <c r="E356" s="100">
        <f t="shared" si="5"/>
        <v>8149</v>
      </c>
      <c r="F356" s="7"/>
    </row>
    <row r="357" spans="2:6" x14ac:dyDescent="0.25">
      <c r="B357" s="5"/>
      <c r="C357" s="103">
        <v>53083</v>
      </c>
      <c r="D357" s="102">
        <v>8.8999999999999996E-2</v>
      </c>
      <c r="E357" s="100">
        <f t="shared" si="5"/>
        <v>8149</v>
      </c>
      <c r="F357" s="7"/>
    </row>
    <row r="358" spans="2:6" x14ac:dyDescent="0.25">
      <c r="B358" s="5"/>
      <c r="C358" s="103">
        <v>53114</v>
      </c>
      <c r="D358" s="102">
        <v>8.8999999999999996E-2</v>
      </c>
      <c r="E358" s="100">
        <f t="shared" si="5"/>
        <v>8149</v>
      </c>
      <c r="F358" s="7"/>
    </row>
    <row r="359" spans="2:6" x14ac:dyDescent="0.25">
      <c r="B359" s="5"/>
      <c r="C359" s="103">
        <v>53144</v>
      </c>
      <c r="D359" s="102">
        <v>8.8999999999999996E-2</v>
      </c>
      <c r="E359" s="100">
        <f t="shared" si="5"/>
        <v>8149</v>
      </c>
      <c r="F359" s="7"/>
    </row>
    <row r="360" spans="2:6" x14ac:dyDescent="0.25">
      <c r="B360" s="5"/>
      <c r="C360" s="103">
        <v>53175</v>
      </c>
      <c r="D360" s="102">
        <v>8.8999999999999996E-2</v>
      </c>
      <c r="E360" s="100">
        <f t="shared" si="5"/>
        <v>8149</v>
      </c>
      <c r="F360" s="7"/>
    </row>
    <row r="361" spans="2:6" x14ac:dyDescent="0.25">
      <c r="B361" s="5"/>
      <c r="C361" s="103">
        <v>53206</v>
      </c>
      <c r="D361" s="102">
        <v>8.8999999999999996E-2</v>
      </c>
      <c r="E361" s="100">
        <f t="shared" si="5"/>
        <v>8149</v>
      </c>
      <c r="F361" s="7"/>
    </row>
    <row r="362" spans="2:6" x14ac:dyDescent="0.25">
      <c r="B362" s="5"/>
      <c r="C362" s="103">
        <v>53236</v>
      </c>
      <c r="D362" s="102">
        <v>8.8999999999999996E-2</v>
      </c>
      <c r="E362" s="100">
        <f t="shared" si="5"/>
        <v>8149</v>
      </c>
      <c r="F362" s="7"/>
    </row>
    <row r="363" spans="2:6" x14ac:dyDescent="0.25">
      <c r="B363" s="5"/>
      <c r="C363" s="103">
        <v>53267</v>
      </c>
      <c r="D363" s="102">
        <v>8.8999999999999996E-2</v>
      </c>
      <c r="E363" s="100">
        <f t="shared" si="5"/>
        <v>8149</v>
      </c>
      <c r="F363" s="7"/>
    </row>
    <row r="364" spans="2:6" x14ac:dyDescent="0.25">
      <c r="B364" s="5"/>
      <c r="C364" s="103">
        <v>53297</v>
      </c>
      <c r="D364" s="102">
        <v>8.8999999999999996E-2</v>
      </c>
      <c r="E364" s="100">
        <f t="shared" si="5"/>
        <v>8149</v>
      </c>
      <c r="F364" s="7"/>
    </row>
    <row r="365" spans="2:6" x14ac:dyDescent="0.25">
      <c r="B365" s="5"/>
      <c r="C365" s="103">
        <v>53328</v>
      </c>
      <c r="D365" s="102">
        <v>8.8999999999999996E-2</v>
      </c>
      <c r="E365" s="100">
        <f t="shared" si="5"/>
        <v>8149</v>
      </c>
      <c r="F365" s="7"/>
    </row>
    <row r="366" spans="2:6" x14ac:dyDescent="0.25">
      <c r="B366" s="5"/>
      <c r="C366" s="103">
        <v>53359</v>
      </c>
      <c r="D366" s="102">
        <v>8.8999999999999996E-2</v>
      </c>
      <c r="E366" s="100">
        <f t="shared" si="5"/>
        <v>8149</v>
      </c>
      <c r="F366" s="7"/>
    </row>
    <row r="367" spans="2:6" x14ac:dyDescent="0.25">
      <c r="B367" s="5"/>
      <c r="C367" s="103">
        <v>53387</v>
      </c>
      <c r="D367" s="102">
        <v>8.8999999999999996E-2</v>
      </c>
      <c r="E367" s="100">
        <f t="shared" si="5"/>
        <v>8149</v>
      </c>
      <c r="F367" s="7"/>
    </row>
    <row r="368" spans="2:6" x14ac:dyDescent="0.25">
      <c r="B368" s="5"/>
      <c r="C368" s="103">
        <v>53418</v>
      </c>
      <c r="D368" s="102">
        <v>8.8999999999999996E-2</v>
      </c>
      <c r="E368" s="100">
        <f t="shared" si="5"/>
        <v>8149</v>
      </c>
      <c r="F368" s="7"/>
    </row>
    <row r="369" spans="2:6" x14ac:dyDescent="0.25">
      <c r="B369" s="5"/>
      <c r="C369" s="103">
        <v>53448</v>
      </c>
      <c r="D369" s="102">
        <v>8.8999999999999996E-2</v>
      </c>
      <c r="E369" s="100">
        <f t="shared" si="5"/>
        <v>8149</v>
      </c>
      <c r="F369" s="7"/>
    </row>
    <row r="370" spans="2:6" x14ac:dyDescent="0.25">
      <c r="B370" s="5"/>
      <c r="C370" s="103">
        <v>53479</v>
      </c>
      <c r="D370" s="102">
        <v>8.8999999999999996E-2</v>
      </c>
      <c r="E370" s="100">
        <f t="shared" si="5"/>
        <v>8149</v>
      </c>
      <c r="F370" s="7"/>
    </row>
    <row r="371" spans="2:6" x14ac:dyDescent="0.25">
      <c r="B371" s="5"/>
      <c r="C371" s="103">
        <v>53509</v>
      </c>
      <c r="D371" s="102">
        <v>8.8999999999999996E-2</v>
      </c>
      <c r="E371" s="100">
        <f t="shared" si="5"/>
        <v>8149</v>
      </c>
      <c r="F371" s="7"/>
    </row>
    <row r="372" spans="2:6" x14ac:dyDescent="0.25">
      <c r="B372" s="5"/>
      <c r="C372" s="103">
        <v>53540</v>
      </c>
      <c r="D372" s="102">
        <v>8.8999999999999996E-2</v>
      </c>
      <c r="E372" s="100">
        <f t="shared" si="5"/>
        <v>8149</v>
      </c>
      <c r="F372" s="7"/>
    </row>
    <row r="373" spans="2:6" x14ac:dyDescent="0.25">
      <c r="B373" s="5"/>
      <c r="C373" s="103">
        <v>53571</v>
      </c>
      <c r="D373" s="102">
        <v>8.8999999999999996E-2</v>
      </c>
      <c r="E373" s="100">
        <f t="shared" si="5"/>
        <v>8149</v>
      </c>
      <c r="F373" s="7"/>
    </row>
    <row r="374" spans="2:6" x14ac:dyDescent="0.25">
      <c r="B374" s="5"/>
      <c r="C374" s="103">
        <v>53601</v>
      </c>
      <c r="D374" s="102">
        <v>8.8999999999999996E-2</v>
      </c>
      <c r="E374" s="100">
        <f t="shared" si="5"/>
        <v>8149</v>
      </c>
      <c r="F374" s="7"/>
    </row>
    <row r="375" spans="2:6" x14ac:dyDescent="0.25">
      <c r="B375" s="5"/>
      <c r="C375" s="103">
        <v>53632</v>
      </c>
      <c r="D375" s="102">
        <v>8.8999999999999996E-2</v>
      </c>
      <c r="E375" s="100">
        <f t="shared" si="5"/>
        <v>8149</v>
      </c>
      <c r="F375" s="7"/>
    </row>
    <row r="376" spans="2:6" x14ac:dyDescent="0.25">
      <c r="B376" s="5"/>
      <c r="C376" s="103">
        <v>53662</v>
      </c>
      <c r="D376" s="102">
        <v>8.8999999999999996E-2</v>
      </c>
      <c r="E376" s="100">
        <f t="shared" si="5"/>
        <v>8149</v>
      </c>
      <c r="F376" s="7"/>
    </row>
    <row r="377" spans="2:6" x14ac:dyDescent="0.25">
      <c r="B377" s="5"/>
      <c r="C377" s="103">
        <v>53693</v>
      </c>
      <c r="D377" s="102">
        <v>8.8999999999999996E-2</v>
      </c>
      <c r="E377" s="100">
        <f t="shared" si="5"/>
        <v>8149</v>
      </c>
      <c r="F377" s="7"/>
    </row>
    <row r="378" spans="2:6" x14ac:dyDescent="0.25">
      <c r="B378" s="5"/>
      <c r="C378" s="103">
        <v>53724</v>
      </c>
      <c r="D378" s="102">
        <v>8.8999999999999996E-2</v>
      </c>
      <c r="E378" s="100">
        <f t="shared" si="5"/>
        <v>8149</v>
      </c>
      <c r="F378" s="7"/>
    </row>
    <row r="379" spans="2:6" x14ac:dyDescent="0.25">
      <c r="B379" s="5"/>
      <c r="C379" s="103">
        <v>53752</v>
      </c>
      <c r="D379" s="102">
        <v>8.8999999999999996E-2</v>
      </c>
      <c r="E379" s="100">
        <f t="shared" si="5"/>
        <v>8149</v>
      </c>
      <c r="F379" s="7"/>
    </row>
    <row r="380" spans="2:6" x14ac:dyDescent="0.25">
      <c r="B380" s="5"/>
      <c r="C380" s="103">
        <v>53783</v>
      </c>
      <c r="D380" s="102">
        <v>8.8999999999999996E-2</v>
      </c>
      <c r="E380" s="100">
        <f t="shared" si="5"/>
        <v>8149</v>
      </c>
      <c r="F380" s="7"/>
    </row>
    <row r="381" spans="2:6" x14ac:dyDescent="0.25">
      <c r="B381" s="5"/>
      <c r="C381" s="103">
        <v>53813</v>
      </c>
      <c r="D381" s="102">
        <v>8.8999999999999996E-2</v>
      </c>
      <c r="E381" s="100">
        <f t="shared" si="5"/>
        <v>8149</v>
      </c>
      <c r="F381" s="7"/>
    </row>
    <row r="382" spans="2:6" x14ac:dyDescent="0.25">
      <c r="B382" s="5"/>
      <c r="C382" s="103">
        <v>53844</v>
      </c>
      <c r="D382" s="102">
        <v>8.8999999999999996E-2</v>
      </c>
      <c r="E382" s="100">
        <f t="shared" si="5"/>
        <v>8149</v>
      </c>
      <c r="F382" s="7"/>
    </row>
    <row r="383" spans="2:6" x14ac:dyDescent="0.25">
      <c r="B383" s="5"/>
      <c r="C383" s="103">
        <v>53874</v>
      </c>
      <c r="D383" s="102">
        <v>8.8999999999999996E-2</v>
      </c>
      <c r="E383" s="100">
        <f t="shared" si="5"/>
        <v>8149</v>
      </c>
      <c r="F383" s="7"/>
    </row>
    <row r="384" spans="2:6" x14ac:dyDescent="0.25">
      <c r="B384" s="5"/>
      <c r="C384" s="103">
        <v>53905</v>
      </c>
      <c r="D384" s="102">
        <v>8.8999999999999996E-2</v>
      </c>
      <c r="E384" s="100">
        <f t="shared" si="5"/>
        <v>8149</v>
      </c>
      <c r="F384" s="7"/>
    </row>
    <row r="385" spans="2:6" x14ac:dyDescent="0.25">
      <c r="B385" s="5"/>
      <c r="C385" s="103">
        <v>53936</v>
      </c>
      <c r="D385" s="102">
        <v>8.8999999999999996E-2</v>
      </c>
      <c r="E385" s="100">
        <f t="shared" si="5"/>
        <v>8149</v>
      </c>
      <c r="F385" s="7"/>
    </row>
    <row r="386" spans="2:6" x14ac:dyDescent="0.25">
      <c r="B386" s="5"/>
      <c r="C386" s="103">
        <v>53966</v>
      </c>
      <c r="D386" s="102">
        <v>8.8999999999999996E-2</v>
      </c>
      <c r="E386" s="100">
        <f t="shared" si="5"/>
        <v>8149</v>
      </c>
      <c r="F386" s="7"/>
    </row>
    <row r="387" spans="2:6" x14ac:dyDescent="0.25">
      <c r="B387" s="5"/>
      <c r="C387" s="103">
        <v>53997</v>
      </c>
      <c r="D387" s="102">
        <v>8.8999999999999996E-2</v>
      </c>
      <c r="E387" s="100">
        <f t="shared" si="5"/>
        <v>8149</v>
      </c>
      <c r="F387" s="7"/>
    </row>
    <row r="388" spans="2:6" x14ac:dyDescent="0.25">
      <c r="B388" s="5"/>
      <c r="C388" s="103">
        <v>54027</v>
      </c>
      <c r="D388" s="102">
        <v>8.8999999999999996E-2</v>
      </c>
      <c r="E388" s="100">
        <f t="shared" si="5"/>
        <v>8149</v>
      </c>
      <c r="F388" s="7"/>
    </row>
    <row r="389" spans="2:6" x14ac:dyDescent="0.25">
      <c r="B389" s="5"/>
      <c r="C389" s="103">
        <v>54058</v>
      </c>
      <c r="D389" s="102">
        <v>8.8999999999999996E-2</v>
      </c>
      <c r="E389" s="100">
        <f t="shared" si="5"/>
        <v>8149</v>
      </c>
      <c r="F389" s="7"/>
    </row>
    <row r="390" spans="2:6" x14ac:dyDescent="0.25">
      <c r="B390" s="5"/>
      <c r="C390" s="103">
        <v>54089</v>
      </c>
      <c r="D390" s="102">
        <v>8.8999999999999996E-2</v>
      </c>
      <c r="E390" s="100">
        <f t="shared" si="5"/>
        <v>8149</v>
      </c>
      <c r="F390" s="7"/>
    </row>
    <row r="391" spans="2:6" x14ac:dyDescent="0.25">
      <c r="B391" s="5"/>
      <c r="C391" s="103">
        <v>54118</v>
      </c>
      <c r="D391" s="102">
        <v>8.8999999999999996E-2</v>
      </c>
      <c r="E391" s="100">
        <f t="shared" ref="E391:E412" si="6">E390</f>
        <v>8149</v>
      </c>
      <c r="F391" s="7"/>
    </row>
    <row r="392" spans="2:6" x14ac:dyDescent="0.25">
      <c r="B392" s="5"/>
      <c r="C392" s="103">
        <v>54149</v>
      </c>
      <c r="D392" s="102">
        <v>8.8999999999999996E-2</v>
      </c>
      <c r="E392" s="100">
        <f t="shared" si="6"/>
        <v>8149</v>
      </c>
      <c r="F392" s="7"/>
    </row>
    <row r="393" spans="2:6" x14ac:dyDescent="0.25">
      <c r="B393" s="5"/>
      <c r="C393" s="103">
        <v>54179</v>
      </c>
      <c r="D393" s="102">
        <v>8.8999999999999996E-2</v>
      </c>
      <c r="E393" s="100">
        <f t="shared" si="6"/>
        <v>8149</v>
      </c>
      <c r="F393" s="7"/>
    </row>
    <row r="394" spans="2:6" x14ac:dyDescent="0.25">
      <c r="B394" s="5"/>
      <c r="C394" s="103">
        <v>54210</v>
      </c>
      <c r="D394" s="102">
        <v>8.8999999999999996E-2</v>
      </c>
      <c r="E394" s="100">
        <f t="shared" si="6"/>
        <v>8149</v>
      </c>
      <c r="F394" s="7"/>
    </row>
    <row r="395" spans="2:6" x14ac:dyDescent="0.25">
      <c r="B395" s="5"/>
      <c r="C395" s="103">
        <v>54240</v>
      </c>
      <c r="D395" s="102">
        <v>8.8999999999999996E-2</v>
      </c>
      <c r="E395" s="100">
        <f t="shared" si="6"/>
        <v>8149</v>
      </c>
      <c r="F395" s="7"/>
    </row>
    <row r="396" spans="2:6" x14ac:dyDescent="0.25">
      <c r="B396" s="5"/>
      <c r="C396" s="103">
        <v>54271</v>
      </c>
      <c r="D396" s="102">
        <v>8.8999999999999996E-2</v>
      </c>
      <c r="E396" s="100">
        <f t="shared" si="6"/>
        <v>8149</v>
      </c>
      <c r="F396" s="7"/>
    </row>
    <row r="397" spans="2:6" x14ac:dyDescent="0.25">
      <c r="B397" s="5"/>
      <c r="C397" s="103">
        <v>54302</v>
      </c>
      <c r="D397" s="102">
        <v>8.8999999999999996E-2</v>
      </c>
      <c r="E397" s="100">
        <f t="shared" si="6"/>
        <v>8149</v>
      </c>
      <c r="F397" s="7"/>
    </row>
    <row r="398" spans="2:6" x14ac:dyDescent="0.25">
      <c r="B398" s="5"/>
      <c r="C398" s="103">
        <v>54332</v>
      </c>
      <c r="D398" s="102">
        <v>8.8999999999999996E-2</v>
      </c>
      <c r="E398" s="100">
        <f t="shared" si="6"/>
        <v>8149</v>
      </c>
      <c r="F398" s="7"/>
    </row>
    <row r="399" spans="2:6" x14ac:dyDescent="0.25">
      <c r="B399" s="5"/>
      <c r="C399" s="103">
        <v>54363</v>
      </c>
      <c r="D399" s="102">
        <v>8.8999999999999996E-2</v>
      </c>
      <c r="E399" s="100">
        <f t="shared" si="6"/>
        <v>8149</v>
      </c>
      <c r="F399" s="7"/>
    </row>
    <row r="400" spans="2:6" x14ac:dyDescent="0.25">
      <c r="B400" s="5"/>
      <c r="C400" s="103">
        <v>54393</v>
      </c>
      <c r="D400" s="102">
        <v>8.8999999999999996E-2</v>
      </c>
      <c r="E400" s="100">
        <f t="shared" si="6"/>
        <v>8149</v>
      </c>
      <c r="F400" s="7"/>
    </row>
    <row r="401" spans="2:6" x14ac:dyDescent="0.25">
      <c r="B401" s="5"/>
      <c r="C401" s="103">
        <v>54424</v>
      </c>
      <c r="D401" s="102">
        <v>8.8999999999999996E-2</v>
      </c>
      <c r="E401" s="100">
        <f t="shared" si="6"/>
        <v>8149</v>
      </c>
      <c r="F401" s="7"/>
    </row>
    <row r="402" spans="2:6" x14ac:dyDescent="0.25">
      <c r="B402" s="5"/>
      <c r="C402" s="103">
        <v>54455</v>
      </c>
      <c r="D402" s="102">
        <v>8.8999999999999996E-2</v>
      </c>
      <c r="E402" s="100">
        <f t="shared" si="6"/>
        <v>8149</v>
      </c>
      <c r="F402" s="7"/>
    </row>
    <row r="403" spans="2:6" x14ac:dyDescent="0.25">
      <c r="B403" s="5"/>
      <c r="C403" s="103">
        <v>54483</v>
      </c>
      <c r="D403" s="102">
        <v>8.8999999999999996E-2</v>
      </c>
      <c r="E403" s="100">
        <f t="shared" si="6"/>
        <v>8149</v>
      </c>
      <c r="F403" s="7"/>
    </row>
    <row r="404" spans="2:6" x14ac:dyDescent="0.25">
      <c r="B404" s="5"/>
      <c r="C404" s="103">
        <v>54514</v>
      </c>
      <c r="D404" s="102">
        <v>8.8999999999999996E-2</v>
      </c>
      <c r="E404" s="100">
        <f t="shared" si="6"/>
        <v>8149</v>
      </c>
      <c r="F404" s="7"/>
    </row>
    <row r="405" spans="2:6" x14ac:dyDescent="0.25">
      <c r="B405" s="5"/>
      <c r="C405" s="103">
        <v>54544</v>
      </c>
      <c r="D405" s="102">
        <v>8.8999999999999996E-2</v>
      </c>
      <c r="E405" s="100">
        <f t="shared" si="6"/>
        <v>8149</v>
      </c>
      <c r="F405" s="7"/>
    </row>
    <row r="406" spans="2:6" x14ac:dyDescent="0.25">
      <c r="B406" s="5"/>
      <c r="C406" s="103">
        <v>54575</v>
      </c>
      <c r="D406" s="102">
        <v>8.8999999999999996E-2</v>
      </c>
      <c r="E406" s="100">
        <f t="shared" si="6"/>
        <v>8149</v>
      </c>
      <c r="F406" s="7"/>
    </row>
    <row r="407" spans="2:6" x14ac:dyDescent="0.25">
      <c r="B407" s="5"/>
      <c r="C407" s="103">
        <v>54605</v>
      </c>
      <c r="D407" s="102">
        <v>8.8999999999999996E-2</v>
      </c>
      <c r="E407" s="100">
        <f t="shared" si="6"/>
        <v>8149</v>
      </c>
      <c r="F407" s="7"/>
    </row>
    <row r="408" spans="2:6" x14ac:dyDescent="0.25">
      <c r="B408" s="5"/>
      <c r="C408" s="103">
        <v>54636</v>
      </c>
      <c r="D408" s="102">
        <v>8.8999999999999996E-2</v>
      </c>
      <c r="E408" s="100">
        <f t="shared" si="6"/>
        <v>8149</v>
      </c>
      <c r="F408" s="7"/>
    </row>
    <row r="409" spans="2:6" x14ac:dyDescent="0.25">
      <c r="B409" s="5"/>
      <c r="C409" s="103">
        <v>54667</v>
      </c>
      <c r="D409" s="102">
        <v>8.8999999999999996E-2</v>
      </c>
      <c r="E409" s="100">
        <f t="shared" si="6"/>
        <v>8149</v>
      </c>
      <c r="F409" s="7"/>
    </row>
    <row r="410" spans="2:6" x14ac:dyDescent="0.25">
      <c r="B410" s="5"/>
      <c r="C410" s="103">
        <v>54697</v>
      </c>
      <c r="D410" s="102">
        <v>8.8999999999999996E-2</v>
      </c>
      <c r="E410" s="100">
        <f t="shared" si="6"/>
        <v>8149</v>
      </c>
      <c r="F410" s="7"/>
    </row>
    <row r="411" spans="2:6" x14ac:dyDescent="0.25">
      <c r="B411" s="5"/>
      <c r="C411" s="103">
        <v>54728</v>
      </c>
      <c r="D411" s="102">
        <v>8.8999999999999996E-2</v>
      </c>
      <c r="E411" s="100">
        <f t="shared" si="6"/>
        <v>8149</v>
      </c>
      <c r="F411" s="7"/>
    </row>
    <row r="412" spans="2:6" x14ac:dyDescent="0.25">
      <c r="B412" s="5"/>
      <c r="C412" s="103">
        <v>54758</v>
      </c>
      <c r="D412" s="102">
        <v>8.8999999999999996E-2</v>
      </c>
      <c r="E412" s="100">
        <f t="shared" si="6"/>
        <v>8149</v>
      </c>
      <c r="F412" s="7"/>
    </row>
    <row r="413" spans="2:6" ht="15.75" thickBot="1" x14ac:dyDescent="0.3">
      <c r="B413" s="8"/>
      <c r="C413" s="18"/>
      <c r="D413" s="9"/>
      <c r="E413" s="9"/>
      <c r="F413" s="10"/>
    </row>
    <row r="414" spans="2:6" x14ac:dyDescent="0.25">
      <c r="C414" s="19"/>
    </row>
    <row r="415" spans="2:6" x14ac:dyDescent="0.25">
      <c r="C415" s="19"/>
    </row>
    <row r="416" spans="2:6" x14ac:dyDescent="0.25">
      <c r="C416" s="19"/>
    </row>
    <row r="417" spans="3:3" x14ac:dyDescent="0.25">
      <c r="C417" s="19"/>
    </row>
    <row r="418" spans="3:3" x14ac:dyDescent="0.25">
      <c r="C418" s="19"/>
    </row>
    <row r="419" spans="3:3" x14ac:dyDescent="0.25">
      <c r="C419" s="19"/>
    </row>
    <row r="420" spans="3:3" x14ac:dyDescent="0.25">
      <c r="C420" s="19"/>
    </row>
    <row r="421" spans="3:3" x14ac:dyDescent="0.25">
      <c r="C421" s="19"/>
    </row>
    <row r="422" spans="3:3" x14ac:dyDescent="0.25">
      <c r="C422" s="19"/>
    </row>
    <row r="423" spans="3:3" x14ac:dyDescent="0.25">
      <c r="C423" s="19"/>
    </row>
    <row r="424" spans="3:3" x14ac:dyDescent="0.25">
      <c r="C424" s="19"/>
    </row>
    <row r="425" spans="3:3" x14ac:dyDescent="0.25">
      <c r="C425" s="19"/>
    </row>
    <row r="426" spans="3:3" x14ac:dyDescent="0.25">
      <c r="C426" s="19"/>
    </row>
    <row r="427" spans="3:3" x14ac:dyDescent="0.25">
      <c r="C427" s="19"/>
    </row>
    <row r="428" spans="3:3" x14ac:dyDescent="0.25">
      <c r="C428" s="19"/>
    </row>
    <row r="429" spans="3:3" x14ac:dyDescent="0.25">
      <c r="C429" s="19"/>
    </row>
    <row r="430" spans="3:3" x14ac:dyDescent="0.25">
      <c r="C430" s="19"/>
    </row>
    <row r="431" spans="3:3" x14ac:dyDescent="0.25">
      <c r="C431" s="19"/>
    </row>
    <row r="432" spans="3:3" x14ac:dyDescent="0.25">
      <c r="C432" s="19"/>
    </row>
    <row r="433" spans="3:3" x14ac:dyDescent="0.25">
      <c r="C433" s="19"/>
    </row>
    <row r="434" spans="3:3" x14ac:dyDescent="0.25">
      <c r="C434" s="19"/>
    </row>
    <row r="435" spans="3:3" x14ac:dyDescent="0.25">
      <c r="C435" s="19"/>
    </row>
    <row r="436" spans="3:3" x14ac:dyDescent="0.25">
      <c r="C436" s="19"/>
    </row>
    <row r="437" spans="3:3" x14ac:dyDescent="0.25">
      <c r="C437" s="19"/>
    </row>
    <row r="438" spans="3:3" x14ac:dyDescent="0.25">
      <c r="C438" s="19"/>
    </row>
    <row r="439" spans="3:3" x14ac:dyDescent="0.25">
      <c r="C439" s="19"/>
    </row>
    <row r="440" spans="3:3" x14ac:dyDescent="0.25">
      <c r="C440" s="19"/>
    </row>
    <row r="441" spans="3:3" x14ac:dyDescent="0.25">
      <c r="C441" s="19"/>
    </row>
    <row r="442" spans="3:3" x14ac:dyDescent="0.25">
      <c r="C442" s="19"/>
    </row>
    <row r="443" spans="3:3" x14ac:dyDescent="0.25">
      <c r="C443" s="19"/>
    </row>
    <row r="444" spans="3:3" x14ac:dyDescent="0.25">
      <c r="C444" s="19"/>
    </row>
    <row r="445" spans="3:3" x14ac:dyDescent="0.25">
      <c r="C445" s="19"/>
    </row>
    <row r="446" spans="3:3" x14ac:dyDescent="0.25">
      <c r="C446" s="19"/>
    </row>
    <row r="447" spans="3:3" x14ac:dyDescent="0.25">
      <c r="C447" s="19"/>
    </row>
    <row r="448" spans="3:3" x14ac:dyDescent="0.25">
      <c r="C448" s="19"/>
    </row>
    <row r="449" spans="3:3" x14ac:dyDescent="0.25">
      <c r="C449" s="19"/>
    </row>
    <row r="450" spans="3:3" x14ac:dyDescent="0.25">
      <c r="C450" s="19"/>
    </row>
    <row r="451" spans="3:3" x14ac:dyDescent="0.25">
      <c r="C451" s="19"/>
    </row>
    <row r="452" spans="3:3" x14ac:dyDescent="0.25">
      <c r="C452" s="19"/>
    </row>
    <row r="453" spans="3:3" x14ac:dyDescent="0.25">
      <c r="C453" s="19"/>
    </row>
    <row r="454" spans="3:3" x14ac:dyDescent="0.25">
      <c r="C454" s="19"/>
    </row>
    <row r="455" spans="3:3" x14ac:dyDescent="0.25">
      <c r="C455" s="19"/>
    </row>
    <row r="456" spans="3:3" x14ac:dyDescent="0.25">
      <c r="C456" s="19"/>
    </row>
    <row r="457" spans="3:3" x14ac:dyDescent="0.25">
      <c r="C457" s="19"/>
    </row>
    <row r="458" spans="3:3" x14ac:dyDescent="0.25">
      <c r="C458" s="19"/>
    </row>
    <row r="459" spans="3:3" x14ac:dyDescent="0.25">
      <c r="C459" s="19"/>
    </row>
    <row r="460" spans="3:3" x14ac:dyDescent="0.25">
      <c r="C460" s="19"/>
    </row>
    <row r="461" spans="3:3" x14ac:dyDescent="0.25">
      <c r="C461" s="19"/>
    </row>
    <row r="462" spans="3:3" x14ac:dyDescent="0.25">
      <c r="C462" s="19"/>
    </row>
    <row r="463" spans="3:3" x14ac:dyDescent="0.25">
      <c r="C463" s="19"/>
    </row>
    <row r="464" spans="3:3" x14ac:dyDescent="0.25">
      <c r="C464" s="19"/>
    </row>
    <row r="465" spans="3:3" x14ac:dyDescent="0.25">
      <c r="C465" s="19"/>
    </row>
    <row r="466" spans="3:3" x14ac:dyDescent="0.25">
      <c r="C466" s="19"/>
    </row>
    <row r="467" spans="3:3" x14ac:dyDescent="0.25">
      <c r="C467" s="19"/>
    </row>
    <row r="468" spans="3:3" x14ac:dyDescent="0.25">
      <c r="C468" s="19"/>
    </row>
    <row r="469" spans="3:3" x14ac:dyDescent="0.25">
      <c r="C469" s="19"/>
    </row>
    <row r="470" spans="3:3" x14ac:dyDescent="0.25">
      <c r="C470" s="19"/>
    </row>
    <row r="471" spans="3:3" x14ac:dyDescent="0.25">
      <c r="C471" s="19"/>
    </row>
    <row r="472" spans="3:3" x14ac:dyDescent="0.25">
      <c r="C472" s="19"/>
    </row>
    <row r="473" spans="3:3" x14ac:dyDescent="0.25">
      <c r="C473" s="19"/>
    </row>
    <row r="474" spans="3:3" x14ac:dyDescent="0.25">
      <c r="C474" s="19"/>
    </row>
    <row r="475" spans="3:3" x14ac:dyDescent="0.25">
      <c r="C475" s="19"/>
    </row>
    <row r="476" spans="3:3" x14ac:dyDescent="0.25">
      <c r="C476" s="19"/>
    </row>
    <row r="477" spans="3:3" x14ac:dyDescent="0.25">
      <c r="C477" s="19"/>
    </row>
  </sheetData>
  <customSheetViews>
    <customSheetView guid="{A6ED9047-BF5F-4715-989F-6B73F8A8D111}" showGridLines="0" state="hidden">
      <selection activeCell="L51" sqref="L51"/>
      <pageMargins left="0.7" right="0.7" top="0.75" bottom="0.75" header="0.3" footer="0.3"/>
      <pageSetup paperSize="9" orientation="portrait" r:id="rId1"/>
    </customSheetView>
  </customSheetViews>
  <mergeCells count="1">
    <mergeCell ref="B2:F2"/>
  </mergeCells>
  <phoneticPr fontId="0" type="noConversion"/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G1:DT346"/>
  <sheetViews>
    <sheetView showGridLines="0" showRowColHeaders="0" tabSelected="1" topLeftCell="E1" zoomScale="85" zoomScaleNormal="85" zoomScaleSheetLayoutView="85" workbookViewId="0">
      <selection activeCell="P13" sqref="P13:T13"/>
    </sheetView>
  </sheetViews>
  <sheetFormatPr defaultColWidth="9.140625" defaultRowHeight="12.75" x14ac:dyDescent="0.2"/>
  <cols>
    <col min="1" max="4" width="0" style="144" hidden="1" customWidth="1"/>
    <col min="5" max="6" width="9.140625" style="144"/>
    <col min="7" max="7" width="5.5703125" style="144" customWidth="1"/>
    <col min="8" max="8" width="6.5703125" style="144" customWidth="1"/>
    <col min="9" max="10" width="9.140625" style="144"/>
    <col min="11" max="11" width="1.5703125" style="144" customWidth="1"/>
    <col min="12" max="12" width="1.42578125" style="144" customWidth="1"/>
    <col min="13" max="13" width="46" style="144" customWidth="1"/>
    <col min="14" max="14" width="15.42578125" style="144" customWidth="1"/>
    <col min="15" max="15" width="1.140625" style="144" customWidth="1"/>
    <col min="16" max="16" width="22.5703125" style="145" customWidth="1"/>
    <col min="17" max="17" width="1.42578125" style="145" customWidth="1"/>
    <col min="18" max="18" width="22.5703125" style="144" customWidth="1"/>
    <col min="19" max="19" width="1.42578125" style="144" customWidth="1"/>
    <col min="20" max="20" width="22" style="144" customWidth="1"/>
    <col min="21" max="21" width="1.42578125" style="144" customWidth="1"/>
    <col min="22" max="22" width="22.85546875" style="144" customWidth="1"/>
    <col min="23" max="23" width="3.140625" style="144" customWidth="1"/>
    <col min="24" max="24" width="1.42578125" style="144" customWidth="1"/>
    <col min="25" max="25" width="9.140625" style="144"/>
    <col min="26" max="26" width="17.140625" style="144" customWidth="1"/>
    <col min="27" max="35" width="9.140625" style="144"/>
    <col min="36" max="36" width="21.5703125" style="144" bestFit="1" customWidth="1"/>
    <col min="37" max="37" width="48.5703125" style="144" bestFit="1" customWidth="1"/>
    <col min="38" max="38" width="23.85546875" style="144" bestFit="1" customWidth="1"/>
    <col min="39" max="39" width="40.140625" style="144" bestFit="1" customWidth="1"/>
    <col min="40" max="40" width="39" style="144" bestFit="1" customWidth="1"/>
    <col min="41" max="41" width="26" style="144" bestFit="1" customWidth="1"/>
    <col min="42" max="42" width="26.140625" style="144" bestFit="1" customWidth="1"/>
    <col min="43" max="43" width="30.5703125" style="144" bestFit="1" customWidth="1"/>
    <col min="44" max="44" width="22.5703125" style="144" bestFit="1" customWidth="1"/>
    <col min="45" max="45" width="22.42578125" style="144" bestFit="1" customWidth="1"/>
    <col min="46" max="46" width="43.5703125" style="144" bestFit="1" customWidth="1"/>
    <col min="47" max="47" width="49.5703125" style="144" bestFit="1" customWidth="1"/>
    <col min="48" max="48" width="28.5703125" style="144" bestFit="1" customWidth="1"/>
    <col min="49" max="50" width="20.5703125" style="144" bestFit="1" customWidth="1"/>
    <col min="51" max="51" width="20.42578125" style="144" bestFit="1" customWidth="1"/>
    <col min="52" max="52" width="35.5703125" style="144" bestFit="1" customWidth="1"/>
    <col min="53" max="53" width="26.140625" style="144" bestFit="1" customWidth="1"/>
    <col min="54" max="54" width="29.140625" style="144" bestFit="1" customWidth="1"/>
    <col min="55" max="55" width="20" style="144" bestFit="1" customWidth="1"/>
    <col min="56" max="56" width="35.42578125" style="144" bestFit="1" customWidth="1"/>
    <col min="57" max="57" width="24" style="144" bestFit="1" customWidth="1"/>
    <col min="58" max="58" width="22.5703125" style="144" bestFit="1" customWidth="1"/>
    <col min="59" max="59" width="21.5703125" style="144" bestFit="1" customWidth="1"/>
    <col min="60" max="60" width="20.85546875" style="144" bestFit="1" customWidth="1"/>
    <col min="61" max="61" width="19.5703125" style="144" bestFit="1" customWidth="1"/>
    <col min="62" max="62" width="20" style="144" bestFit="1" customWidth="1"/>
    <col min="63" max="63" width="16.85546875" style="144" bestFit="1" customWidth="1"/>
    <col min="64" max="64" width="23.85546875" style="144" bestFit="1" customWidth="1"/>
    <col min="65" max="65" width="18.5703125" style="144" bestFit="1" customWidth="1"/>
    <col min="66" max="66" width="21.85546875" style="144" bestFit="1" customWidth="1"/>
    <col min="67" max="67" width="20.5703125" style="144" bestFit="1" customWidth="1"/>
    <col min="68" max="68" width="21" style="144" bestFit="1" customWidth="1"/>
    <col min="69" max="69" width="20" style="144" bestFit="1" customWidth="1"/>
    <col min="70" max="70" width="24.140625" style="144" bestFit="1" customWidth="1"/>
    <col min="71" max="71" width="22.5703125" style="144" bestFit="1" customWidth="1"/>
    <col min="72" max="72" width="24.140625" style="144" bestFit="1" customWidth="1"/>
    <col min="73" max="73" width="16.42578125" style="144" bestFit="1" customWidth="1"/>
    <col min="74" max="74" width="22.5703125" style="144" bestFit="1" customWidth="1"/>
    <col min="75" max="75" width="19.5703125" style="144" bestFit="1" customWidth="1"/>
    <col min="76" max="76" width="20.5703125" style="144" bestFit="1" customWidth="1"/>
    <col min="77" max="77" width="15.5703125" style="144" bestFit="1" customWidth="1"/>
    <col min="78" max="78" width="23.140625" style="144" bestFit="1" customWidth="1"/>
    <col min="79" max="79" width="19.42578125" style="144" bestFit="1" customWidth="1"/>
    <col min="80" max="80" width="20.140625" style="144" bestFit="1" customWidth="1"/>
    <col min="81" max="81" width="18.5703125" style="144" bestFit="1" customWidth="1"/>
    <col min="82" max="82" width="26.5703125" style="144" bestFit="1" customWidth="1"/>
    <col min="83" max="83" width="20.5703125" style="144" bestFit="1" customWidth="1"/>
    <col min="84" max="84" width="21.5703125" style="144" bestFit="1" customWidth="1"/>
    <col min="85" max="85" width="23.140625" style="144" bestFit="1" customWidth="1"/>
    <col min="86" max="86" width="22.5703125" style="144" bestFit="1" customWidth="1"/>
    <col min="87" max="87" width="21" style="144" bestFit="1" customWidth="1"/>
    <col min="88" max="88" width="18" style="144" bestFit="1" customWidth="1"/>
    <col min="89" max="89" width="22.42578125" style="144" bestFit="1" customWidth="1"/>
    <col min="90" max="90" width="23" style="144" bestFit="1" customWidth="1"/>
    <col min="91" max="91" width="26.140625" style="144" bestFit="1" customWidth="1"/>
    <col min="92" max="92" width="39" style="144" bestFit="1" customWidth="1"/>
    <col min="93" max="93" width="22.5703125" style="144" bestFit="1" customWidth="1"/>
    <col min="94" max="94" width="18" style="144" bestFit="1" customWidth="1"/>
    <col min="95" max="95" width="20.85546875" style="144" bestFit="1" customWidth="1"/>
    <col min="96" max="96" width="20.42578125" style="144" bestFit="1" customWidth="1"/>
    <col min="97" max="97" width="19.42578125" style="144" bestFit="1" customWidth="1"/>
    <col min="98" max="98" width="19.5703125" style="144" bestFit="1" customWidth="1"/>
    <col min="99" max="99" width="21.5703125" style="144" bestFit="1" customWidth="1"/>
    <col min="100" max="100" width="22" style="144" bestFit="1" customWidth="1"/>
    <col min="101" max="101" width="23.140625" style="144" bestFit="1" customWidth="1"/>
    <col min="102" max="102" width="20.85546875" style="144" bestFit="1" customWidth="1"/>
    <col min="103" max="103" width="22.140625" style="144" bestFit="1" customWidth="1"/>
    <col min="104" max="104" width="20.5703125" style="144" bestFit="1" customWidth="1"/>
    <col min="105" max="105" width="18.42578125" style="144" bestFit="1" customWidth="1"/>
    <col min="106" max="106" width="17.42578125" style="144" bestFit="1" customWidth="1"/>
    <col min="107" max="107" width="18.140625" style="144" bestFit="1" customWidth="1"/>
    <col min="108" max="108" width="20" style="144" bestFit="1" customWidth="1"/>
    <col min="109" max="109" width="24" style="144" bestFit="1" customWidth="1"/>
    <col min="110" max="110" width="21.85546875" style="144" bestFit="1" customWidth="1"/>
    <col min="111" max="111" width="18.5703125" style="144" bestFit="1" customWidth="1"/>
    <col min="112" max="112" width="36" style="144" bestFit="1" customWidth="1"/>
    <col min="113" max="113" width="22" style="144" bestFit="1" customWidth="1"/>
    <col min="114" max="115" width="23.42578125" style="144" bestFit="1" customWidth="1"/>
    <col min="116" max="116" width="20.42578125" style="144" bestFit="1" customWidth="1"/>
    <col min="117" max="117" width="26.85546875" style="144" bestFit="1" customWidth="1"/>
    <col min="118" max="118" width="21.85546875" style="144" bestFit="1" customWidth="1"/>
    <col min="119" max="16384" width="9.140625" style="144"/>
  </cols>
  <sheetData>
    <row r="1" spans="12:26" ht="4.5" customHeight="1" x14ac:dyDescent="0.2"/>
    <row r="2" spans="12:26" ht="9" customHeight="1" x14ac:dyDescent="0.2"/>
    <row r="3" spans="12:26" ht="13.5" customHeight="1" x14ac:dyDescent="0.2">
      <c r="L3" s="313"/>
      <c r="M3" s="314" t="s">
        <v>751</v>
      </c>
      <c r="N3" s="315"/>
      <c r="O3" s="315"/>
      <c r="P3" s="316"/>
      <c r="Q3" s="316"/>
      <c r="R3" s="315"/>
      <c r="S3" s="315"/>
      <c r="T3" s="315"/>
      <c r="U3" s="315"/>
      <c r="V3" s="315"/>
      <c r="W3" s="317"/>
      <c r="Z3" s="146"/>
    </row>
    <row r="4" spans="12:26" ht="6" customHeight="1" x14ac:dyDescent="0.2">
      <c r="L4" s="318"/>
      <c r="M4" s="319"/>
      <c r="N4" s="319"/>
      <c r="O4" s="319"/>
      <c r="P4" s="320"/>
      <c r="Q4" s="320"/>
      <c r="R4" s="319"/>
      <c r="S4" s="319"/>
      <c r="T4" s="319"/>
      <c r="U4" s="319"/>
      <c r="V4" s="319"/>
      <c r="W4" s="321"/>
      <c r="Z4" s="146"/>
    </row>
    <row r="5" spans="12:26" ht="6" customHeight="1" x14ac:dyDescent="0.2">
      <c r="L5" s="318"/>
      <c r="M5" s="313"/>
      <c r="N5" s="315"/>
      <c r="O5" s="315"/>
      <c r="P5" s="316"/>
      <c r="Q5" s="316"/>
      <c r="R5" s="315"/>
      <c r="S5" s="315"/>
      <c r="T5" s="315"/>
      <c r="U5" s="315"/>
      <c r="V5" s="317"/>
      <c r="W5" s="321"/>
      <c r="Z5" s="146"/>
    </row>
    <row r="6" spans="12:26" ht="7.5" customHeight="1" x14ac:dyDescent="0.2">
      <c r="L6" s="318"/>
      <c r="M6" s="619" t="s">
        <v>63</v>
      </c>
      <c r="N6" s="620"/>
      <c r="O6" s="620"/>
      <c r="P6" s="620"/>
      <c r="Q6" s="620"/>
      <c r="R6" s="620"/>
      <c r="S6" s="620"/>
      <c r="T6" s="620"/>
      <c r="U6" s="620"/>
      <c r="V6" s="621"/>
      <c r="W6" s="321"/>
      <c r="Z6" s="146"/>
    </row>
    <row r="7" spans="12:26" ht="15" customHeight="1" x14ac:dyDescent="0.2">
      <c r="L7" s="318"/>
      <c r="M7" s="619"/>
      <c r="N7" s="620"/>
      <c r="O7" s="620"/>
      <c r="P7" s="620"/>
      <c r="Q7" s="620"/>
      <c r="R7" s="620"/>
      <c r="S7" s="620"/>
      <c r="T7" s="620"/>
      <c r="U7" s="620"/>
      <c r="V7" s="621"/>
      <c r="W7" s="321"/>
      <c r="Z7" s="146"/>
    </row>
    <row r="8" spans="12:26" ht="6.75" customHeight="1" x14ac:dyDescent="0.2">
      <c r="L8" s="318"/>
      <c r="M8" s="619"/>
      <c r="N8" s="620"/>
      <c r="O8" s="620"/>
      <c r="P8" s="620"/>
      <c r="Q8" s="620"/>
      <c r="R8" s="620"/>
      <c r="S8" s="620"/>
      <c r="T8" s="620"/>
      <c r="U8" s="620"/>
      <c r="V8" s="621"/>
      <c r="W8" s="321"/>
      <c r="Z8" s="146"/>
    </row>
    <row r="9" spans="12:26" ht="6.6" customHeight="1" x14ac:dyDescent="0.2">
      <c r="L9" s="318"/>
      <c r="M9" s="322"/>
      <c r="N9" s="323"/>
      <c r="O9" s="323"/>
      <c r="P9" s="324"/>
      <c r="Q9" s="324"/>
      <c r="R9" s="323"/>
      <c r="S9" s="323"/>
      <c r="T9" s="323"/>
      <c r="U9" s="323"/>
      <c r="V9" s="325"/>
      <c r="W9" s="321"/>
      <c r="Z9" s="146"/>
    </row>
    <row r="10" spans="12:26" x14ac:dyDescent="0.2">
      <c r="L10" s="318"/>
      <c r="M10" s="319"/>
      <c r="N10" s="319"/>
      <c r="O10" s="319"/>
      <c r="P10" s="320"/>
      <c r="Q10" s="320"/>
      <c r="R10" s="319"/>
      <c r="S10" s="319"/>
      <c r="T10" s="319"/>
      <c r="U10" s="319"/>
      <c r="V10" s="319"/>
      <c r="W10" s="321"/>
      <c r="Z10" s="146"/>
    </row>
    <row r="11" spans="12:26" ht="15" customHeight="1" x14ac:dyDescent="0.2">
      <c r="L11" s="318"/>
      <c r="M11" s="326" t="s">
        <v>70</v>
      </c>
      <c r="N11" s="327"/>
      <c r="O11" s="328"/>
      <c r="P11" s="616" t="s">
        <v>71</v>
      </c>
      <c r="Q11" s="617"/>
      <c r="R11" s="617"/>
      <c r="S11" s="617"/>
      <c r="T11" s="618"/>
      <c r="U11" s="328"/>
      <c r="V11" s="459" t="str">
        <f>IF(AND(P13="Сельская ипотека",P11="г.Санкт-Петербург"),"В регионе нет программы!","")</f>
        <v/>
      </c>
      <c r="W11" s="329"/>
      <c r="Z11" s="146"/>
    </row>
    <row r="12" spans="12:26" x14ac:dyDescent="0.2">
      <c r="L12" s="318"/>
      <c r="M12" s="319"/>
      <c r="N12" s="319"/>
      <c r="O12" s="319"/>
      <c r="P12" s="320"/>
      <c r="Q12" s="320"/>
      <c r="R12" s="319"/>
      <c r="S12" s="319"/>
      <c r="T12" s="319"/>
      <c r="U12" s="319"/>
      <c r="V12" s="511" t="str">
        <f>IF(AND(P13="Сельская ипотека",P11="Московская область"),"В регионе нет программы!","")</f>
        <v/>
      </c>
      <c r="W12" s="321"/>
      <c r="Z12" s="146"/>
    </row>
    <row r="13" spans="12:26" ht="15" customHeight="1" x14ac:dyDescent="0.2">
      <c r="L13" s="318"/>
      <c r="M13" s="330" t="s">
        <v>64</v>
      </c>
      <c r="N13" s="331"/>
      <c r="O13" s="328"/>
      <c r="P13" s="622" t="s">
        <v>101</v>
      </c>
      <c r="Q13" s="623"/>
      <c r="R13" s="623"/>
      <c r="S13" s="623"/>
      <c r="T13" s="624"/>
      <c r="U13" s="332"/>
      <c r="V13" s="459" t="str">
        <f>IF(AND(P13="Сельская ипотека",P11="г.Москва"),"В регионе нет программы!","")</f>
        <v/>
      </c>
      <c r="W13" s="329"/>
      <c r="Z13" s="146"/>
    </row>
    <row r="14" spans="12:26" ht="6" customHeight="1" x14ac:dyDescent="0.2">
      <c r="L14" s="318"/>
      <c r="M14" s="328"/>
      <c r="N14" s="328"/>
      <c r="O14" s="328"/>
      <c r="P14" s="332"/>
      <c r="Q14" s="332"/>
      <c r="R14" s="332"/>
      <c r="S14" s="332"/>
      <c r="T14" s="332"/>
      <c r="U14" s="332"/>
      <c r="V14" s="328"/>
      <c r="W14" s="329"/>
      <c r="Z14" s="146"/>
    </row>
    <row r="15" spans="12:26" ht="15" customHeight="1" x14ac:dyDescent="0.2">
      <c r="L15" s="318"/>
      <c r="M15" s="330" t="s">
        <v>651</v>
      </c>
      <c r="N15" s="328"/>
      <c r="O15" s="328"/>
      <c r="P15" s="328"/>
      <c r="Q15" s="328"/>
      <c r="R15" s="328"/>
      <c r="S15" s="328"/>
      <c r="T15" s="328"/>
      <c r="U15" s="328"/>
      <c r="W15" s="329"/>
      <c r="Z15" s="146"/>
    </row>
    <row r="16" spans="12:26" ht="6" customHeight="1" x14ac:dyDescent="0.2">
      <c r="L16" s="318"/>
      <c r="M16" s="328"/>
      <c r="N16" s="328"/>
      <c r="O16" s="328"/>
      <c r="P16" s="332"/>
      <c r="Q16" s="332"/>
      <c r="R16" s="332"/>
      <c r="S16" s="332"/>
      <c r="T16" s="332"/>
      <c r="U16" s="332"/>
      <c r="W16" s="329"/>
      <c r="Z16" s="146"/>
    </row>
    <row r="17" spans="10:26" ht="15" hidden="1" customHeight="1" x14ac:dyDescent="0.2">
      <c r="L17" s="318"/>
      <c r="M17" s="333" t="s">
        <v>609</v>
      </c>
      <c r="N17" s="333"/>
      <c r="O17" s="328"/>
      <c r="P17" s="610" t="s">
        <v>67</v>
      </c>
      <c r="Q17" s="611"/>
      <c r="R17" s="611"/>
      <c r="S17" s="611"/>
      <c r="T17" s="612"/>
      <c r="U17" s="328"/>
      <c r="W17" s="329"/>
      <c r="Z17" s="146"/>
    </row>
    <row r="18" spans="10:26" ht="6" hidden="1" customHeight="1" x14ac:dyDescent="0.2">
      <c r="L18" s="318"/>
      <c r="M18" s="328"/>
      <c r="N18" s="328"/>
      <c r="O18" s="328"/>
      <c r="P18" s="332"/>
      <c r="Q18" s="332"/>
      <c r="R18" s="332"/>
      <c r="S18" s="332"/>
      <c r="T18" s="332"/>
      <c r="U18" s="332"/>
      <c r="W18" s="329"/>
      <c r="Z18" s="146"/>
    </row>
    <row r="19" spans="10:26" ht="16.350000000000001" hidden="1" customHeight="1" x14ac:dyDescent="0.2">
      <c r="L19" s="318"/>
      <c r="M19" s="333" t="s">
        <v>704</v>
      </c>
      <c r="N19" s="328"/>
      <c r="O19" s="328"/>
      <c r="P19" s="147" t="s">
        <v>67</v>
      </c>
      <c r="Q19" s="332"/>
      <c r="R19" s="332"/>
      <c r="S19" s="332"/>
      <c r="T19" s="332"/>
      <c r="U19" s="332"/>
      <c r="W19" s="329"/>
      <c r="Z19" s="146"/>
    </row>
    <row r="20" spans="10:26" ht="6" hidden="1" customHeight="1" x14ac:dyDescent="0.2">
      <c r="L20" s="318"/>
      <c r="M20" s="328"/>
      <c r="N20" s="328"/>
      <c r="O20" s="328"/>
      <c r="P20" s="332"/>
      <c r="Q20" s="332"/>
      <c r="R20" s="332"/>
      <c r="S20" s="332"/>
      <c r="T20" s="332"/>
      <c r="U20" s="332"/>
      <c r="W20" s="329"/>
      <c r="Z20" s="146"/>
    </row>
    <row r="21" spans="10:26" ht="17.100000000000001" hidden="1" customHeight="1" x14ac:dyDescent="0.2">
      <c r="J21" s="534"/>
      <c r="L21" s="318"/>
      <c r="M21" s="518" t="s">
        <v>703</v>
      </c>
      <c r="N21" s="334" t="str">
        <f>IF(P21="Да",'Справочники и промежут.расчет'!J194,"")</f>
        <v/>
      </c>
      <c r="O21" s="328"/>
      <c r="P21" s="147" t="s">
        <v>67</v>
      </c>
      <c r="Q21" s="339"/>
      <c r="R21" s="339"/>
      <c r="S21" s="339"/>
      <c r="T21" s="339"/>
      <c r="U21" s="339"/>
      <c r="W21" s="329"/>
      <c r="Z21" s="146"/>
    </row>
    <row r="22" spans="10:26" ht="4.3499999999999996" hidden="1" customHeight="1" x14ac:dyDescent="0.2">
      <c r="J22" s="534"/>
      <c r="L22" s="318"/>
      <c r="M22" s="333"/>
      <c r="N22" s="350"/>
      <c r="O22" s="328"/>
      <c r="P22" s="486"/>
      <c r="Q22" s="339"/>
      <c r="R22" s="339"/>
      <c r="S22" s="339"/>
      <c r="T22" s="339"/>
      <c r="U22" s="339"/>
      <c r="W22" s="329"/>
      <c r="Z22" s="146"/>
    </row>
    <row r="23" spans="10:26" ht="16.350000000000001" hidden="1" customHeight="1" x14ac:dyDescent="0.2">
      <c r="J23" s="534"/>
      <c r="L23" s="318"/>
      <c r="M23" s="333" t="s">
        <v>695</v>
      </c>
      <c r="N23" s="350"/>
      <c r="O23" s="328"/>
      <c r="P23" s="147" t="s">
        <v>67</v>
      </c>
      <c r="Q23" s="339"/>
      <c r="R23" s="339"/>
      <c r="S23" s="339"/>
      <c r="T23" s="339"/>
      <c r="U23" s="339"/>
      <c r="W23" s="329"/>
      <c r="Z23" s="146"/>
    </row>
    <row r="24" spans="10:26" ht="4.7" hidden="1" customHeight="1" x14ac:dyDescent="0.2">
      <c r="J24" s="534"/>
      <c r="L24" s="318"/>
      <c r="M24" s="333"/>
      <c r="N24" s="350"/>
      <c r="O24" s="328"/>
      <c r="P24" s="486"/>
      <c r="Q24" s="339"/>
      <c r="R24" s="339"/>
      <c r="S24" s="339"/>
      <c r="T24" s="339"/>
      <c r="U24" s="339"/>
      <c r="W24" s="329"/>
      <c r="Z24" s="146"/>
    </row>
    <row r="25" spans="10:26" ht="16.350000000000001" hidden="1" customHeight="1" x14ac:dyDescent="0.2">
      <c r="J25" s="534"/>
      <c r="L25" s="318"/>
      <c r="M25" s="333" t="s">
        <v>653</v>
      </c>
      <c r="N25" s="350"/>
      <c r="O25" s="328"/>
      <c r="P25" s="147" t="s">
        <v>67</v>
      </c>
      <c r="Q25" s="339"/>
      <c r="R25" s="339"/>
      <c r="S25" s="339"/>
      <c r="T25" s="339"/>
      <c r="U25" s="339"/>
      <c r="W25" s="329"/>
      <c r="Z25" s="146"/>
    </row>
    <row r="26" spans="10:26" ht="4.3499999999999996" hidden="1" customHeight="1" x14ac:dyDescent="0.2">
      <c r="J26" s="534"/>
      <c r="L26" s="318"/>
      <c r="M26" s="333"/>
      <c r="N26" s="350"/>
      <c r="O26" s="328"/>
      <c r="P26" s="486"/>
      <c r="Q26" s="339"/>
      <c r="R26" s="339"/>
      <c r="S26" s="339"/>
      <c r="T26" s="339"/>
      <c r="U26" s="339"/>
      <c r="W26" s="329"/>
      <c r="Z26" s="146"/>
    </row>
    <row r="27" spans="10:26" ht="15.6" hidden="1" customHeight="1" x14ac:dyDescent="0.2">
      <c r="J27" s="534"/>
      <c r="L27" s="318"/>
      <c r="M27" s="333" t="s">
        <v>654</v>
      </c>
      <c r="N27" s="350"/>
      <c r="O27" s="328"/>
      <c r="P27" s="147" t="s">
        <v>67</v>
      </c>
      <c r="Q27" s="339"/>
      <c r="R27" s="339"/>
      <c r="S27" s="339"/>
      <c r="T27" s="339"/>
      <c r="U27" s="339"/>
      <c r="W27" s="329"/>
      <c r="Z27" s="146"/>
    </row>
    <row r="28" spans="10:26" ht="4.7" hidden="1" customHeight="1" x14ac:dyDescent="0.2">
      <c r="J28" s="534"/>
      <c r="L28" s="318"/>
      <c r="M28" s="333"/>
      <c r="N28" s="350"/>
      <c r="O28" s="328"/>
      <c r="P28" s="486"/>
      <c r="Q28" s="339"/>
      <c r="R28" s="339"/>
      <c r="S28" s="339"/>
      <c r="T28" s="339"/>
      <c r="U28" s="339"/>
      <c r="W28" s="329"/>
      <c r="Z28" s="146"/>
    </row>
    <row r="29" spans="10:26" ht="17.100000000000001" hidden="1" customHeight="1" x14ac:dyDescent="0.2">
      <c r="J29" s="534"/>
      <c r="L29" s="318"/>
      <c r="M29" s="333" t="s">
        <v>738</v>
      </c>
      <c r="N29" s="334" t="str">
        <f>IF(AND(P29="Да",OR(P13="Продукт")),'Справочники и промежут.расчет'!K1,"")</f>
        <v/>
      </c>
      <c r="O29" s="328"/>
      <c r="P29" s="147" t="s">
        <v>67</v>
      </c>
      <c r="Q29" s="339"/>
      <c r="R29" s="559" t="str">
        <f>IF(N29="!","Вычет действует с даты отдельного уведомления","")</f>
        <v/>
      </c>
      <c r="S29" s="339"/>
      <c r="T29" s="339"/>
      <c r="U29" s="339"/>
      <c r="W29" s="329"/>
      <c r="Z29" s="146"/>
    </row>
    <row r="30" spans="10:26" ht="6" hidden="1" customHeight="1" x14ac:dyDescent="0.2">
      <c r="J30" s="534"/>
      <c r="L30" s="318"/>
      <c r="M30" s="328"/>
      <c r="N30" s="328"/>
      <c r="O30" s="328"/>
      <c r="P30" s="332"/>
      <c r="Q30" s="332"/>
      <c r="R30" s="332"/>
      <c r="S30" s="332"/>
      <c r="T30" s="332"/>
      <c r="U30" s="332"/>
      <c r="W30" s="329"/>
      <c r="Z30" s="146"/>
    </row>
    <row r="31" spans="10:26" ht="15" hidden="1" customHeight="1" x14ac:dyDescent="0.2">
      <c r="J31" s="534"/>
      <c r="L31" s="318"/>
      <c r="M31" s="328" t="s">
        <v>637</v>
      </c>
      <c r="N31" s="334" t="str">
        <f>IF(P31="Да",'Справочники и промежут.расчет'!J189,"")</f>
        <v/>
      </c>
      <c r="O31" s="328"/>
      <c r="P31" s="147" t="s">
        <v>67</v>
      </c>
      <c r="Q31" s="332"/>
      <c r="R31" s="332"/>
      <c r="S31" s="332"/>
      <c r="T31" s="332"/>
      <c r="U31" s="332"/>
      <c r="V31" s="328"/>
      <c r="W31" s="329"/>
      <c r="Z31" s="146"/>
    </row>
    <row r="32" spans="10:26" ht="6" hidden="1" customHeight="1" x14ac:dyDescent="0.2">
      <c r="J32" s="534"/>
      <c r="L32" s="318"/>
      <c r="M32" s="328"/>
      <c r="N32" s="328"/>
      <c r="O32" s="328"/>
      <c r="P32" s="332"/>
      <c r="Q32" s="332"/>
      <c r="R32" s="332"/>
      <c r="S32" s="332"/>
      <c r="T32" s="332"/>
      <c r="U32" s="332"/>
      <c r="V32" s="328"/>
      <c r="W32" s="329"/>
      <c r="Z32" s="146"/>
    </row>
    <row r="33" spans="10:26" ht="15" hidden="1" customHeight="1" x14ac:dyDescent="0.2">
      <c r="J33" s="534"/>
      <c r="L33" s="318"/>
      <c r="M33" s="328" t="s">
        <v>597</v>
      </c>
      <c r="N33" s="334" t="str">
        <f>IF(P33="да",'Справочники и промежут.расчет'!J188,"")</f>
        <v/>
      </c>
      <c r="O33" s="328"/>
      <c r="P33" s="147" t="s">
        <v>67</v>
      </c>
      <c r="Q33" s="332"/>
      <c r="R33" s="332"/>
      <c r="S33" s="332"/>
      <c r="T33" s="332"/>
      <c r="U33" s="332"/>
      <c r="V33" s="328"/>
      <c r="W33" s="329"/>
      <c r="Z33" s="146"/>
    </row>
    <row r="34" spans="10:26" ht="6" hidden="1" customHeight="1" x14ac:dyDescent="0.2">
      <c r="J34" s="534"/>
      <c r="L34" s="318"/>
      <c r="M34" s="328"/>
      <c r="N34" s="328"/>
      <c r="O34" s="328"/>
      <c r="P34" s="332"/>
      <c r="Q34" s="332"/>
      <c r="R34" s="332"/>
      <c r="S34" s="332"/>
      <c r="T34" s="332"/>
      <c r="U34" s="328"/>
      <c r="V34" s="328"/>
      <c r="W34" s="329"/>
      <c r="Z34" s="146"/>
    </row>
    <row r="35" spans="10:26" ht="15" hidden="1" customHeight="1" x14ac:dyDescent="0.2">
      <c r="J35" s="534"/>
      <c r="L35" s="318"/>
      <c r="M35" s="328" t="s">
        <v>66</v>
      </c>
      <c r="N35" s="334" t="str">
        <f>IF(P35="да",'Справочники и промежут.расчет'!J182,"")</f>
        <v/>
      </c>
      <c r="O35" s="328"/>
      <c r="P35" s="147" t="s">
        <v>67</v>
      </c>
      <c r="Q35" s="335"/>
      <c r="R35" s="625" t="s">
        <v>68</v>
      </c>
      <c r="S35" s="625"/>
      <c r="T35" s="625"/>
      <c r="U35" s="328"/>
      <c r="V35" s="148">
        <v>0</v>
      </c>
      <c r="W35" s="329"/>
      <c r="Z35" s="146"/>
    </row>
    <row r="36" spans="10:26" ht="5.0999999999999996" hidden="1" customHeight="1" x14ac:dyDescent="0.2">
      <c r="J36" s="534"/>
      <c r="L36" s="318"/>
      <c r="M36" s="328"/>
      <c r="N36" s="334"/>
      <c r="O36" s="328"/>
      <c r="P36" s="332"/>
      <c r="Q36" s="332"/>
      <c r="R36" s="332"/>
      <c r="S36" s="332"/>
      <c r="T36" s="332"/>
      <c r="U36" s="328"/>
      <c r="V36" s="328"/>
      <c r="W36" s="329"/>
      <c r="Z36" s="146"/>
    </row>
    <row r="37" spans="10:26" ht="15" hidden="1" customHeight="1" x14ac:dyDescent="0.2">
      <c r="J37" s="534"/>
      <c r="L37" s="318"/>
      <c r="M37" s="328" t="s">
        <v>58</v>
      </c>
      <c r="N37" s="334" t="str">
        <f>IF(P37="да",'Справочники и промежут.расчет'!$J183,"")</f>
        <v/>
      </c>
      <c r="O37" s="328"/>
      <c r="P37" s="277" t="s">
        <v>67</v>
      </c>
      <c r="Q37" s="328"/>
      <c r="R37" s="328"/>
      <c r="S37" s="328"/>
      <c r="T37" s="328"/>
      <c r="U37" s="328"/>
      <c r="V37" s="328"/>
      <c r="W37" s="329"/>
      <c r="Z37" s="146"/>
    </row>
    <row r="38" spans="10:26" ht="11.1" hidden="1" customHeight="1" x14ac:dyDescent="0.2">
      <c r="J38" s="534"/>
      <c r="L38" s="318"/>
      <c r="M38" s="328"/>
      <c r="N38" s="334"/>
      <c r="O38" s="328"/>
      <c r="P38" s="328"/>
      <c r="Q38" s="328"/>
      <c r="R38" s="328"/>
      <c r="S38" s="328"/>
      <c r="T38" s="328"/>
      <c r="U38" s="328"/>
      <c r="V38" s="328"/>
      <c r="W38" s="329"/>
      <c r="Z38" s="146"/>
    </row>
    <row r="39" spans="10:26" ht="16.350000000000001" hidden="1" customHeight="1" x14ac:dyDescent="0.2">
      <c r="J39" s="534"/>
      <c r="L39" s="318"/>
      <c r="M39" s="328" t="s">
        <v>69</v>
      </c>
      <c r="N39" s="334" t="str">
        <f>IF(P39="да",'Справочники и промежут.расчет'!$J181,"")</f>
        <v/>
      </c>
      <c r="O39" s="328"/>
      <c r="P39" s="277" t="s">
        <v>67</v>
      </c>
      <c r="Q39" s="328"/>
      <c r="R39" s="328"/>
      <c r="S39" s="328"/>
      <c r="T39" s="328"/>
      <c r="U39" s="328"/>
      <c r="V39" s="328"/>
      <c r="W39" s="329"/>
      <c r="Z39" s="146"/>
    </row>
    <row r="40" spans="10:26" ht="17.100000000000001" hidden="1" customHeight="1" x14ac:dyDescent="0.2">
      <c r="J40" s="534"/>
      <c r="L40" s="318"/>
      <c r="M40" s="328"/>
      <c r="N40" s="334"/>
      <c r="O40" s="328"/>
      <c r="P40" s="328"/>
      <c r="Q40" s="328"/>
      <c r="R40" s="328"/>
      <c r="S40" s="328"/>
      <c r="T40" s="328"/>
      <c r="U40" s="339"/>
      <c r="V40" s="328"/>
      <c r="W40" s="329"/>
      <c r="Z40" s="146"/>
    </row>
    <row r="41" spans="10:26" ht="15" hidden="1" customHeight="1" x14ac:dyDescent="0.2">
      <c r="J41" s="534"/>
      <c r="L41" s="318"/>
      <c r="M41" s="328" t="s">
        <v>381</v>
      </c>
      <c r="N41" s="334" t="str">
        <f>IF(P41="да",'Справочники и промежут.расчет'!J184,"")</f>
        <v/>
      </c>
      <c r="O41" s="328"/>
      <c r="P41" s="277" t="s">
        <v>67</v>
      </c>
      <c r="Q41" s="328"/>
      <c r="U41" s="339"/>
      <c r="W41" s="329"/>
      <c r="Z41" s="146"/>
    </row>
    <row r="42" spans="10:26" ht="15" hidden="1" customHeight="1" x14ac:dyDescent="0.2">
      <c r="J42" s="534"/>
      <c r="L42" s="318"/>
      <c r="M42" s="328"/>
      <c r="N42" s="334"/>
      <c r="O42" s="328"/>
      <c r="P42" s="425"/>
      <c r="Q42" s="328"/>
      <c r="R42" s="336"/>
      <c r="S42" s="337"/>
      <c r="T42" s="336" t="s">
        <v>389</v>
      </c>
      <c r="U42" s="339"/>
      <c r="V42" s="277" t="s">
        <v>67</v>
      </c>
      <c r="W42" s="329"/>
      <c r="Z42" s="146"/>
    </row>
    <row r="43" spans="10:26" ht="6" hidden="1" customHeight="1" x14ac:dyDescent="0.2">
      <c r="J43" s="534"/>
      <c r="L43" s="318"/>
      <c r="M43" s="328"/>
      <c r="N43" s="328"/>
      <c r="O43" s="328"/>
      <c r="P43" s="328"/>
      <c r="Q43" s="328"/>
      <c r="R43" s="328"/>
      <c r="S43" s="328"/>
      <c r="T43" s="328"/>
      <c r="U43" s="339"/>
      <c r="V43" s="328"/>
      <c r="W43" s="329"/>
      <c r="Z43" s="146"/>
    </row>
    <row r="44" spans="10:26" ht="15" customHeight="1" x14ac:dyDescent="0.2">
      <c r="J44" s="534"/>
      <c r="L44" s="318"/>
      <c r="M44" s="328" t="s">
        <v>713</v>
      </c>
      <c r="N44" s="334" t="str">
        <f>IF(P44="да",'Справочники и промежут.расчет'!J186,"")</f>
        <v/>
      </c>
      <c r="O44" s="328"/>
      <c r="P44" s="147" t="s">
        <v>67</v>
      </c>
      <c r="Q44" s="328"/>
      <c r="R44" s="328"/>
      <c r="S44" s="328"/>
      <c r="T44" s="328"/>
      <c r="U44" s="339"/>
      <c r="V44" s="328"/>
      <c r="W44" s="329"/>
      <c r="Z44" s="146"/>
    </row>
    <row r="45" spans="10:26" ht="6" customHeight="1" x14ac:dyDescent="0.2">
      <c r="J45" s="534"/>
      <c r="L45" s="318"/>
      <c r="M45" s="328"/>
      <c r="N45" s="334"/>
      <c r="O45" s="328"/>
      <c r="P45" s="328"/>
      <c r="Q45" s="328"/>
      <c r="R45" s="328"/>
      <c r="S45" s="328"/>
      <c r="T45" s="328"/>
      <c r="U45" s="339"/>
      <c r="V45" s="328"/>
      <c r="W45" s="329"/>
      <c r="Z45" s="146"/>
    </row>
    <row r="46" spans="10:26" ht="15" hidden="1" customHeight="1" x14ac:dyDescent="0.2">
      <c r="J46" s="534"/>
      <c r="L46" s="318"/>
      <c r="M46" s="328" t="s">
        <v>747</v>
      </c>
      <c r="N46" s="334"/>
      <c r="O46" s="328"/>
      <c r="P46" s="147" t="s">
        <v>67</v>
      </c>
      <c r="Q46" s="328"/>
      <c r="R46" s="328"/>
      <c r="S46" s="328"/>
      <c r="T46" s="328"/>
      <c r="U46" s="339"/>
      <c r="V46" s="328"/>
      <c r="W46" s="329"/>
      <c r="Z46" s="146"/>
    </row>
    <row r="47" spans="10:26" ht="6" hidden="1" customHeight="1" x14ac:dyDescent="0.2">
      <c r="J47" s="534"/>
      <c r="L47" s="318"/>
      <c r="M47" s="328"/>
      <c r="N47" s="328"/>
      <c r="O47" s="328"/>
      <c r="P47" s="328"/>
      <c r="Q47" s="328"/>
      <c r="R47" s="328"/>
      <c r="S47" s="328"/>
      <c r="T47" s="328"/>
      <c r="U47" s="339"/>
      <c r="V47" s="328"/>
      <c r="W47" s="329"/>
      <c r="Z47" s="146"/>
    </row>
    <row r="48" spans="10:26" ht="15" hidden="1" customHeight="1" x14ac:dyDescent="0.2">
      <c r="J48" s="534"/>
      <c r="L48" s="318"/>
      <c r="M48" s="328" t="s">
        <v>640</v>
      </c>
      <c r="N48" s="328"/>
      <c r="O48" s="328"/>
      <c r="P48" s="147" t="s">
        <v>67</v>
      </c>
      <c r="Q48" s="328"/>
      <c r="R48" s="459" t="str">
        <f>IF(P48="да","для кредитов ≥ 3 млн (8 млн для Москвы, МО, 5млн. для С.Петербурга, ЛО)","")</f>
        <v/>
      </c>
      <c r="S48" s="328"/>
      <c r="T48" s="328"/>
      <c r="U48" s="339"/>
      <c r="V48" s="328"/>
      <c r="W48" s="329"/>
      <c r="Z48" s="146"/>
    </row>
    <row r="49" spans="10:26" ht="9" hidden="1" customHeight="1" x14ac:dyDescent="0.2">
      <c r="J49" s="534"/>
      <c r="L49" s="318"/>
      <c r="M49" s="328"/>
      <c r="N49" s="328"/>
      <c r="O49" s="328"/>
      <c r="P49" s="328"/>
      <c r="Q49" s="328"/>
      <c r="R49" s="328"/>
      <c r="S49" s="328"/>
      <c r="T49" s="328"/>
      <c r="U49" s="339"/>
      <c r="V49" s="328"/>
      <c r="W49" s="329"/>
      <c r="Z49" s="146"/>
    </row>
    <row r="50" spans="10:26" ht="15" customHeight="1" x14ac:dyDescent="0.2">
      <c r="J50" s="534"/>
      <c r="L50" s="318"/>
      <c r="M50" s="350" t="s">
        <v>718</v>
      </c>
      <c r="N50" s="334" t="str">
        <f>IF(AND(P50="да",AND(P13&lt;&gt;M170,P13&lt;&gt;M168,P13&lt;&gt;M171,P13&lt;&gt;M176,P13&lt;&gt;M177)),'Справочники и промежут.расчет'!K1,"")</f>
        <v/>
      </c>
      <c r="O50" s="328"/>
      <c r="P50" s="147" t="s">
        <v>67</v>
      </c>
      <c r="Q50" s="328"/>
      <c r="R50" s="559" t="str">
        <f>IF(OR(P59="да",N50="!"),"Вычет не сочетается с программой","")</f>
        <v/>
      </c>
      <c r="S50" s="328"/>
      <c r="T50" s="328"/>
      <c r="U50" s="339"/>
      <c r="V50" s="328"/>
      <c r="W50" s="329"/>
      <c r="Z50" s="146"/>
    </row>
    <row r="51" spans="10:26" ht="6" customHeight="1" x14ac:dyDescent="0.2">
      <c r="J51" s="534"/>
      <c r="L51" s="318"/>
      <c r="M51" s="328"/>
      <c r="N51" s="334" t="str">
        <f>IF(P51="да",'Справочники и промежут.расчет'!$J$190,"")</f>
        <v/>
      </c>
      <c r="O51" s="328"/>
      <c r="P51" s="328"/>
      <c r="Q51" s="328"/>
      <c r="R51" s="328"/>
      <c r="S51" s="328"/>
      <c r="T51" s="328"/>
      <c r="U51" s="328"/>
      <c r="V51" s="328"/>
      <c r="W51" s="329"/>
      <c r="Z51" s="146"/>
    </row>
    <row r="52" spans="10:26" ht="11.1" hidden="1" customHeight="1" x14ac:dyDescent="0.2">
      <c r="J52" s="534"/>
      <c r="L52" s="318"/>
      <c r="M52" s="328" t="s">
        <v>647</v>
      </c>
      <c r="N52" s="334" t="str">
        <f>IF(P52="да",'Справочники и промежут.расчет'!$J$190,"")</f>
        <v/>
      </c>
      <c r="O52" s="328"/>
      <c r="P52" s="147" t="s">
        <v>67</v>
      </c>
      <c r="Q52" s="328"/>
      <c r="R52" s="328"/>
      <c r="S52" s="328"/>
      <c r="T52" s="328"/>
      <c r="U52" s="332"/>
      <c r="V52" s="328"/>
      <c r="W52" s="329"/>
      <c r="Z52" s="146"/>
    </row>
    <row r="53" spans="10:26" ht="0.6" hidden="1" customHeight="1" x14ac:dyDescent="0.2">
      <c r="J53" s="534"/>
      <c r="L53" s="318"/>
      <c r="M53" s="328"/>
      <c r="N53" s="334" t="str">
        <f>IF(P53="да",'Справочники и промежут.расчет'!$J$190,"")</f>
        <v/>
      </c>
      <c r="O53" s="328"/>
      <c r="P53" s="328"/>
      <c r="Q53" s="328"/>
      <c r="R53" s="328"/>
      <c r="S53" s="328"/>
      <c r="T53" s="328"/>
      <c r="U53" s="332"/>
      <c r="V53" s="328"/>
      <c r="W53" s="329"/>
      <c r="Z53" s="146"/>
    </row>
    <row r="54" spans="10:26" ht="15" hidden="1" customHeight="1" x14ac:dyDescent="0.2">
      <c r="J54" s="534"/>
      <c r="L54" s="318"/>
      <c r="M54" s="328" t="s">
        <v>645</v>
      </c>
      <c r="N54" s="334" t="str">
        <f>IF(P54="да",'Справочники и промежут.расчет'!$J$190,"")</f>
        <v/>
      </c>
      <c r="O54" s="328"/>
      <c r="P54" s="147" t="s">
        <v>67</v>
      </c>
      <c r="Q54" s="328"/>
      <c r="R54" s="328"/>
      <c r="S54" s="328"/>
      <c r="T54" s="328"/>
      <c r="U54" s="332"/>
      <c r="V54" s="328"/>
      <c r="W54" s="329"/>
      <c r="Z54" s="146"/>
    </row>
    <row r="55" spans="10:26" ht="0.6" hidden="1" customHeight="1" x14ac:dyDescent="0.2">
      <c r="J55" s="534"/>
      <c r="L55" s="318"/>
      <c r="M55" s="328"/>
      <c r="N55" s="334" t="str">
        <f>IF(P55="да",'Справочники и промежут.расчет'!$J$190,"")</f>
        <v/>
      </c>
      <c r="O55" s="328"/>
      <c r="P55" s="328"/>
      <c r="Q55" s="328"/>
      <c r="R55" s="328"/>
      <c r="S55" s="328"/>
      <c r="T55" s="328"/>
      <c r="U55" s="332"/>
      <c r="V55" s="328"/>
      <c r="W55" s="329"/>
      <c r="Z55" s="146"/>
    </row>
    <row r="56" spans="10:26" ht="1.5" hidden="1" customHeight="1" x14ac:dyDescent="0.2">
      <c r="J56" s="534"/>
      <c r="L56" s="318"/>
      <c r="M56" s="328" t="s">
        <v>646</v>
      </c>
      <c r="N56" s="334" t="str">
        <f>IF(P56="да",'Справочники и промежут.расчет'!$J$190,"")</f>
        <v/>
      </c>
      <c r="O56" s="328"/>
      <c r="P56" s="147" t="s">
        <v>67</v>
      </c>
      <c r="Q56" s="328"/>
      <c r="R56" s="328"/>
      <c r="S56" s="328"/>
      <c r="T56" s="328"/>
      <c r="U56" s="332"/>
      <c r="V56" s="328"/>
      <c r="W56" s="329"/>
      <c r="Z56" s="146"/>
    </row>
    <row r="57" spans="10:26" ht="15" customHeight="1" x14ac:dyDescent="0.2">
      <c r="J57" s="534"/>
      <c r="L57" s="318"/>
      <c r="M57" s="328" t="s">
        <v>715</v>
      </c>
      <c r="N57" s="334"/>
      <c r="O57" s="328"/>
      <c r="P57" s="147" t="s">
        <v>67</v>
      </c>
      <c r="Q57" s="328"/>
      <c r="R57" s="559" t="str">
        <f>IF(N57="!","Вычет не сочетается с программой","")</f>
        <v/>
      </c>
      <c r="S57" s="328"/>
      <c r="T57" s="328"/>
      <c r="U57" s="332"/>
      <c r="V57" s="328"/>
      <c r="W57" s="329"/>
      <c r="Z57" s="146"/>
    </row>
    <row r="58" spans="10:26" ht="5.45" customHeight="1" x14ac:dyDescent="0.2">
      <c r="J58" s="534"/>
      <c r="L58" s="318"/>
      <c r="M58" s="328"/>
      <c r="N58" s="334"/>
      <c r="O58" s="328"/>
      <c r="P58" s="328"/>
      <c r="Q58" s="328"/>
      <c r="R58" s="328"/>
      <c r="S58" s="328"/>
      <c r="T58" s="328"/>
      <c r="U58" s="332"/>
      <c r="V58" s="328"/>
      <c r="W58" s="329"/>
      <c r="Z58" s="146"/>
    </row>
    <row r="59" spans="10:26" ht="15" customHeight="1" x14ac:dyDescent="0.2">
      <c r="J59" s="534"/>
      <c r="L59" s="318"/>
      <c r="M59" s="328" t="s">
        <v>748</v>
      </c>
      <c r="N59" s="334"/>
      <c r="O59" s="328"/>
      <c r="P59" s="147" t="s">
        <v>67</v>
      </c>
      <c r="Q59" s="328"/>
      <c r="R59" s="597" t="str">
        <f>IF(AND(P59="да",AND(P50="нет",OR(P13=M169,P13=M170))),"",IF(P59="нет","","     Не сочетается с программой!"))</f>
        <v/>
      </c>
      <c r="S59" s="328"/>
      <c r="T59" s="328"/>
      <c r="U59" s="332"/>
      <c r="V59" s="328"/>
      <c r="W59" s="329"/>
      <c r="Z59" s="146"/>
    </row>
    <row r="60" spans="10:26" ht="6" customHeight="1" x14ac:dyDescent="0.2">
      <c r="J60" s="534"/>
      <c r="L60" s="318"/>
      <c r="M60" s="328"/>
      <c r="N60" s="328"/>
      <c r="O60" s="328"/>
      <c r="P60" s="328"/>
      <c r="Q60" s="328"/>
      <c r="R60" s="328"/>
      <c r="S60" s="328"/>
      <c r="T60" s="328"/>
      <c r="U60" s="332"/>
      <c r="V60" s="328"/>
      <c r="W60" s="329"/>
      <c r="Z60" s="146"/>
    </row>
    <row r="61" spans="10:26" ht="15" customHeight="1" x14ac:dyDescent="0.2">
      <c r="J61" s="534"/>
      <c r="L61" s="318"/>
      <c r="M61" s="328" t="s">
        <v>732</v>
      </c>
      <c r="N61" s="334" t="str">
        <f>IF(P61="да",'Справочники и промежут.расчет'!$J185,"")</f>
        <v/>
      </c>
      <c r="O61" s="328"/>
      <c r="P61" s="277" t="s">
        <v>67</v>
      </c>
      <c r="Q61" s="328"/>
      <c r="R61" s="328"/>
      <c r="S61" s="328"/>
      <c r="T61" s="336" t="s">
        <v>628</v>
      </c>
      <c r="U61" s="332"/>
      <c r="V61" s="460">
        <v>0</v>
      </c>
      <c r="W61" s="329"/>
      <c r="Z61" s="146"/>
    </row>
    <row r="62" spans="10:26" ht="15" hidden="1" customHeight="1" x14ac:dyDescent="0.2">
      <c r="J62" s="534"/>
      <c r="L62" s="318"/>
      <c r="M62" s="328"/>
      <c r="N62" s="328"/>
      <c r="O62" s="328"/>
      <c r="P62" s="328"/>
      <c r="Q62" s="328"/>
      <c r="R62" s="328"/>
      <c r="S62" s="328"/>
      <c r="T62" s="328"/>
      <c r="U62" s="332"/>
      <c r="V62" s="328"/>
      <c r="W62" s="329"/>
      <c r="Z62" s="146"/>
    </row>
    <row r="63" spans="10:26" ht="16.350000000000001" hidden="1" customHeight="1" x14ac:dyDescent="0.2">
      <c r="J63" s="534"/>
      <c r="L63" s="318"/>
      <c r="M63" s="328" t="s">
        <v>392</v>
      </c>
      <c r="N63" s="334"/>
      <c r="O63" s="328"/>
      <c r="P63" s="147" t="s">
        <v>67</v>
      </c>
      <c r="Q63" s="328"/>
      <c r="R63" s="328"/>
      <c r="S63" s="328"/>
      <c r="T63" s="328"/>
      <c r="U63" s="328"/>
      <c r="V63" s="328"/>
      <c r="W63" s="329"/>
      <c r="Z63" s="146"/>
    </row>
    <row r="64" spans="10:26" ht="6.75" customHeight="1" x14ac:dyDescent="0.2">
      <c r="J64" s="534"/>
      <c r="L64" s="31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9"/>
      <c r="Z64" s="146"/>
    </row>
    <row r="65" spans="10:26" ht="15" hidden="1" customHeight="1" x14ac:dyDescent="0.2">
      <c r="J65" s="534"/>
      <c r="L65" s="318"/>
      <c r="M65" s="328" t="s">
        <v>749</v>
      </c>
      <c r="N65" s="334" t="str">
        <f>IF(P65="да",'Справочники и промежут.расчет'!$J187,"")&amp;IF(AND(P63&lt;&gt;"нет",P65="ДА"),"!","")</f>
        <v/>
      </c>
      <c r="O65" s="338"/>
      <c r="P65" s="277" t="s">
        <v>67</v>
      </c>
      <c r="Q65" s="328"/>
      <c r="R65" s="597" t="str">
        <f>IF(AND(P65="да",OR(P13=M176,P13=M177,P13=M171,P13=M168,)),"",IF(P65="нет","","     Не сочетается с программой!"))</f>
        <v/>
      </c>
      <c r="S65" s="328"/>
      <c r="T65" s="328"/>
      <c r="U65" s="328"/>
      <c r="V65" s="328"/>
      <c r="W65" s="329"/>
      <c r="Z65" s="146"/>
    </row>
    <row r="66" spans="10:26" ht="4.5" hidden="1" customHeight="1" x14ac:dyDescent="0.2">
      <c r="J66" s="534"/>
      <c r="L66" s="318"/>
      <c r="M66" s="328"/>
      <c r="N66" s="328"/>
      <c r="O66" s="328"/>
      <c r="P66" s="332"/>
      <c r="Q66" s="332"/>
      <c r="R66" s="328"/>
      <c r="S66" s="328"/>
      <c r="T66" s="328"/>
      <c r="U66" s="328"/>
      <c r="V66" s="328"/>
      <c r="W66" s="329"/>
      <c r="Z66" s="146"/>
    </row>
    <row r="67" spans="10:26" ht="15" hidden="1" x14ac:dyDescent="0.2">
      <c r="J67" s="534"/>
      <c r="L67" s="318"/>
      <c r="M67" s="339" t="s">
        <v>72</v>
      </c>
      <c r="N67" s="339"/>
      <c r="O67" s="328"/>
      <c r="P67" s="339" t="s">
        <v>73</v>
      </c>
      <c r="Q67" s="339"/>
      <c r="R67" s="339" t="s">
        <v>74</v>
      </c>
      <c r="S67" s="339"/>
      <c r="T67" s="339" t="s">
        <v>75</v>
      </c>
      <c r="U67" s="328"/>
      <c r="V67" s="339" t="s">
        <v>76</v>
      </c>
      <c r="W67" s="340"/>
      <c r="Z67" s="146"/>
    </row>
    <row r="68" spans="10:26" ht="6.75" hidden="1" customHeight="1" x14ac:dyDescent="0.2">
      <c r="J68" s="534"/>
      <c r="L68" s="318"/>
      <c r="M68" s="339"/>
      <c r="N68" s="339"/>
      <c r="O68" s="328"/>
      <c r="P68" s="339"/>
      <c r="Q68" s="339"/>
      <c r="R68" s="339"/>
      <c r="S68" s="339"/>
      <c r="T68" s="339"/>
      <c r="U68" s="328"/>
      <c r="V68" s="328"/>
      <c r="W68" s="340"/>
      <c r="Z68" s="146"/>
    </row>
    <row r="69" spans="10:26" ht="15" hidden="1" customHeight="1" x14ac:dyDescent="0.2">
      <c r="J69" s="534"/>
      <c r="L69" s="318"/>
      <c r="M69" s="311"/>
      <c r="N69" s="339"/>
      <c r="O69" s="328"/>
      <c r="P69" s="311"/>
      <c r="Q69" s="339"/>
      <c r="R69" s="341" t="s">
        <v>78</v>
      </c>
      <c r="S69" s="339"/>
      <c r="T69" s="341" t="s">
        <v>78</v>
      </c>
      <c r="U69" s="328"/>
      <c r="V69" s="341" t="s">
        <v>78</v>
      </c>
      <c r="W69" s="340"/>
      <c r="Z69" s="146"/>
    </row>
    <row r="70" spans="10:26" ht="12" hidden="1" customHeight="1" x14ac:dyDescent="0.2">
      <c r="J70" s="534"/>
      <c r="L70" s="318"/>
      <c r="M70" s="339"/>
      <c r="N70" s="339"/>
      <c r="O70" s="328"/>
      <c r="P70" s="339"/>
      <c r="Q70" s="339"/>
      <c r="R70" s="339"/>
      <c r="S70" s="339"/>
      <c r="T70" s="339"/>
      <c r="U70" s="328"/>
      <c r="V70" s="328"/>
      <c r="W70" s="340"/>
      <c r="Z70" s="146"/>
    </row>
    <row r="71" spans="10:26" hidden="1" x14ac:dyDescent="0.2">
      <c r="J71" s="534"/>
      <c r="L71" s="311"/>
      <c r="M71" s="311"/>
      <c r="N71" s="311"/>
      <c r="O71" s="311"/>
      <c r="P71" s="312"/>
      <c r="Q71" s="312"/>
      <c r="R71" s="311"/>
      <c r="S71" s="311"/>
      <c r="T71" s="311"/>
      <c r="U71" s="311"/>
      <c r="V71" s="311"/>
      <c r="W71" s="311"/>
    </row>
    <row r="72" spans="10:26" ht="6" hidden="1" customHeight="1" x14ac:dyDescent="0.2">
      <c r="J72" s="534"/>
      <c r="L72" s="318"/>
      <c r="M72" s="339"/>
      <c r="N72" s="339"/>
      <c r="O72" s="328"/>
      <c r="P72" s="339"/>
      <c r="Q72" s="339"/>
      <c r="R72" s="339"/>
      <c r="S72" s="339"/>
      <c r="T72" s="339"/>
      <c r="U72" s="328"/>
      <c r="V72" s="328"/>
      <c r="W72" s="340"/>
      <c r="Z72" s="146"/>
    </row>
    <row r="73" spans="10:26" ht="15" hidden="1" customHeight="1" x14ac:dyDescent="0.2">
      <c r="J73" s="534"/>
      <c r="L73" s="318"/>
      <c r="M73" s="552" t="s">
        <v>606</v>
      </c>
      <c r="N73" s="553"/>
      <c r="O73" s="328"/>
      <c r="P73" s="149" t="s">
        <v>78</v>
      </c>
      <c r="Q73" s="339"/>
      <c r="R73" s="339"/>
      <c r="S73" s="339"/>
      <c r="T73" s="339"/>
      <c r="U73" s="328"/>
      <c r="V73" s="328"/>
      <c r="W73" s="340"/>
      <c r="Z73" s="146"/>
    </row>
    <row r="74" spans="10:26" ht="6" hidden="1" customHeight="1" x14ac:dyDescent="0.2">
      <c r="J74" s="534"/>
      <c r="L74" s="318"/>
      <c r="M74" s="554"/>
      <c r="N74" s="553"/>
      <c r="O74" s="328"/>
      <c r="P74" s="339"/>
      <c r="Q74" s="339"/>
      <c r="R74" s="339"/>
      <c r="S74" s="339"/>
      <c r="T74" s="339"/>
      <c r="U74" s="328"/>
      <c r="V74" s="328"/>
      <c r="W74" s="340"/>
      <c r="Z74" s="146"/>
    </row>
    <row r="75" spans="10:26" ht="6" hidden="1" customHeight="1" x14ac:dyDescent="0.2">
      <c r="J75" s="534"/>
      <c r="L75" s="318"/>
      <c r="M75" s="554"/>
      <c r="N75" s="553"/>
      <c r="O75" s="328"/>
      <c r="P75" s="339"/>
      <c r="Q75" s="339"/>
      <c r="R75" s="339"/>
      <c r="S75" s="339"/>
      <c r="T75" s="339"/>
      <c r="U75" s="328"/>
      <c r="V75" s="328"/>
      <c r="W75" s="340"/>
      <c r="Z75" s="146"/>
    </row>
    <row r="76" spans="10:26" ht="13.35" hidden="1" customHeight="1" x14ac:dyDescent="0.2">
      <c r="J76" s="534"/>
      <c r="L76" s="318"/>
      <c r="M76" s="554"/>
      <c r="N76" s="553"/>
      <c r="O76" s="328"/>
      <c r="P76" s="339"/>
      <c r="Q76" s="339"/>
      <c r="R76" s="339"/>
      <c r="S76" s="339"/>
      <c r="T76" s="339"/>
      <c r="U76" s="328"/>
      <c r="V76" s="328"/>
      <c r="W76" s="340"/>
      <c r="Z76" s="146"/>
    </row>
    <row r="77" spans="10:26" ht="25.35" hidden="1" customHeight="1" x14ac:dyDescent="0.2">
      <c r="J77" s="534"/>
      <c r="L77" s="318"/>
      <c r="M77" s="609" t="s">
        <v>607</v>
      </c>
      <c r="N77" s="609"/>
      <c r="O77" s="328"/>
      <c r="P77" s="311"/>
      <c r="Q77" s="339"/>
      <c r="R77" s="339"/>
      <c r="S77" s="339"/>
      <c r="T77" s="339"/>
      <c r="U77" s="339"/>
      <c r="V77" s="339"/>
      <c r="W77" s="340"/>
      <c r="Z77" s="146"/>
    </row>
    <row r="78" spans="10:26" ht="15" hidden="1" customHeight="1" x14ac:dyDescent="0.2">
      <c r="J78" s="534"/>
      <c r="L78" s="318"/>
      <c r="M78" s="555"/>
      <c r="N78" s="555"/>
      <c r="O78" s="328"/>
      <c r="P78" s="339"/>
      <c r="Q78" s="339"/>
      <c r="R78" s="339"/>
      <c r="S78" s="339"/>
      <c r="T78" s="339"/>
      <c r="U78" s="339"/>
      <c r="V78" s="339"/>
      <c r="W78" s="340"/>
      <c r="Z78" s="146"/>
    </row>
    <row r="79" spans="10:26" ht="15" hidden="1" customHeight="1" x14ac:dyDescent="0.2">
      <c r="J79" s="534"/>
      <c r="L79" s="318"/>
      <c r="M79" s="555" t="s">
        <v>604</v>
      </c>
      <c r="N79" s="556"/>
      <c r="O79" s="328"/>
      <c r="P79" s="278">
        <v>21</v>
      </c>
      <c r="Q79" s="339"/>
      <c r="R79" s="339"/>
      <c r="S79" s="339"/>
      <c r="T79" s="339"/>
      <c r="U79" s="339"/>
      <c r="V79" s="339"/>
      <c r="W79" s="340"/>
      <c r="Z79" s="146"/>
    </row>
    <row r="80" spans="10:26" ht="6" hidden="1" customHeight="1" x14ac:dyDescent="0.2">
      <c r="J80" s="534"/>
      <c r="L80" s="318"/>
      <c r="M80" s="556"/>
      <c r="N80" s="556"/>
      <c r="O80" s="328"/>
      <c r="P80" s="339"/>
      <c r="Q80" s="339"/>
      <c r="R80" s="339"/>
      <c r="S80" s="339"/>
      <c r="T80" s="339"/>
      <c r="U80" s="339"/>
      <c r="V80" s="339"/>
      <c r="W80" s="340"/>
      <c r="Z80" s="146"/>
    </row>
    <row r="81" spans="10:26" ht="29.1" hidden="1" customHeight="1" x14ac:dyDescent="0.2">
      <c r="J81" s="534"/>
      <c r="L81" s="318"/>
      <c r="M81" s="556"/>
      <c r="N81" s="556"/>
      <c r="O81" s="328"/>
      <c r="P81" s="339"/>
      <c r="Q81" s="339"/>
      <c r="R81" s="339"/>
      <c r="S81" s="339"/>
      <c r="T81" s="339"/>
      <c r="U81" s="339"/>
      <c r="V81" s="339"/>
      <c r="W81" s="340"/>
      <c r="Z81" s="146"/>
    </row>
    <row r="82" spans="10:26" ht="14.1" hidden="1" customHeight="1" x14ac:dyDescent="0.2">
      <c r="J82" s="534"/>
      <c r="L82" s="318"/>
      <c r="M82" s="556"/>
      <c r="N82" s="556"/>
      <c r="O82" s="328"/>
      <c r="P82" s="311"/>
      <c r="Q82" s="339"/>
      <c r="R82" s="339"/>
      <c r="S82" s="339"/>
      <c r="T82" s="339"/>
      <c r="U82" s="339"/>
      <c r="V82" s="339"/>
      <c r="W82" s="346"/>
      <c r="Z82" s="146"/>
    </row>
    <row r="83" spans="10:26" ht="0.75" hidden="1" customHeight="1" x14ac:dyDescent="0.2">
      <c r="J83" s="534"/>
      <c r="L83" s="318"/>
      <c r="M83" s="556"/>
      <c r="N83" s="556"/>
      <c r="O83" s="311"/>
      <c r="P83" s="311"/>
      <c r="Q83" s="339"/>
      <c r="R83" s="339"/>
      <c r="S83" s="339"/>
      <c r="T83" s="339"/>
      <c r="U83" s="339"/>
      <c r="V83" s="339"/>
      <c r="W83" s="346"/>
      <c r="Z83" s="146"/>
    </row>
    <row r="84" spans="10:26" ht="15" customHeight="1" x14ac:dyDescent="0.2">
      <c r="J84" s="534"/>
      <c r="L84" s="318"/>
      <c r="M84" s="344" t="s">
        <v>611</v>
      </c>
      <c r="N84" s="344"/>
      <c r="O84" s="328"/>
      <c r="P84" s="564">
        <v>0</v>
      </c>
      <c r="Q84" s="339"/>
      <c r="R84" s="339"/>
      <c r="S84" s="339"/>
      <c r="T84" s="339"/>
      <c r="U84" s="339"/>
      <c r="V84" s="339"/>
      <c r="W84" s="346"/>
      <c r="Z84" s="146"/>
    </row>
    <row r="85" spans="10:26" ht="6" customHeight="1" x14ac:dyDescent="0.2">
      <c r="J85" s="534"/>
      <c r="L85" s="318"/>
      <c r="M85" s="344"/>
      <c r="N85" s="344"/>
      <c r="O85" s="344"/>
      <c r="P85" s="344"/>
      <c r="Q85" s="339"/>
      <c r="R85" s="339"/>
      <c r="S85" s="339"/>
      <c r="T85" s="339"/>
      <c r="U85" s="339"/>
      <c r="V85" s="339"/>
      <c r="W85" s="346"/>
      <c r="Z85" s="146"/>
    </row>
    <row r="86" spans="10:26" ht="15" customHeight="1" x14ac:dyDescent="0.2">
      <c r="J86" s="534"/>
      <c r="L86" s="318"/>
      <c r="M86" s="343" t="s">
        <v>605</v>
      </c>
      <c r="N86" s="344"/>
      <c r="O86" s="328"/>
      <c r="P86" s="149">
        <v>0</v>
      </c>
      <c r="Q86" s="339"/>
      <c r="R86" s="339"/>
      <c r="S86" s="339"/>
      <c r="T86" s="339"/>
      <c r="U86" s="339"/>
      <c r="V86" s="339"/>
      <c r="W86" s="346"/>
      <c r="Z86" s="146"/>
    </row>
    <row r="87" spans="10:26" ht="15" hidden="1" customHeight="1" x14ac:dyDescent="0.2">
      <c r="J87" s="534"/>
      <c r="L87" s="318"/>
      <c r="M87" s="556"/>
      <c r="N87" s="556"/>
      <c r="O87" s="344"/>
      <c r="P87" s="344"/>
      <c r="Q87" s="339"/>
      <c r="R87" s="339"/>
      <c r="S87" s="339"/>
      <c r="T87" s="339"/>
      <c r="U87" s="339"/>
      <c r="V87" s="339"/>
      <c r="W87" s="346"/>
      <c r="Z87" s="146"/>
    </row>
    <row r="88" spans="10:26" ht="17.45" hidden="1" customHeight="1" x14ac:dyDescent="0.2">
      <c r="J88" s="534"/>
      <c r="L88" s="318"/>
      <c r="M88" s="553" t="s">
        <v>79</v>
      </c>
      <c r="N88" s="553"/>
      <c r="O88" s="328"/>
      <c r="P88" s="347"/>
      <c r="Q88" s="339"/>
      <c r="R88" s="339"/>
      <c r="S88" s="339"/>
      <c r="T88" s="339"/>
      <c r="U88" s="339"/>
      <c r="V88" s="339"/>
      <c r="W88" s="329"/>
      <c r="Z88" s="146"/>
    </row>
    <row r="89" spans="10:26" ht="17.45" hidden="1" customHeight="1" x14ac:dyDescent="0.2">
      <c r="J89" s="534"/>
      <c r="L89" s="318"/>
      <c r="M89" s="609" t="s">
        <v>80</v>
      </c>
      <c r="N89" s="609"/>
      <c r="O89" s="328"/>
      <c r="P89" s="345">
        <v>0</v>
      </c>
      <c r="Q89" s="339"/>
      <c r="R89" s="339"/>
      <c r="S89" s="339"/>
      <c r="T89" s="339"/>
      <c r="U89" s="339"/>
      <c r="V89" s="339"/>
      <c r="W89" s="346"/>
      <c r="Z89" s="146"/>
    </row>
    <row r="90" spans="10:26" ht="17.45" hidden="1" customHeight="1" x14ac:dyDescent="0.25">
      <c r="J90" s="534"/>
      <c r="L90" s="318"/>
      <c r="M90" s="556"/>
      <c r="N90" s="556"/>
      <c r="O90" s="328"/>
      <c r="P90" s="348"/>
      <c r="Q90" s="339"/>
      <c r="R90" s="339"/>
      <c r="S90" s="339"/>
      <c r="T90" s="339"/>
      <c r="U90" s="339"/>
      <c r="V90" s="339"/>
      <c r="W90" s="346"/>
      <c r="Z90" s="146"/>
    </row>
    <row r="91" spans="10:26" ht="15" hidden="1" customHeight="1" x14ac:dyDescent="0.2">
      <c r="J91" s="534"/>
      <c r="L91" s="318"/>
      <c r="M91" s="533"/>
      <c r="N91" s="533"/>
      <c r="O91" s="311"/>
      <c r="P91" s="311"/>
      <c r="Q91" s="339"/>
      <c r="R91" s="339"/>
      <c r="S91" s="339"/>
      <c r="T91" s="339"/>
      <c r="U91" s="339"/>
      <c r="V91" s="339"/>
      <c r="W91" s="346"/>
      <c r="Z91" s="146"/>
    </row>
    <row r="92" spans="10:26" ht="17.45" hidden="1" customHeight="1" x14ac:dyDescent="0.25">
      <c r="J92" s="534"/>
      <c r="L92" s="318"/>
      <c r="M92" s="556"/>
      <c r="N92" s="556"/>
      <c r="O92" s="328"/>
      <c r="P92" s="349"/>
      <c r="Q92" s="339"/>
      <c r="R92" s="339"/>
      <c r="S92" s="339"/>
      <c r="T92" s="339"/>
      <c r="U92" s="339"/>
      <c r="V92" s="339"/>
      <c r="W92" s="346"/>
      <c r="Z92" s="146"/>
    </row>
    <row r="93" spans="10:26" ht="17.45" hidden="1" customHeight="1" x14ac:dyDescent="0.2">
      <c r="J93" s="534"/>
      <c r="L93" s="318"/>
      <c r="M93" s="609" t="s">
        <v>602</v>
      </c>
      <c r="N93" s="609"/>
      <c r="O93" s="328"/>
      <c r="P93" s="345">
        <v>0</v>
      </c>
      <c r="Q93" s="339"/>
      <c r="R93" s="339"/>
      <c r="S93" s="339"/>
      <c r="T93" s="339"/>
      <c r="U93" s="339"/>
      <c r="V93" s="339"/>
      <c r="W93" s="346"/>
      <c r="Z93" s="146"/>
    </row>
    <row r="94" spans="10:26" ht="15" hidden="1" customHeight="1" x14ac:dyDescent="0.2">
      <c r="J94" s="534"/>
      <c r="L94" s="318"/>
      <c r="M94" s="556"/>
      <c r="N94" s="556"/>
      <c r="O94" s="344"/>
      <c r="P94" s="311"/>
      <c r="Q94" s="339"/>
      <c r="R94" s="339"/>
      <c r="S94" s="339"/>
      <c r="T94" s="339"/>
      <c r="U94" s="339"/>
      <c r="V94" s="339"/>
      <c r="W94" s="346"/>
      <c r="Z94" s="146"/>
    </row>
    <row r="95" spans="10:26" ht="15" hidden="1" x14ac:dyDescent="0.2">
      <c r="J95" s="534"/>
      <c r="L95" s="311"/>
      <c r="M95" s="533"/>
      <c r="N95" s="533"/>
      <c r="O95" s="311"/>
      <c r="P95" s="312"/>
      <c r="Q95" s="339"/>
      <c r="R95" s="339"/>
      <c r="S95" s="339"/>
      <c r="T95" s="339"/>
      <c r="U95" s="339"/>
      <c r="V95" s="339"/>
      <c r="W95" s="311"/>
    </row>
    <row r="96" spans="10:26" ht="17.45" hidden="1" customHeight="1" x14ac:dyDescent="0.25">
      <c r="J96" s="534"/>
      <c r="L96" s="318"/>
      <c r="M96" s="556"/>
      <c r="N96" s="556"/>
      <c r="O96" s="328"/>
      <c r="P96" s="349"/>
      <c r="Q96" s="339"/>
      <c r="R96" s="339"/>
      <c r="S96" s="339"/>
      <c r="T96" s="339"/>
      <c r="U96" s="339"/>
      <c r="V96" s="339"/>
      <c r="W96" s="346"/>
      <c r="Z96" s="146"/>
    </row>
    <row r="97" spans="10:26" ht="15" hidden="1" customHeight="1" x14ac:dyDescent="0.2">
      <c r="J97" s="534"/>
      <c r="L97" s="318"/>
      <c r="M97" s="533"/>
      <c r="N97" s="533"/>
      <c r="O97" s="311"/>
      <c r="P97" s="311"/>
      <c r="Q97" s="339"/>
      <c r="R97" s="339"/>
      <c r="S97" s="339"/>
      <c r="T97" s="339"/>
      <c r="U97" s="339"/>
      <c r="V97" s="339"/>
      <c r="W97" s="329"/>
      <c r="Z97" s="146"/>
    </row>
    <row r="98" spans="10:26" ht="6" customHeight="1" x14ac:dyDescent="0.25">
      <c r="J98" s="534"/>
      <c r="L98" s="318"/>
      <c r="M98" s="350"/>
      <c r="N98" s="350"/>
      <c r="O98" s="328"/>
      <c r="P98" s="351"/>
      <c r="Q98" s="339"/>
      <c r="R98" s="339"/>
      <c r="S98" s="339"/>
      <c r="T98" s="339"/>
      <c r="U98" s="339"/>
      <c r="V98" s="339"/>
      <c r="W98" s="329"/>
      <c r="Z98" s="146"/>
    </row>
    <row r="99" spans="10:26" ht="15" hidden="1" x14ac:dyDescent="0.2">
      <c r="J99" s="534"/>
      <c r="L99" s="311"/>
      <c r="M99" s="533"/>
      <c r="N99" s="533"/>
      <c r="O99" s="311"/>
      <c r="P99" s="312"/>
      <c r="Q99" s="339"/>
      <c r="R99" s="339"/>
      <c r="S99" s="339"/>
      <c r="T99" s="339"/>
      <c r="U99" s="339"/>
      <c r="V99" s="339"/>
      <c r="W99" s="311"/>
    </row>
    <row r="100" spans="10:26" ht="11.1" hidden="1" customHeight="1" x14ac:dyDescent="0.25">
      <c r="J100" s="534"/>
      <c r="L100" s="318"/>
      <c r="M100" s="557"/>
      <c r="N100" s="557"/>
      <c r="O100" s="328"/>
      <c r="P100" s="351"/>
      <c r="Q100" s="339"/>
      <c r="R100" s="339"/>
      <c r="S100" s="339"/>
      <c r="T100" s="339"/>
      <c r="U100" s="339"/>
      <c r="V100" s="339"/>
      <c r="W100" s="329"/>
      <c r="Z100" s="146"/>
    </row>
    <row r="101" spans="10:26" ht="15" hidden="1" customHeight="1" x14ac:dyDescent="0.25">
      <c r="J101" s="534"/>
      <c r="L101" s="318"/>
      <c r="M101" s="557" t="s">
        <v>610</v>
      </c>
      <c r="N101" s="557"/>
      <c r="O101" s="328"/>
      <c r="P101" s="295">
        <v>1</v>
      </c>
      <c r="Q101" s="339"/>
      <c r="R101" s="339"/>
      <c r="S101" s="339"/>
      <c r="T101" s="339"/>
      <c r="U101" s="339"/>
      <c r="V101" s="339"/>
      <c r="W101" s="329"/>
      <c r="Z101" s="146"/>
    </row>
    <row r="102" spans="10:26" ht="36.75" hidden="1" customHeight="1" x14ac:dyDescent="0.25">
      <c r="J102" s="534"/>
      <c r="L102" s="318"/>
      <c r="M102" s="350"/>
      <c r="N102" s="350"/>
      <c r="O102" s="328"/>
      <c r="P102" s="351"/>
      <c r="Q102" s="339"/>
      <c r="R102" s="339"/>
      <c r="S102" s="339"/>
      <c r="T102" s="339"/>
      <c r="U102" s="339"/>
      <c r="V102" s="339"/>
      <c r="W102" s="329"/>
      <c r="Z102" s="146"/>
    </row>
    <row r="103" spans="10:26" ht="15" customHeight="1" x14ac:dyDescent="0.2">
      <c r="J103" s="534"/>
      <c r="L103" s="318"/>
      <c r="M103" s="333" t="s">
        <v>83</v>
      </c>
      <c r="N103" s="333"/>
      <c r="O103" s="328"/>
      <c r="P103" s="149" t="s">
        <v>82</v>
      </c>
      <c r="Q103" s="339"/>
      <c r="R103" s="339"/>
      <c r="S103" s="339"/>
      <c r="T103" s="339"/>
      <c r="U103" s="339"/>
      <c r="V103" s="339"/>
      <c r="W103" s="329"/>
      <c r="Z103" s="146"/>
    </row>
    <row r="104" spans="10:26" ht="6" customHeight="1" x14ac:dyDescent="0.25">
      <c r="J104" s="534"/>
      <c r="L104" s="318"/>
      <c r="M104" s="350"/>
      <c r="N104" s="350"/>
      <c r="O104" s="328"/>
      <c r="P104" s="351"/>
      <c r="Q104" s="339"/>
      <c r="R104" s="339"/>
      <c r="S104" s="339"/>
      <c r="T104" s="339"/>
      <c r="U104" s="339"/>
      <c r="V104" s="339"/>
      <c r="W104" s="329"/>
      <c r="Z104" s="146"/>
    </row>
    <row r="105" spans="10:26" ht="15" customHeight="1" x14ac:dyDescent="0.2">
      <c r="J105" s="534"/>
      <c r="L105" s="318"/>
      <c r="M105" s="333" t="s">
        <v>84</v>
      </c>
      <c r="N105" s="352" t="str">
        <f>IF(P105&lt;'Справочники и промежут.расчет'!$M$100,"малый взнос","")</f>
        <v/>
      </c>
      <c r="O105" s="328">
        <v>10</v>
      </c>
      <c r="P105" s="600">
        <v>0.15010000000000001</v>
      </c>
      <c r="Q105" s="339"/>
      <c r="R105" s="605">
        <f>1-P105</f>
        <v>0.84989999999999999</v>
      </c>
      <c r="S105" s="339"/>
      <c r="T105" s="339"/>
      <c r="U105" s="339"/>
      <c r="V105" s="339"/>
      <c r="W105" s="329"/>
      <c r="Z105" s="146"/>
    </row>
    <row r="106" spans="10:26" ht="14.1" hidden="1" customHeight="1" x14ac:dyDescent="0.2">
      <c r="J106" s="534"/>
      <c r="L106" s="318"/>
      <c r="M106" s="333"/>
      <c r="N106" s="333"/>
      <c r="O106" s="328"/>
      <c r="P106" s="350"/>
      <c r="Q106" s="339"/>
      <c r="R106" s="339"/>
      <c r="S106" s="339"/>
      <c r="T106" s="339"/>
      <c r="U106" s="339"/>
      <c r="V106" s="339"/>
      <c r="W106" s="329"/>
      <c r="Z106" s="146"/>
    </row>
    <row r="107" spans="10:26" ht="21" hidden="1" customHeight="1" x14ac:dyDescent="0.2">
      <c r="J107" s="534"/>
      <c r="L107" s="318"/>
      <c r="M107" s="333" t="s">
        <v>377</v>
      </c>
      <c r="N107" s="353" t="str">
        <f>IF($N$119&lt;&gt;$R$192,"не учитывается в расчете",IF($R$139&gt;'Справочники и промежут.расчет'!$Q$131,"превышение суммы",IF($R$139&lt;'Справочники и промежут.расчет'!$I$139,"сумма меньше предельной","")))</f>
        <v>не учитывается в расчете</v>
      </c>
      <c r="O107" s="328"/>
      <c r="P107" s="312"/>
      <c r="Q107" s="339"/>
      <c r="R107" s="339"/>
      <c r="S107" s="339"/>
      <c r="T107" s="339"/>
      <c r="U107" s="339"/>
      <c r="V107" s="339"/>
      <c r="W107" s="329"/>
      <c r="Z107" s="146"/>
    </row>
    <row r="108" spans="10:26" ht="16.350000000000001" hidden="1" customHeight="1" x14ac:dyDescent="0.2">
      <c r="J108" s="534"/>
      <c r="L108" s="318"/>
      <c r="M108" s="333"/>
      <c r="N108" s="333"/>
      <c r="O108" s="328"/>
      <c r="P108" s="350"/>
      <c r="Q108" s="339"/>
      <c r="R108" s="339"/>
      <c r="S108" s="339"/>
      <c r="T108" s="339"/>
      <c r="U108" s="339"/>
      <c r="V108" s="339"/>
      <c r="W108" s="329"/>
      <c r="Z108" s="146"/>
    </row>
    <row r="109" spans="10:26" ht="15" hidden="1" customHeight="1" x14ac:dyDescent="0.2">
      <c r="J109" s="534"/>
      <c r="L109" s="318"/>
      <c r="M109" s="333" t="s">
        <v>374</v>
      </c>
      <c r="N109" s="353" t="str">
        <f>IF($N$119&lt;&gt;$R$194,"не учитывается в расчете","")</f>
        <v>не учитывается в расчете</v>
      </c>
      <c r="O109" s="328"/>
      <c r="P109" s="312"/>
      <c r="Q109" s="339"/>
      <c r="R109" s="339"/>
      <c r="S109" s="339"/>
      <c r="T109" s="339"/>
      <c r="U109" s="339"/>
      <c r="V109" s="339"/>
      <c r="W109" s="329"/>
      <c r="Z109" s="146"/>
    </row>
    <row r="110" spans="10:26" ht="6" customHeight="1" x14ac:dyDescent="0.2">
      <c r="J110" s="534"/>
      <c r="L110" s="318"/>
      <c r="M110" s="333"/>
      <c r="N110" s="333"/>
      <c r="O110" s="328"/>
      <c r="P110" s="350"/>
      <c r="Q110" s="339"/>
      <c r="R110" s="339"/>
      <c r="S110" s="339"/>
      <c r="T110" s="339"/>
      <c r="U110" s="339"/>
      <c r="V110" s="339"/>
      <c r="W110" s="329"/>
      <c r="Z110" s="146"/>
    </row>
    <row r="111" spans="10:26" ht="15" customHeight="1" x14ac:dyDescent="0.2">
      <c r="J111" s="534"/>
      <c r="L111" s="318"/>
      <c r="M111" s="399" t="s">
        <v>85</v>
      </c>
      <c r="N111" s="427" t="str">
        <f>IF(P111/12&gt;'Расчет по доходу заемщика'!$E$24,"максимальный срок "&amp;'Расчет по доходу заемщика'!E24*12,"")</f>
        <v/>
      </c>
      <c r="O111" s="328"/>
      <c r="P111" s="565">
        <v>180</v>
      </c>
      <c r="Q111" s="339"/>
      <c r="R111" s="339"/>
      <c r="S111" s="339"/>
      <c r="T111" s="339"/>
      <c r="U111" s="339"/>
      <c r="V111" s="339"/>
      <c r="W111" s="329"/>
      <c r="Z111" s="146"/>
    </row>
    <row r="112" spans="10:26" ht="22.35" hidden="1" customHeight="1" x14ac:dyDescent="0.2">
      <c r="L112" s="318"/>
      <c r="M112" s="343"/>
      <c r="N112" s="343"/>
      <c r="O112" s="328"/>
      <c r="P112" s="343"/>
      <c r="Q112" s="343"/>
      <c r="R112" s="343"/>
      <c r="S112" s="343"/>
      <c r="T112" s="343"/>
      <c r="U112" s="343"/>
      <c r="V112" s="343"/>
      <c r="W112" s="329"/>
      <c r="Z112" s="146"/>
    </row>
    <row r="113" spans="12:26" ht="16.350000000000001" hidden="1" customHeight="1" x14ac:dyDescent="0.25">
      <c r="L113" s="318"/>
      <c r="M113" s="343" t="s">
        <v>86</v>
      </c>
      <c r="N113" s="353" t="str">
        <f>IF($N$119&lt;&gt;$R$193,"не учитывается в расчете","")</f>
        <v>не учитывается в расчете</v>
      </c>
      <c r="O113" s="328"/>
      <c r="P113" s="312"/>
      <c r="Q113" s="354"/>
      <c r="R113" s="354"/>
      <c r="S113" s="354"/>
      <c r="T113" s="354"/>
      <c r="U113" s="354"/>
      <c r="V113" s="355"/>
      <c r="W113" s="329"/>
      <c r="Z113" s="146"/>
    </row>
    <row r="114" spans="12:26" ht="13.35" hidden="1" customHeight="1" x14ac:dyDescent="0.25">
      <c r="L114" s="318"/>
      <c r="M114" s="343"/>
      <c r="N114" s="353"/>
      <c r="O114" s="328"/>
      <c r="P114" s="312"/>
      <c r="Q114" s="356"/>
      <c r="R114" s="356"/>
      <c r="S114" s="356"/>
      <c r="T114" s="336" t="s">
        <v>378</v>
      </c>
      <c r="U114" s="332"/>
      <c r="V114" s="357">
        <v>43647</v>
      </c>
      <c r="W114" s="329"/>
      <c r="Z114" s="146"/>
    </row>
    <row r="115" spans="12:26" ht="13.35" customHeight="1" x14ac:dyDescent="0.25">
      <c r="L115" s="318"/>
      <c r="M115" s="343"/>
      <c r="N115" s="353"/>
      <c r="O115" s="328"/>
      <c r="P115" s="312"/>
      <c r="Q115" s="356"/>
      <c r="R115" s="356"/>
      <c r="S115" s="356"/>
      <c r="T115" s="336"/>
      <c r="U115" s="332"/>
      <c r="V115" s="452"/>
      <c r="W115" s="329"/>
      <c r="Z115" s="146"/>
    </row>
    <row r="116" spans="12:26" ht="15" customHeight="1" x14ac:dyDescent="0.25">
      <c r="L116" s="318"/>
      <c r="M116" s="453"/>
      <c r="N116" s="353"/>
      <c r="O116" s="328"/>
      <c r="P116" s="312"/>
      <c r="Q116" s="356"/>
      <c r="R116" s="356"/>
      <c r="S116" s="356"/>
      <c r="T116" s="336"/>
      <c r="U116" s="332"/>
      <c r="V116" s="452"/>
      <c r="W116" s="329"/>
      <c r="Z116" s="146"/>
    </row>
    <row r="117" spans="12:26" ht="5.0999999999999996" customHeight="1" thickBot="1" x14ac:dyDescent="0.25">
      <c r="L117" s="358"/>
      <c r="M117" s="451"/>
      <c r="N117" s="359"/>
      <c r="O117" s="360"/>
      <c r="P117" s="361"/>
      <c r="Q117" s="361"/>
      <c r="R117" s="360"/>
      <c r="S117" s="360"/>
      <c r="T117" s="360"/>
      <c r="U117" s="360"/>
      <c r="V117" s="360"/>
      <c r="W117" s="362"/>
      <c r="Z117" s="146"/>
    </row>
    <row r="118" spans="12:26" ht="16.350000000000001" hidden="1" customHeight="1" thickTop="1" x14ac:dyDescent="0.2">
      <c r="L118" s="318"/>
      <c r="M118" s="350"/>
      <c r="N118" s="350"/>
      <c r="O118" s="328"/>
      <c r="P118" s="363" t="s">
        <v>87</v>
      </c>
      <c r="Q118" s="363"/>
      <c r="R118" s="328"/>
      <c r="S118" s="328"/>
      <c r="T118" s="328"/>
      <c r="U118" s="328"/>
      <c r="V118" s="328"/>
      <c r="W118" s="364"/>
      <c r="Z118" s="146"/>
    </row>
    <row r="119" spans="12:26" ht="17.100000000000001" hidden="1" customHeight="1" thickTop="1" x14ac:dyDescent="0.2">
      <c r="L119" s="318"/>
      <c r="M119" s="333" t="s">
        <v>88</v>
      </c>
      <c r="N119" s="613" t="s">
        <v>89</v>
      </c>
      <c r="O119" s="614"/>
      <c r="P119" s="614"/>
      <c r="Q119" s="614"/>
      <c r="R119" s="614"/>
      <c r="S119" s="614"/>
      <c r="T119" s="614"/>
      <c r="U119" s="614"/>
      <c r="V119" s="615"/>
      <c r="W119" s="329"/>
      <c r="Z119" s="146"/>
    </row>
    <row r="120" spans="12:26" ht="20.100000000000001" hidden="1" customHeight="1" thickTop="1" x14ac:dyDescent="0.2">
      <c r="L120" s="318"/>
      <c r="M120" s="333"/>
      <c r="N120" s="350"/>
      <c r="O120" s="328"/>
      <c r="P120" s="363"/>
      <c r="Q120" s="363"/>
      <c r="R120" s="328"/>
      <c r="S120" s="328"/>
      <c r="T120" s="328"/>
      <c r="U120" s="328"/>
      <c r="V120" s="328"/>
      <c r="W120" s="329"/>
      <c r="Z120" s="146"/>
    </row>
    <row r="121" spans="12:26" ht="39" hidden="1" customHeight="1" thickTop="1" x14ac:dyDescent="0.25">
      <c r="L121" s="318"/>
      <c r="M121" s="342" t="s">
        <v>90</v>
      </c>
      <c r="N121" s="365">
        <f>'Расчет по доходу заемщика'!$E$41</f>
        <v>178</v>
      </c>
      <c r="O121" s="328"/>
      <c r="P121" s="366">
        <f>'Расчет по доходу заемщика'!$F$41</f>
        <v>180</v>
      </c>
      <c r="Q121" s="367"/>
      <c r="R121" s="368">
        <f>'Расчет по доходу заемщика'!$G$41</f>
        <v>240</v>
      </c>
      <c r="S121" s="368"/>
      <c r="T121" s="368">
        <f>'Расчет по доходу заемщика'!$H$41</f>
        <v>300</v>
      </c>
      <c r="U121" s="368"/>
      <c r="V121" s="369">
        <f>'Расчет по доходу заемщика'!I41</f>
        <v>360</v>
      </c>
      <c r="W121" s="370"/>
      <c r="Z121" s="146"/>
    </row>
    <row r="122" spans="12:26" ht="23.1" hidden="1" customHeight="1" thickTop="1" x14ac:dyDescent="0.25">
      <c r="L122" s="318"/>
      <c r="M122" s="342" t="s">
        <v>91</v>
      </c>
      <c r="N122" s="371">
        <f>IF($P$39="нет",$N$121,График_польз.срок!$D$6)</f>
        <v>178</v>
      </c>
      <c r="O122" s="328"/>
      <c r="P122" s="372">
        <f>IF($P$39="нет",$P$121,График_180!$D$6)</f>
        <v>180</v>
      </c>
      <c r="Q122" s="347"/>
      <c r="R122" s="373">
        <f>IF($P$39="нет",$R$121,График_240!$D$6)</f>
        <v>240</v>
      </c>
      <c r="S122" s="374"/>
      <c r="T122" s="373">
        <f>IF($P$39="нет",$T$121,График_300!$D$6)</f>
        <v>300</v>
      </c>
      <c r="U122" s="374"/>
      <c r="V122" s="375">
        <f>IF($P$39="нет",$V$121,График_360!$D$6)</f>
        <v>360</v>
      </c>
      <c r="W122" s="370"/>
      <c r="Z122" s="146"/>
    </row>
    <row r="123" spans="12:26" ht="27" hidden="1" customHeight="1" thickTop="1" x14ac:dyDescent="0.2">
      <c r="L123" s="318"/>
      <c r="M123" s="343" t="str">
        <f>IF(N119=R191,"Максимальная сумма кредита","Сумма кредита")</f>
        <v>Максимальная сумма кредита</v>
      </c>
      <c r="N123" s="376">
        <f>IF($N$119=$R$192,'Расчет по доходу заемщика'!$E$51,IF($N$119=$R$193,'Расчет по доходу заемщика'!$E$63,IF($N$119=$R$191,'Расчет по доходу заемщика'!$E$42,'Расчет по доходу заемщика'!$E$78)))</f>
        <v>3961359.9586900515</v>
      </c>
      <c r="O123" s="328"/>
      <c r="P123" s="377">
        <f>IF($N$119=$R$192,'Расчет по доходу заемщика'!$F$51,IF($N$119=$R$193,'Расчет по доходу заемщика'!$F$63,IF($N$119=$R$191,'Расчет по доходу заемщика'!$F$42,'Расчет по доходу заемщика'!$F$78)))</f>
        <v>3971550.3973984802</v>
      </c>
      <c r="Q123" s="378"/>
      <c r="R123" s="378">
        <f>IF($N$119=$R$192,'Расчет по доходу заемщика'!$G$51,IF($N$119=$R$193,'Расчет по доходу заемщика'!$G$63,IF($N$119=$R$191,'Расчет по доходу заемщика'!$G$42,'Расчет по доходу заемщика'!$G$78)))</f>
        <v>4176933.0775550827</v>
      </c>
      <c r="S123" s="378"/>
      <c r="T123" s="378">
        <f>IF($N$119=$R$192,'Расчет по доходу заемщика'!$H$51,IF($N$119=$R$193,'Расчет по доходу заемщика'!$H$63,IF($N$119=$R$191,'Расчет по доходу заемщика'!$H$42,'Расчет по доходу заемщика'!$H$78)))</f>
        <v>4267000.9392289054</v>
      </c>
      <c r="U123" s="378"/>
      <c r="V123" s="379">
        <f>IF($N$119=$R$192,'Расчет по доходу заемщика'!$I$51,IF($N$119=$R$193,'Расчет по доходу заемщика'!$I$63,IF($N$119=$R$191,'Расчет по доходу заемщика'!$I$42,'Расчет по доходу заемщика'!$I$78)))</f>
        <v>4306499.0103433207</v>
      </c>
      <c r="W123" s="380"/>
      <c r="Z123" s="146"/>
    </row>
    <row r="124" spans="12:26" ht="28.35" hidden="1" customHeight="1" thickTop="1" x14ac:dyDescent="0.2">
      <c r="L124" s="318"/>
      <c r="M124" s="343" t="s">
        <v>92</v>
      </c>
      <c r="N124" s="381">
        <f>IF($N$119=$R$192,'Расчет по доходу заемщика'!$E$53,IF($N$119=$R$193,'Расчет по доходу заемщика'!$E$65,IF($N$119=$R$191,'Расчет по доходу заемщика'!$E$43,'Расчет по доходу заемщика'!$E$79)))</f>
        <v>699611.87174888432</v>
      </c>
      <c r="O124" s="328"/>
      <c r="P124" s="382">
        <f>IF($N$119=$R$192,'Расчет по доходу заемщика'!$F$53,IF($N$119=$R$193,'Расчет по доходу заемщика'!$F$65,IF($N$119=$R$191,'Расчет по доходу заемщика'!$F$43,'Расчет по доходу заемщика'!$F$79)))</f>
        <v>701411.59506943391</v>
      </c>
      <c r="Q124" s="383"/>
      <c r="R124" s="383">
        <f>IF($N$119=$R$192,'Расчет по доходу заемщика'!$G$53,IF($N$119=$R$193,'Расчет по доходу заемщика'!$G$65,IF($N$119=$R$191,'Расчет по доходу заемщика'!$G$43,'Расчет по доходу заемщика'!$G$79)))</f>
        <v>737684.02746325207</v>
      </c>
      <c r="S124" s="383"/>
      <c r="T124" s="383">
        <f>IF($N$119=$R$192,'Расчет по доходу заемщика'!$H$53,IF($N$119=$R$193,'Расчет по доходу заемщика'!$H$65,IF($N$119=$R$191,'Расчет по доходу заемщика'!$H$43,'Расчет по доходу заемщика'!$H$79)))</f>
        <v>753590.82360072806</v>
      </c>
      <c r="U124" s="383"/>
      <c r="V124" s="384">
        <f>IF($N$119=$R$192,'Расчет по доходу заемщика'!$I$53,IF($N$119=$R$193,'Расчет по доходу заемщика'!$I$65,IF($N$119=$R$191,'Расчет по доходу заемщика'!$I$43,'Расчет по доходу заемщика'!$I$79)))</f>
        <v>760566.53894873802</v>
      </c>
      <c r="W124" s="380"/>
      <c r="Z124" s="146"/>
    </row>
    <row r="125" spans="12:26" ht="18" hidden="1" customHeight="1" thickTop="1" x14ac:dyDescent="0.2">
      <c r="L125" s="318"/>
      <c r="M125" s="343" t="s">
        <v>93</v>
      </c>
      <c r="N125" s="381">
        <f>IF($N$119=$R$192,'Расчет по доходу заемщика'!$E$54,IF($N$119=$R$193,'Расчет по доходу заемщика'!$E$66,IF($N$119=$R$191,'Расчет по доходу заемщика'!$E$44,'Расчет по доходу заемщика'!$E$80)))</f>
        <v>4660971.8304389361</v>
      </c>
      <c r="O125" s="328"/>
      <c r="P125" s="382">
        <f>IF($N$119=$R$192,'Расчет по доходу заемщика'!$F$54,IF($N$119=$R$193,'Расчет по доходу заемщика'!$F$66,IF($N$119=$R$191,'Расчет по доходу заемщика'!$F$44,'Расчет по доходу заемщика'!$F$80)))</f>
        <v>4672961.9924679138</v>
      </c>
      <c r="Q125" s="383"/>
      <c r="R125" s="383">
        <f>IF($N$119=$R$192,'Расчет по доходу заемщика'!$G$54,IF($N$119=$R$193,'Расчет по доходу заемщика'!$G$66,IF($N$119=$R$191,'Расчет по доходу заемщика'!$G$44,'Расчет по доходу заемщика'!$G$80)))</f>
        <v>4914617.1050183345</v>
      </c>
      <c r="S125" s="383"/>
      <c r="T125" s="383">
        <f>IF($N$119=$R$192,'Расчет по доходу заемщика'!$H$54,IF($N$119=$R$193,'Расчет по доходу заемщика'!$H$66,IF($N$119=$R$191,'Расчет по доходу заемщика'!$H$44,'Расчет по доходу заемщика'!$H$80)))</f>
        <v>5020591.7628296334</v>
      </c>
      <c r="U125" s="383"/>
      <c r="V125" s="384">
        <f>IF($N$119=$R$192,'Расчет по доходу заемщика'!$I$54,IF($N$119=$R$193,'Расчет по доходу заемщика'!$I$66,IF($N$119=$R$191,'Расчет по доходу заемщика'!$I$44,'Расчет по доходу заемщика'!$I$80)))</f>
        <v>5067065.5492920587</v>
      </c>
      <c r="W125" s="380"/>
      <c r="Z125" s="146"/>
    </row>
    <row r="126" spans="12:26" ht="25.35" hidden="1" customHeight="1" thickTop="1" x14ac:dyDescent="0.2">
      <c r="L126" s="318"/>
      <c r="M126" s="343" t="str">
        <f>IF($P$39="да","Переменная ставка","Фиксированная ставка")</f>
        <v>Фиксированная ставка</v>
      </c>
      <c r="N126" s="385">
        <f>IF($P$39="да",График_польз.срок!I12,'Расчет по доходу заемщика'!$E$28)</f>
        <v>0.16600000000000001</v>
      </c>
      <c r="O126" s="328"/>
      <c r="P126" s="386">
        <f>IF($P$39="да",График_180!I12,'Расчет по доходу заемщика'!$E$28)</f>
        <v>0.16600000000000001</v>
      </c>
      <c r="Q126" s="387"/>
      <c r="R126" s="387">
        <f>IF($P$39="да",График_240!I12,'Расчет по доходу заемщика'!$E$28)</f>
        <v>0.16600000000000001</v>
      </c>
      <c r="S126" s="387"/>
      <c r="T126" s="387">
        <f>IF($P$39="да",График_300!I12,'Расчет по доходу заемщика'!$E$28)</f>
        <v>0.16600000000000001</v>
      </c>
      <c r="U126" s="387"/>
      <c r="V126" s="388">
        <f>IF($P$39="да",График_360!I12,'Расчет по доходу заемщика'!$E$28)</f>
        <v>0.16600000000000001</v>
      </c>
      <c r="W126" s="389"/>
      <c r="Z126" s="146"/>
    </row>
    <row r="127" spans="12:26" ht="28.35" hidden="1" customHeight="1" thickTop="1" x14ac:dyDescent="0.2">
      <c r="L127" s="318"/>
      <c r="M127" s="390" t="str">
        <f>IF($P$13=$M$173,"ставка повышается на 4,0 п.п. и, соответственно, платеж до подтверждения целевого использования займа","")</f>
        <v/>
      </c>
      <c r="N127" s="391"/>
      <c r="O127" s="328"/>
      <c r="P127" s="386"/>
      <c r="Q127" s="387"/>
      <c r="R127" s="392"/>
      <c r="S127" s="387"/>
      <c r="T127" s="387"/>
      <c r="U127" s="387"/>
      <c r="V127" s="388"/>
      <c r="W127" s="389"/>
      <c r="Z127" s="146"/>
    </row>
    <row r="128" spans="12:26" ht="27" hidden="1" customHeight="1" thickTop="1" x14ac:dyDescent="0.2">
      <c r="L128" s="318"/>
      <c r="M128" s="393" t="s">
        <v>94</v>
      </c>
      <c r="N128" s="394">
        <f>IF($P$39="да",0,'Справочники и промежут.расчет'!$I$75)</f>
        <v>0</v>
      </c>
      <c r="O128" s="328"/>
      <c r="P128" s="395">
        <f>IF($P$39="да",0,'Справочники и промежут.расчет'!$I$75)</f>
        <v>0</v>
      </c>
      <c r="Q128" s="387"/>
      <c r="R128" s="396">
        <f>IF($P$39="да",0,'Справочники и промежут.расчет'!$I$75)</f>
        <v>0</v>
      </c>
      <c r="S128" s="387"/>
      <c r="T128" s="396">
        <f>IF($P$39="да",0,'Справочники и промежут.расчет'!$I$75)</f>
        <v>0</v>
      </c>
      <c r="U128" s="387"/>
      <c r="V128" s="397">
        <f>IF($P$39="да",0,'Справочники и промежут.расчет'!$I$75)</f>
        <v>0</v>
      </c>
      <c r="W128" s="389"/>
      <c r="Z128" s="146"/>
    </row>
    <row r="129" spans="7:32" ht="19.350000000000001" hidden="1" customHeight="1" thickTop="1" x14ac:dyDescent="0.2">
      <c r="L129" s="318"/>
      <c r="M129" s="343" t="s">
        <v>95</v>
      </c>
      <c r="N129" s="381">
        <f>IF($N$119=$R$192,'Расчет по доходу заемщика'!$E$56,IF($N$119=$R$193,'Расчет по доходу заемщика'!$E$68,IF($N$119=$R$191,'Расчет по доходу заемщика'!$E$46,'Расчет по доходу заемщика'!$E$82)))</f>
        <v>60000.000000000007</v>
      </c>
      <c r="O129" s="328"/>
      <c r="P129" s="382">
        <f>IF($N$119=$R$192,'Расчет по доходу заемщика'!$F$56,IF($N$119=$R$193,'Расчет по доходу заемщика'!$F$68,IF($N$119=$R$191,'Расчет по доходу заемщика'!$F$46,'Расчет по доходу заемщика'!$F$82)))</f>
        <v>60000.000000000007</v>
      </c>
      <c r="Q129" s="383"/>
      <c r="R129" s="383">
        <f>IF($N$119=$R$192,'Расчет по доходу заемщика'!$G$56,IF($N$119=$R$193,'Расчет по доходу заемщика'!$G$68,IF($N$119=$R$191,'Расчет по доходу заемщика'!$G$46,'Расчет по доходу заемщика'!$G$82)))</f>
        <v>59999.999999999993</v>
      </c>
      <c r="S129" s="383"/>
      <c r="T129" s="383">
        <f>IF($N$119=$R$192,'Расчет по доходу заемщика'!$H$56,IF($N$119=$R$193,'Расчет по доходу заемщика'!$H$68,IF($N$119=$R$191,'Расчет по доходу заемщика'!$H$46,'Расчет по доходу заемщика'!$H$82)))</f>
        <v>60000.000000000007</v>
      </c>
      <c r="U129" s="383"/>
      <c r="V129" s="384">
        <f>IF($N$119=$R$192,'Расчет по доходу заемщика'!$I$56,IF($N$119=$R$193,'Расчет по доходу заемщика'!$I$68,IF($N$119=$R$191,'Расчет по доходу заемщика'!$I$46,'Расчет по доходу заемщика'!$I$82)))</f>
        <v>59999.999999999993</v>
      </c>
      <c r="W129" s="380"/>
      <c r="Z129" s="146"/>
    </row>
    <row r="130" spans="7:32" ht="12" hidden="1" customHeight="1" thickTop="1" x14ac:dyDescent="0.2">
      <c r="L130" s="318"/>
      <c r="M130" s="343" t="s">
        <v>350</v>
      </c>
      <c r="N130" s="381">
        <f>IF($N$119=$R$192,'Расчет по доходу заемщика'!$E$57,IF($N$119=$R$193,'Расчет по доходу заемщика'!$E$69,IF($N$119=$R$191,'Расчет по доходу заемщика'!$E$47,'Расчет по доходу заемщика'!$E$83)))</f>
        <v>60000.000000000007</v>
      </c>
      <c r="O130" s="328"/>
      <c r="P130" s="382">
        <f>IF($N$119=$R$192,'Расчет по доходу заемщика'!$F$57,IF($N$119=$R$193,'Расчет по доходу заемщика'!$F$69,IF($N$119=$R$191,'Расчет по доходу заемщика'!$F$47,'Расчет по доходу заемщика'!$F$83)))</f>
        <v>60000.000000000007</v>
      </c>
      <c r="Q130" s="383"/>
      <c r="R130" s="383">
        <f>IF($N$119=$R$192,'Расчет по доходу заемщика'!$G$57,IF($N$119=$R$193,'Расчет по доходу заемщика'!$G$69,IF($N$119=$R$191,'Расчет по доходу заемщика'!$G$47,'Расчет по доходу заемщика'!$G$83)))</f>
        <v>59999.999999999993</v>
      </c>
      <c r="S130" s="383"/>
      <c r="T130" s="383">
        <f>IF($N$119=$R$192,'Расчет по доходу заемщика'!$H$57,IF($N$119=$R$193,'Расчет по доходу заемщика'!$H$69,IF($N$119=$R$191,'Расчет по доходу заемщика'!$H$47,'Расчет по доходу заемщика'!$H$83)))</f>
        <v>60000.000000000007</v>
      </c>
      <c r="U130" s="383"/>
      <c r="V130" s="384">
        <f>IF($N$119=$R$192,'Расчет по доходу заемщика'!$I$57,IF($N$119=$R$193,'Расчет по доходу заемщика'!$I$69,IF($N$119=$R$191,'Расчет по доходу заемщика'!$I$47,'Расчет по доходу заемщика'!$I$83)))</f>
        <v>59999.999999999993</v>
      </c>
      <c r="W130" s="380"/>
      <c r="Z130" s="146"/>
    </row>
    <row r="131" spans="7:32" ht="16.350000000000001" hidden="1" customHeight="1" thickTop="1" x14ac:dyDescent="0.2">
      <c r="L131" s="318"/>
      <c r="M131" s="343" t="s">
        <v>96</v>
      </c>
      <c r="N131" s="376">
        <f>IF($N$119=$R$194,$V$142,'Расчет по доходу заемщика'!$E$23)</f>
        <v>60000</v>
      </c>
      <c r="O131" s="328"/>
      <c r="P131" s="377">
        <f>IF($N$119=$R$194,$V$142,'Расчет по доходу заемщика'!$E$23)</f>
        <v>60000</v>
      </c>
      <c r="Q131" s="383"/>
      <c r="R131" s="378">
        <f>IF($N$119=$R$194,$V$142,'Расчет по доходу заемщика'!$E$23)</f>
        <v>60000</v>
      </c>
      <c r="S131" s="383"/>
      <c r="T131" s="378">
        <f>IF($N$119=$R$194,$V$142,'Расчет по доходу заемщика'!$E$23)</f>
        <v>60000</v>
      </c>
      <c r="U131" s="383"/>
      <c r="V131" s="379">
        <f>IF($N$119=$R$194,$V$142,'Расчет по доходу заемщика'!$E$23)</f>
        <v>60000</v>
      </c>
      <c r="W131" s="380"/>
      <c r="Z131" s="146"/>
    </row>
    <row r="132" spans="7:32" ht="18" hidden="1" customHeight="1" thickTop="1" x14ac:dyDescent="0.2">
      <c r="L132" s="318"/>
      <c r="M132" s="343" t="str">
        <f>"Прогноз переплата за весь срок"&amp;IF(P35="да"," при погашении долга на сумму МСК","")</f>
        <v>Прогноз переплата за весь срок</v>
      </c>
      <c r="N132" s="398">
        <f>IF($P$39="нет",IF($N$119=$R$192,'Расчет по доходу заемщика'!$E$55,IF($N$119=$R$193,'Расчет по доходу заемщика'!$E$67,IF($N$119=$R$191,'Расчет по доходу заемщика'!$E$45,'Расчет по доходу заемщика'!$E$81))),График_польз.срок!$D$8)</f>
        <v>6718640.0413099509</v>
      </c>
      <c r="O132" s="399"/>
      <c r="P132" s="400">
        <f>IF($P$39="нет",IF($N$119=$R$192,'Расчет по доходу заемщика'!$F$55,IF($N$119=$R$193,'Расчет по доходу заемщика'!$F$67,IF($N$119=$R$191,'Расчет по доходу заемщика'!$F$45,'Расчет по доходу заемщика'!$F$81))),График_180!$D$8)</f>
        <v>6828449.6026015216</v>
      </c>
      <c r="Q132" s="401"/>
      <c r="R132" s="401">
        <f>IF($P$39="нет",IF($N$119=$R$192,'Расчет по доходу заемщика'!$G$55,IF($N$119=$R$193,'Расчет по доходу заемщика'!$G$67,IF($N$119=$R$191,'Расчет по доходу заемщика'!$G$45,'Расчет по доходу заемщика'!$G$81))),График_240!$D$8)</f>
        <v>10223066.922444915</v>
      </c>
      <c r="S132" s="401"/>
      <c r="T132" s="401">
        <f>IF($P$39="нет",IF($N$119=$R$192,'Расчет по доходу заемщика'!$H$55,IF($N$119=$R$193,'Расчет по доходу заемщика'!$H$67,IF($N$119=$R$191,'Расчет по доходу заемщика'!$G$45,'Расчет по доходу заемщика'!$G$81))),График_300!$D$8)</f>
        <v>10223066.922444915</v>
      </c>
      <c r="U132" s="401"/>
      <c r="V132" s="402">
        <f>IF($P$39="нет",IF($N$119=$R$192,'Расчет по доходу заемщика'!$I$55,IF($N$119=$R$193,'Расчет по доходу заемщика'!$I$67,IF($N$119=$R$191,'Расчет по доходу заемщика'!$I$45,'Расчет по доходу заемщика'!$I$81))),График_360!$D$8)</f>
        <v>17293500.989656676</v>
      </c>
      <c r="W132" s="380"/>
      <c r="Z132" s="146"/>
    </row>
    <row r="133" spans="7:32" ht="13.35" hidden="1" customHeight="1" thickTop="1" x14ac:dyDescent="0.2">
      <c r="L133" s="322"/>
      <c r="M133" s="323"/>
      <c r="N133" s="323"/>
      <c r="O133" s="323"/>
      <c r="P133" s="403"/>
      <c r="Q133" s="403"/>
      <c r="R133" s="403"/>
      <c r="S133" s="403"/>
      <c r="T133" s="403"/>
      <c r="U133" s="403"/>
      <c r="V133" s="403"/>
      <c r="W133" s="404"/>
      <c r="Z133" s="146"/>
    </row>
    <row r="134" spans="7:32" ht="14.1" hidden="1" customHeight="1" thickTop="1" x14ac:dyDescent="0.2">
      <c r="L134" s="337"/>
      <c r="M134" s="337"/>
      <c r="N134" s="337"/>
      <c r="O134" s="337"/>
      <c r="P134" s="405"/>
      <c r="Q134" s="405"/>
      <c r="R134" s="337"/>
      <c r="S134" s="337"/>
      <c r="T134" s="337"/>
      <c r="U134" s="337"/>
      <c r="V134" s="337"/>
      <c r="W134" s="337"/>
      <c r="Z134" s="146"/>
    </row>
    <row r="135" spans="7:32" ht="6" customHeight="1" thickTop="1" x14ac:dyDescent="0.25">
      <c r="L135" s="406"/>
      <c r="M135" s="315"/>
      <c r="N135" s="315"/>
      <c r="O135" s="315"/>
      <c r="P135" s="407"/>
      <c r="Q135" s="407"/>
      <c r="R135" s="408"/>
      <c r="S135" s="408"/>
      <c r="T135" s="408"/>
      <c r="U135" s="408"/>
      <c r="V135" s="408"/>
      <c r="W135" s="317"/>
      <c r="Z135" s="146"/>
    </row>
    <row r="136" spans="7:32" ht="15" customHeight="1" x14ac:dyDescent="0.25">
      <c r="L136" s="409"/>
      <c r="M136" s="319"/>
      <c r="N136" s="319"/>
      <c r="O136" s="319"/>
      <c r="P136" s="410" t="s">
        <v>218</v>
      </c>
      <c r="Q136" s="457"/>
      <c r="R136" s="411" t="s">
        <v>599</v>
      </c>
      <c r="S136" s="457"/>
      <c r="T136" s="411" t="s">
        <v>608</v>
      </c>
      <c r="U136" s="411"/>
      <c r="V136" s="411" t="s">
        <v>600</v>
      </c>
      <c r="W136" s="598"/>
      <c r="Z136" s="146"/>
    </row>
    <row r="137" spans="7:32" ht="6" customHeight="1" x14ac:dyDescent="0.25">
      <c r="L137" s="409"/>
      <c r="M137" s="319"/>
      <c r="N137" s="319"/>
      <c r="O137" s="319"/>
      <c r="P137" s="410"/>
      <c r="Q137" s="457"/>
      <c r="R137" s="411"/>
      <c r="S137" s="457"/>
      <c r="T137" s="411"/>
      <c r="U137" s="411"/>
      <c r="V137" s="411"/>
      <c r="W137" s="598"/>
      <c r="Z137" s="146"/>
    </row>
    <row r="138" spans="7:32" ht="20.100000000000001" customHeight="1" x14ac:dyDescent="0.25">
      <c r="L138" s="409"/>
      <c r="M138" s="342" t="s">
        <v>601</v>
      </c>
      <c r="N138" s="319"/>
      <c r="O138" s="319"/>
      <c r="P138" s="278">
        <v>100000</v>
      </c>
      <c r="Q138" s="457"/>
      <c r="R138" s="412">
        <f>IFERROR('Расчет по доходу заемщика'!$E$58,"-")</f>
        <v>504877.11817568925</v>
      </c>
      <c r="S138" s="457"/>
      <c r="T138" s="412">
        <f>IFERROR('Расчет по доходу заемщика'!$E$70,"-")</f>
        <v>148175.66488810137</v>
      </c>
      <c r="U138" s="457"/>
      <c r="V138" s="412">
        <f>IFERROR('Расчет по доходу заемщика'!$E$85,"-")</f>
        <v>100000.00000000001</v>
      </c>
      <c r="W138" s="598"/>
    </row>
    <row r="139" spans="7:32" ht="20.100000000000001" customHeight="1" x14ac:dyDescent="0.25">
      <c r="G139" s="150"/>
      <c r="H139" s="150"/>
      <c r="I139" s="150"/>
      <c r="J139" s="150"/>
      <c r="K139" s="150"/>
      <c r="L139" s="413"/>
      <c r="M139" s="343" t="s">
        <v>303</v>
      </c>
      <c r="N139" s="458" t="str">
        <f>IF(P48="да","проверь сумму","")</f>
        <v/>
      </c>
      <c r="O139" s="456" t="str">
        <f>IF(AND($P$48="да",P139&lt;'Справочники и промежут.расчет'!$L$125),"!","")</f>
        <v/>
      </c>
      <c r="P139" s="415">
        <f>'Расчет по доходу заемщика'!$E$42</f>
        <v>3961359.9586900515</v>
      </c>
      <c r="Q139" s="457" t="str">
        <f>IF(R139&gt;'Справочники и промежут.расчет'!$Q$131,"!","")&amp;IF(AND($P$48="да",R139&lt;'Справочники и промежут.расчет'!$L$125),"!","")</f>
        <v/>
      </c>
      <c r="R139" s="292">
        <v>20000000</v>
      </c>
      <c r="S139" s="457" t="str">
        <f>IF(T139&gt;'Справочники и промежут.расчет'!$Q$131,"!","")&amp;IF(AND($P$48="да",T139&lt;'Справочники и промежут.расчет'!$L$125),"!","")</f>
        <v/>
      </c>
      <c r="T139" s="416">
        <f>'Расчет по доходу заемщика'!E63</f>
        <v>5869771.4573999997</v>
      </c>
      <c r="U139" s="457" t="str">
        <f>'Расчет по доходу заемщика'!D73&amp;IF(AND($P$48="да",V139&lt;'Справочники и промежут.расчет'!$L$125),"!","")</f>
        <v/>
      </c>
      <c r="V139" s="416">
        <f>'Расчет по доходу заемщика'!$E$78</f>
        <v>3961359.9586900515</v>
      </c>
      <c r="W139" s="598" t="str">
        <f>'Расчет по доходу заемщика'!$D$73</f>
        <v/>
      </c>
      <c r="X139" s="150"/>
      <c r="Y139" s="150"/>
      <c r="Z139" s="150"/>
      <c r="AA139" s="150"/>
      <c r="AB139" s="150"/>
      <c r="AC139" s="150"/>
      <c r="AD139" s="150"/>
    </row>
    <row r="140" spans="7:32" ht="20.100000000000001" customHeight="1" x14ac:dyDescent="0.25">
      <c r="G140" s="150"/>
      <c r="H140" s="150"/>
      <c r="I140" s="150"/>
      <c r="J140" s="150"/>
      <c r="K140" s="150"/>
      <c r="L140" s="413"/>
      <c r="M140" s="343" t="s">
        <v>629</v>
      </c>
      <c r="N140" s="414"/>
      <c r="O140" s="414"/>
      <c r="P140" s="415">
        <f>'Расчет по доходу заемщика'!E43</f>
        <v>699611.87174888432</v>
      </c>
      <c r="Q140" s="457"/>
      <c r="R140" s="415">
        <f>'Расчет по доходу заемщика'!$E$53</f>
        <v>3532180.2565007652</v>
      </c>
      <c r="S140" s="457"/>
      <c r="T140" s="416">
        <f>'Расчет по доходу заемщика'!E65</f>
        <v>1036654.5426</v>
      </c>
      <c r="U140" s="457"/>
      <c r="V140" s="416">
        <f>'Расчет по доходу заемщика'!E79</f>
        <v>699611.87174888432</v>
      </c>
      <c r="W140" s="598"/>
      <c r="X140" s="150"/>
      <c r="Y140" s="150"/>
      <c r="Z140" s="150"/>
      <c r="AA140" s="150"/>
      <c r="AB140" s="150"/>
      <c r="AC140" s="150"/>
      <c r="AD140" s="150"/>
    </row>
    <row r="141" spans="7:32" ht="20.100000000000001" customHeight="1" x14ac:dyDescent="0.25">
      <c r="G141" s="150"/>
      <c r="H141" s="150"/>
      <c r="I141" s="150"/>
      <c r="J141" s="150"/>
      <c r="K141" s="150"/>
      <c r="L141" s="413"/>
      <c r="M141" s="343" t="s">
        <v>93</v>
      </c>
      <c r="N141" s="414"/>
      <c r="O141" s="414"/>
      <c r="P141" s="415">
        <f>'Расчет по доходу заемщика'!$E$44</f>
        <v>4660971.8304389361</v>
      </c>
      <c r="Q141" s="457"/>
      <c r="R141" s="416">
        <f>'Расчет по доходу заемщика'!E54</f>
        <v>23532180.256500766</v>
      </c>
      <c r="S141" s="457" t="str">
        <f>S139</f>
        <v/>
      </c>
      <c r="T141" s="292">
        <v>6906426</v>
      </c>
      <c r="U141" s="457" t="str">
        <f>S141</f>
        <v/>
      </c>
      <c r="V141" s="416">
        <f>'Расчет по доходу заемщика'!$E$80</f>
        <v>4660971.8304389361</v>
      </c>
      <c r="W141" s="598"/>
      <c r="X141" s="150"/>
      <c r="Y141" s="150"/>
      <c r="Z141" s="150"/>
      <c r="AA141" s="150"/>
      <c r="AB141" s="150"/>
      <c r="AC141" s="150"/>
      <c r="AD141" s="150"/>
    </row>
    <row r="142" spans="7:32" ht="20.100000000000001" customHeight="1" x14ac:dyDescent="0.25">
      <c r="G142" s="150"/>
      <c r="H142" s="150"/>
      <c r="I142" s="150"/>
      <c r="J142" s="150"/>
      <c r="K142" s="150"/>
      <c r="L142" s="413"/>
      <c r="M142" s="343" t="s">
        <v>42</v>
      </c>
      <c r="N142" s="414"/>
      <c r="O142" s="414"/>
      <c r="P142" s="415">
        <f>IFERROR('Расчет по доходу заемщика'!E46,"-")</f>
        <v>60000.000000000007</v>
      </c>
      <c r="Q142" s="457"/>
      <c r="R142" s="426">
        <f>IFERROR('Расчет по доходу заемщика'!E56,"-")</f>
        <v>302926.27090541355</v>
      </c>
      <c r="S142" s="457"/>
      <c r="T142" s="426">
        <f>IFERROR('Расчет по доходу заемщика'!E68,"-")</f>
        <v>88905.398932860815</v>
      </c>
      <c r="U142" s="457" t="str">
        <f>'Расчет по доходу заемщика'!$D$73</f>
        <v/>
      </c>
      <c r="V142" s="292">
        <v>60000</v>
      </c>
      <c r="W142" s="598" t="str">
        <f>'Расчет по доходу заемщика'!$D$73</f>
        <v/>
      </c>
      <c r="X142" s="150"/>
      <c r="Y142" s="150"/>
      <c r="Z142" s="429"/>
      <c r="AA142" s="429"/>
      <c r="AB142" s="429"/>
      <c r="AC142" s="429"/>
      <c r="AD142" s="429"/>
      <c r="AE142" s="429"/>
      <c r="AF142" s="429"/>
    </row>
    <row r="143" spans="7:32" ht="20.100000000000001" customHeight="1" x14ac:dyDescent="0.2">
      <c r="G143" s="150"/>
      <c r="H143" s="150"/>
      <c r="I143" s="150"/>
      <c r="J143" s="150"/>
      <c r="K143" s="150"/>
      <c r="L143" s="413"/>
      <c r="M143" s="343" t="s">
        <v>213</v>
      </c>
      <c r="N143" s="414"/>
      <c r="O143" s="414"/>
      <c r="P143" s="418">
        <f>IF($P$39="да",График_польз.срок!$I$12,'Расчет по доходу заемщика'!$E$28)</f>
        <v>0.16600000000000001</v>
      </c>
      <c r="Q143" s="457"/>
      <c r="R143" s="418">
        <f>IF($P$39="да",График_польз.срок!$I$12,'Расчет по доходу заемщика'!$E$28)</f>
        <v>0.16600000000000001</v>
      </c>
      <c r="S143" s="457"/>
      <c r="T143" s="418">
        <f>IF($P$39="да",График_польз.срок!$I$12,'Расчет по доходу заемщика'!$E$28)</f>
        <v>0.16600000000000001</v>
      </c>
      <c r="U143" s="457"/>
      <c r="V143" s="418">
        <f>IF($P$39="да",График_польз.срок!$I$12,'Расчет по доходу заемщика'!$E$28)</f>
        <v>0.16600000000000001</v>
      </c>
      <c r="W143" s="598"/>
      <c r="X143" s="150"/>
      <c r="Y143" s="150"/>
      <c r="Z143" s="150"/>
      <c r="AA143" s="150"/>
      <c r="AB143" s="150"/>
      <c r="AC143" s="150"/>
      <c r="AD143" s="150"/>
    </row>
    <row r="144" spans="7:32" ht="9.75" customHeight="1" x14ac:dyDescent="0.25">
      <c r="G144" s="150"/>
      <c r="H144" s="150"/>
      <c r="I144" s="150"/>
      <c r="J144" s="150"/>
      <c r="K144" s="150"/>
      <c r="L144" s="413"/>
      <c r="M144" s="343"/>
      <c r="N144" s="414"/>
      <c r="O144" s="414"/>
      <c r="P144" s="418"/>
      <c r="Q144" s="419"/>
      <c r="R144" s="418"/>
      <c r="S144" s="420"/>
      <c r="T144" s="418"/>
      <c r="U144" s="420"/>
      <c r="V144" s="418"/>
      <c r="W144" s="417"/>
      <c r="X144" s="150"/>
      <c r="Y144" s="150"/>
      <c r="Z144" s="150"/>
      <c r="AA144" s="150"/>
      <c r="AB144" s="150"/>
      <c r="AC144" s="150"/>
      <c r="AD144" s="150"/>
    </row>
    <row r="145" spans="7:30" ht="20.100000000000001" customHeight="1" x14ac:dyDescent="0.25">
      <c r="G145" s="150"/>
      <c r="H145" s="150"/>
      <c r="I145" s="150"/>
      <c r="J145" s="150"/>
      <c r="K145" s="150"/>
      <c r="L145" s="413"/>
      <c r="M145" s="428" t="s">
        <v>635</v>
      </c>
      <c r="N145" s="566" t="str">
        <f>IF(OR(COUNTIF(P145:V145,"да")&gt;1,COUNTIF(P145:V145,"да")=0),"Один вариант!","")</f>
        <v/>
      </c>
      <c r="O145" s="414"/>
      <c r="P145" s="439" t="s">
        <v>82</v>
      </c>
      <c r="Q145" s="419"/>
      <c r="R145" s="439" t="s">
        <v>67</v>
      </c>
      <c r="S145" s="420"/>
      <c r="T145" s="439" t="s">
        <v>67</v>
      </c>
      <c r="U145" s="420"/>
      <c r="V145" s="439" t="s">
        <v>67</v>
      </c>
      <c r="W145" s="417"/>
      <c r="X145" s="150"/>
      <c r="Y145" s="150"/>
      <c r="Z145" s="150"/>
      <c r="AA145" s="150"/>
      <c r="AB145" s="150"/>
      <c r="AC145" s="150"/>
      <c r="AD145" s="150"/>
    </row>
    <row r="146" spans="7:30" ht="9" customHeight="1" x14ac:dyDescent="0.2">
      <c r="G146" s="150"/>
      <c r="H146" s="150"/>
      <c r="I146" s="150"/>
      <c r="J146" s="150"/>
      <c r="K146" s="150"/>
      <c r="L146" s="421"/>
      <c r="M146" s="422"/>
      <c r="N146" s="422"/>
      <c r="O146" s="422"/>
      <c r="P146" s="423"/>
      <c r="Q146" s="423"/>
      <c r="R146" s="422"/>
      <c r="S146" s="422"/>
      <c r="T146" s="422"/>
      <c r="U146" s="422"/>
      <c r="V146" s="422"/>
      <c r="W146" s="424"/>
      <c r="X146" s="150"/>
      <c r="Y146" s="150"/>
      <c r="Z146" s="150"/>
      <c r="AA146" s="150"/>
      <c r="AB146" s="150"/>
      <c r="AC146" s="150"/>
      <c r="AD146" s="150"/>
    </row>
    <row r="147" spans="7:30" ht="9" customHeight="1" x14ac:dyDescent="0.2">
      <c r="G147" s="150"/>
      <c r="H147" s="150"/>
      <c r="I147" s="150"/>
      <c r="J147" s="150"/>
      <c r="K147" s="150"/>
      <c r="L147" s="150"/>
      <c r="M147" s="150"/>
      <c r="N147" s="150"/>
      <c r="O147" s="150"/>
      <c r="P147" s="151"/>
      <c r="Q147" s="151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</row>
    <row r="148" spans="7:30" ht="9" hidden="1" customHeight="1" x14ac:dyDescent="0.2">
      <c r="G148" s="150"/>
      <c r="H148" s="150"/>
      <c r="I148" s="150"/>
      <c r="J148" s="150"/>
      <c r="K148" s="150"/>
      <c r="L148" s="150"/>
      <c r="M148" s="150"/>
      <c r="N148" s="150"/>
      <c r="O148" s="150"/>
      <c r="P148" s="430"/>
      <c r="Q148" s="151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</row>
    <row r="149" spans="7:30" ht="9" hidden="1" customHeight="1" x14ac:dyDescent="0.2">
      <c r="G149" s="150"/>
      <c r="H149" s="150"/>
      <c r="I149" s="150"/>
      <c r="J149" s="150"/>
      <c r="K149" s="150"/>
      <c r="L149" s="150"/>
      <c r="M149" s="150"/>
      <c r="N149" s="150"/>
      <c r="O149" s="150"/>
      <c r="P149" s="151"/>
      <c r="Q149" s="151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</row>
    <row r="150" spans="7:30" ht="9" hidden="1" customHeight="1" x14ac:dyDescent="0.2">
      <c r="G150" s="150"/>
      <c r="H150" s="150"/>
      <c r="I150" s="150"/>
      <c r="J150" s="150"/>
      <c r="K150" s="150"/>
      <c r="L150" s="150"/>
      <c r="M150" s="150"/>
      <c r="N150" s="150"/>
      <c r="O150" s="150"/>
      <c r="P150" s="151"/>
      <c r="Q150" s="151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</row>
    <row r="151" spans="7:30" ht="9" hidden="1" customHeight="1" x14ac:dyDescent="0.2">
      <c r="G151" s="150"/>
      <c r="H151" s="150"/>
      <c r="I151" s="150"/>
      <c r="J151" s="150"/>
      <c r="K151" s="150"/>
      <c r="L151" s="150"/>
      <c r="M151" s="150"/>
      <c r="N151" s="150"/>
      <c r="O151" s="150"/>
      <c r="P151" s="151"/>
      <c r="Q151" s="151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</row>
    <row r="152" spans="7:30" ht="9" hidden="1" customHeight="1" x14ac:dyDescent="0.2">
      <c r="G152" s="150"/>
      <c r="H152" s="150"/>
      <c r="I152" s="150"/>
      <c r="J152" s="150"/>
      <c r="K152" s="150"/>
      <c r="L152" s="150"/>
      <c r="M152" s="150"/>
      <c r="N152" s="150"/>
      <c r="O152" s="150"/>
      <c r="P152" s="151"/>
      <c r="Q152" s="151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</row>
    <row r="153" spans="7:30" ht="9" hidden="1" customHeight="1" x14ac:dyDescent="0.2">
      <c r="G153" s="150"/>
      <c r="H153" s="150"/>
      <c r="I153" s="150"/>
      <c r="J153" s="150"/>
      <c r="K153" s="150"/>
      <c r="L153" s="150"/>
      <c r="M153" s="150"/>
      <c r="N153" s="150"/>
      <c r="O153" s="150"/>
      <c r="P153" s="151"/>
      <c r="Q153" s="151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</row>
    <row r="154" spans="7:30" ht="9" hidden="1" customHeight="1" x14ac:dyDescent="0.2">
      <c r="G154" s="150"/>
      <c r="H154" s="150"/>
      <c r="I154" s="150"/>
      <c r="J154" s="150"/>
      <c r="K154" s="150"/>
      <c r="L154" s="150"/>
      <c r="M154" s="150"/>
      <c r="N154" s="150"/>
      <c r="O154" s="150"/>
      <c r="P154" s="151"/>
      <c r="Q154" s="151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</row>
    <row r="155" spans="7:30" ht="9" hidden="1" customHeight="1" x14ac:dyDescent="0.2">
      <c r="G155" s="150"/>
      <c r="H155" s="150"/>
      <c r="I155" s="150"/>
      <c r="J155" s="150"/>
      <c r="K155" s="150"/>
      <c r="L155" s="150"/>
      <c r="M155" s="150"/>
      <c r="N155" s="150"/>
      <c r="O155" s="150"/>
      <c r="P155" s="151"/>
      <c r="Q155" s="151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</row>
    <row r="156" spans="7:30" ht="9" hidden="1" customHeight="1" x14ac:dyDescent="0.2">
      <c r="G156" s="150"/>
      <c r="H156" s="150"/>
      <c r="I156" s="150"/>
      <c r="J156" s="150"/>
      <c r="K156" s="150"/>
      <c r="L156" s="150"/>
      <c r="M156" s="150"/>
      <c r="N156" s="150"/>
      <c r="O156" s="150"/>
      <c r="P156" s="151"/>
      <c r="Q156" s="151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</row>
    <row r="157" spans="7:30" ht="9" hidden="1" customHeight="1" x14ac:dyDescent="0.2">
      <c r="G157" s="150"/>
      <c r="H157" s="150"/>
      <c r="I157" s="150"/>
      <c r="J157" s="150"/>
      <c r="K157" s="150"/>
      <c r="L157" s="150"/>
      <c r="M157" s="150"/>
      <c r="N157" s="150"/>
      <c r="O157" s="150"/>
      <c r="P157" s="151"/>
      <c r="Q157" s="151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</row>
    <row r="158" spans="7:30" ht="9" hidden="1" customHeight="1" x14ac:dyDescent="0.2">
      <c r="G158" s="150"/>
      <c r="H158" s="150"/>
      <c r="I158" s="150"/>
      <c r="J158" s="150"/>
      <c r="K158" s="150"/>
      <c r="L158" s="150"/>
      <c r="M158" s="150"/>
      <c r="N158" s="150"/>
      <c r="O158" s="150"/>
      <c r="P158" s="151"/>
      <c r="Q158" s="151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</row>
    <row r="159" spans="7:30" ht="9" hidden="1" customHeight="1" x14ac:dyDescent="0.2">
      <c r="G159" s="150"/>
      <c r="H159" s="150"/>
      <c r="I159" s="150"/>
      <c r="J159" s="150"/>
      <c r="K159" s="150"/>
      <c r="L159" s="150"/>
      <c r="M159" s="150"/>
      <c r="N159" s="150"/>
      <c r="O159" s="150"/>
      <c r="P159" s="151"/>
      <c r="Q159" s="151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</row>
    <row r="160" spans="7:30" ht="9" hidden="1" customHeight="1" x14ac:dyDescent="0.2">
      <c r="G160" s="150"/>
      <c r="H160" s="150"/>
      <c r="I160" s="150"/>
      <c r="J160" s="150"/>
      <c r="K160" s="150"/>
      <c r="L160" s="150"/>
      <c r="M160" s="150"/>
      <c r="N160" s="150"/>
      <c r="O160" s="150"/>
      <c r="P160" s="151"/>
      <c r="Q160" s="151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</row>
    <row r="161" spans="7:58" ht="9" hidden="1" customHeight="1" x14ac:dyDescent="0.2">
      <c r="G161" s="150"/>
      <c r="H161" s="150"/>
      <c r="I161" s="150"/>
      <c r="J161" s="150"/>
      <c r="K161" s="150"/>
      <c r="L161" s="150"/>
      <c r="M161" s="150"/>
      <c r="N161" s="150"/>
      <c r="O161" s="150"/>
      <c r="P161" s="151"/>
      <c r="Q161" s="151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</row>
    <row r="162" spans="7:58" ht="9" hidden="1" customHeight="1" x14ac:dyDescent="0.2">
      <c r="G162" s="150"/>
      <c r="H162" s="150"/>
      <c r="I162" s="150"/>
      <c r="J162" s="150"/>
      <c r="K162" s="150"/>
      <c r="L162" s="150"/>
      <c r="M162" s="150"/>
      <c r="N162" s="150"/>
      <c r="O162" s="150"/>
      <c r="P162" s="151"/>
      <c r="Q162" s="151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</row>
    <row r="163" spans="7:58" hidden="1" x14ac:dyDescent="0.2">
      <c r="G163" s="150"/>
      <c r="H163" s="150"/>
      <c r="I163" s="150"/>
      <c r="J163" s="150"/>
      <c r="K163" s="150"/>
      <c r="L163" s="150"/>
      <c r="M163" s="150"/>
      <c r="N163" s="150"/>
      <c r="O163" s="150"/>
      <c r="P163" s="151"/>
      <c r="Q163" s="151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</row>
    <row r="164" spans="7:58" hidden="1" x14ac:dyDescent="0.2">
      <c r="G164" s="150"/>
      <c r="H164" s="150"/>
      <c r="I164" s="150"/>
      <c r="J164" s="150"/>
      <c r="K164" s="150"/>
      <c r="L164" s="150"/>
      <c r="M164" s="150"/>
      <c r="N164" s="150"/>
      <c r="O164" s="150"/>
      <c r="P164" s="151"/>
      <c r="Q164" s="151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</row>
    <row r="165" spans="7:58" hidden="1" x14ac:dyDescent="0.2">
      <c r="G165" s="150"/>
      <c r="H165" s="150"/>
      <c r="I165" s="150"/>
      <c r="J165" s="150"/>
      <c r="K165" s="150"/>
      <c r="L165" s="150"/>
      <c r="M165" s="150"/>
      <c r="N165" s="150"/>
      <c r="O165" s="150"/>
      <c r="P165" s="151"/>
      <c r="Q165" s="151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</row>
    <row r="166" spans="7:58" hidden="1" x14ac:dyDescent="0.2">
      <c r="G166" s="150"/>
      <c r="H166" s="150"/>
      <c r="I166" s="150"/>
      <c r="J166" s="150"/>
      <c r="K166" s="150"/>
      <c r="L166" s="150"/>
      <c r="M166" s="150"/>
      <c r="N166" s="150"/>
      <c r="O166" s="150"/>
      <c r="P166" s="151"/>
      <c r="Q166" s="151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</row>
    <row r="167" spans="7:58" hidden="1" x14ac:dyDescent="0.2">
      <c r="G167" s="150"/>
      <c r="H167" s="150"/>
      <c r="I167" s="150"/>
      <c r="J167" s="150"/>
      <c r="K167" s="150"/>
      <c r="L167" s="150"/>
      <c r="M167" s="154" t="s">
        <v>97</v>
      </c>
      <c r="N167" s="150"/>
      <c r="O167" s="150"/>
      <c r="P167" s="151"/>
      <c r="Q167" s="151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</row>
    <row r="168" spans="7:58" hidden="1" x14ac:dyDescent="0.2">
      <c r="G168" s="150"/>
      <c r="H168" s="150"/>
      <c r="I168" s="150"/>
      <c r="J168" s="150"/>
      <c r="K168" s="150"/>
      <c r="L168" s="150"/>
      <c r="M168" s="158" t="s">
        <v>648</v>
      </c>
      <c r="N168" s="150"/>
      <c r="O168" s="150"/>
      <c r="P168" s="151"/>
      <c r="Q168" s="151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J168" s="144" t="s">
        <v>587</v>
      </c>
    </row>
    <row r="169" spans="7:58" hidden="1" x14ac:dyDescent="0.2">
      <c r="G169" s="150"/>
      <c r="H169" s="150"/>
      <c r="I169" s="150"/>
      <c r="J169" s="152"/>
      <c r="K169" s="152"/>
      <c r="L169" s="152"/>
      <c r="M169" s="195" t="s">
        <v>65</v>
      </c>
      <c r="N169" s="152"/>
      <c r="O169" s="152"/>
      <c r="P169" s="153"/>
      <c r="Q169" s="153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0"/>
      <c r="AB169" s="150"/>
      <c r="AC169" s="150"/>
      <c r="AD169" s="150"/>
      <c r="AJ169" s="144" t="str">
        <f>VLOOKUP(P11,$M$181:$P$263,4,FALSE)</f>
        <v>г.Москва</v>
      </c>
    </row>
    <row r="170" spans="7:58" hidden="1" x14ac:dyDescent="0.2">
      <c r="G170" s="150"/>
      <c r="H170" s="150"/>
      <c r="I170" s="150"/>
      <c r="J170" s="152"/>
      <c r="K170" s="152"/>
      <c r="L170" s="152"/>
      <c r="M170" s="195" t="s">
        <v>101</v>
      </c>
      <c r="N170" s="152"/>
      <c r="O170" s="152"/>
      <c r="P170" s="153"/>
      <c r="Q170" s="153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0"/>
      <c r="AB170" s="150"/>
      <c r="AC170" s="150"/>
      <c r="AD170" s="150"/>
      <c r="AF170" s="144" t="s">
        <v>393</v>
      </c>
    </row>
    <row r="171" spans="7:58" hidden="1" x14ac:dyDescent="0.2">
      <c r="G171" s="150"/>
      <c r="H171" s="150"/>
      <c r="I171" s="150"/>
      <c r="J171" s="152"/>
      <c r="K171" s="152"/>
      <c r="L171" s="152"/>
      <c r="M171" s="158" t="s">
        <v>391</v>
      </c>
      <c r="N171" s="152"/>
      <c r="O171" s="152"/>
      <c r="P171" s="152" t="s">
        <v>98</v>
      </c>
      <c r="Q171" s="153"/>
      <c r="R171" s="152" t="s">
        <v>99</v>
      </c>
      <c r="S171" s="152"/>
      <c r="T171" s="152"/>
      <c r="U171" s="152"/>
      <c r="V171" s="195" t="s">
        <v>78</v>
      </c>
      <c r="W171" s="152"/>
      <c r="X171" s="152"/>
      <c r="Y171" s="152"/>
      <c r="Z171" s="195" t="s">
        <v>368</v>
      </c>
      <c r="AA171" s="150"/>
      <c r="AB171" s="150"/>
      <c r="AC171" s="150"/>
      <c r="AD171" s="150"/>
      <c r="AF171" s="144" t="s">
        <v>408</v>
      </c>
      <c r="AJ171" s="283" t="s">
        <v>155</v>
      </c>
      <c r="AK171" s="283" t="s">
        <v>118</v>
      </c>
      <c r="AL171" s="283" t="s">
        <v>120</v>
      </c>
      <c r="AM171" s="283" t="s">
        <v>178</v>
      </c>
      <c r="AN171" s="283" t="s">
        <v>128</v>
      </c>
      <c r="AO171" s="283" t="s">
        <v>170</v>
      </c>
      <c r="AP171" s="283" t="s">
        <v>130</v>
      </c>
      <c r="AQ171" s="283" t="s">
        <v>134</v>
      </c>
      <c r="AR171" s="283" t="s">
        <v>137</v>
      </c>
      <c r="AS171" s="283" t="s">
        <v>138</v>
      </c>
      <c r="AT171" s="283" t="s">
        <v>71</v>
      </c>
      <c r="AU171" s="283" t="s">
        <v>147</v>
      </c>
      <c r="AV171" s="283" t="s">
        <v>149</v>
      </c>
      <c r="AW171" s="283" t="s">
        <v>153</v>
      </c>
      <c r="AX171" s="283" t="s">
        <v>154</v>
      </c>
      <c r="AY171" s="283" t="s">
        <v>173</v>
      </c>
      <c r="AZ171" s="283" t="s">
        <v>175</v>
      </c>
      <c r="BA171" s="283" t="s">
        <v>122</v>
      </c>
      <c r="BB171" s="283" t="s">
        <v>176</v>
      </c>
      <c r="BC171" s="283" t="s">
        <v>185</v>
      </c>
      <c r="BD171" s="283" t="s">
        <v>159</v>
      </c>
      <c r="BE171" s="283" t="s">
        <v>188</v>
      </c>
      <c r="BF171" s="283" t="s">
        <v>190</v>
      </c>
    </row>
    <row r="172" spans="7:58" ht="15" hidden="1" x14ac:dyDescent="0.25">
      <c r="G172" s="150"/>
      <c r="H172" s="150"/>
      <c r="I172" s="150"/>
      <c r="J172" s="152"/>
      <c r="K172" s="152"/>
      <c r="L172" s="152"/>
      <c r="M172" s="195" t="s">
        <v>102</v>
      </c>
      <c r="N172" s="152"/>
      <c r="O172" s="152"/>
      <c r="P172" s="152" t="s">
        <v>100</v>
      </c>
      <c r="Q172" s="153"/>
      <c r="R172" s="155" t="s">
        <v>82</v>
      </c>
      <c r="S172" s="152"/>
      <c r="T172" s="152"/>
      <c r="U172" s="152"/>
      <c r="V172" s="195" t="s">
        <v>346</v>
      </c>
      <c r="W172" s="152"/>
      <c r="X172" s="152"/>
      <c r="Y172" s="152"/>
      <c r="Z172" s="158" t="s">
        <v>369</v>
      </c>
      <c r="AA172" s="150"/>
      <c r="AB172" s="195" t="s">
        <v>367</v>
      </c>
      <c r="AC172" s="150"/>
      <c r="AD172" s="150"/>
      <c r="AF172" s="280" t="s">
        <v>394</v>
      </c>
      <c r="AL172" s="284" t="s">
        <v>419</v>
      </c>
      <c r="AM172" s="284" t="s">
        <v>421</v>
      </c>
      <c r="AN172" s="284" t="s">
        <v>424</v>
      </c>
      <c r="AO172" s="284" t="s">
        <v>427</v>
      </c>
      <c r="AP172" s="284" t="s">
        <v>431</v>
      </c>
      <c r="AQ172" s="284" t="s">
        <v>432</v>
      </c>
      <c r="AR172" s="284" t="s">
        <v>439</v>
      </c>
      <c r="AS172" s="284" t="s">
        <v>443</v>
      </c>
      <c r="AT172" s="284"/>
      <c r="AU172" s="284" t="s">
        <v>471</v>
      </c>
      <c r="AV172" s="284" t="s">
        <v>474</v>
      </c>
      <c r="AW172" s="284" t="s">
        <v>481</v>
      </c>
      <c r="AX172" s="284" t="s">
        <v>483</v>
      </c>
      <c r="AY172" s="284" t="s">
        <v>486</v>
      </c>
      <c r="AZ172" s="284" t="s">
        <v>488</v>
      </c>
      <c r="BA172" s="284" t="s">
        <v>493</v>
      </c>
      <c r="BB172" s="284" t="s">
        <v>496</v>
      </c>
      <c r="BC172" s="284" t="s">
        <v>500</v>
      </c>
      <c r="BD172" s="284" t="s">
        <v>502</v>
      </c>
      <c r="BE172" s="284" t="s">
        <v>505</v>
      </c>
      <c r="BF172" s="284" t="s">
        <v>509</v>
      </c>
    </row>
    <row r="173" spans="7:58" ht="15" hidden="1" x14ac:dyDescent="0.25">
      <c r="G173" s="150"/>
      <c r="H173" s="150"/>
      <c r="I173" s="150"/>
      <c r="J173" s="152"/>
      <c r="K173" s="152"/>
      <c r="L173" s="152"/>
      <c r="M173" s="196" t="s">
        <v>103</v>
      </c>
      <c r="N173" s="152"/>
      <c r="O173" s="152"/>
      <c r="P173" s="152" t="s">
        <v>81</v>
      </c>
      <c r="Q173" s="153"/>
      <c r="R173" s="155" t="s">
        <v>67</v>
      </c>
      <c r="S173" s="152"/>
      <c r="T173" s="152"/>
      <c r="U173" s="152"/>
      <c r="V173" s="195" t="s">
        <v>347</v>
      </c>
      <c r="W173" s="152"/>
      <c r="X173" s="152"/>
      <c r="Y173" s="152"/>
      <c r="AA173" s="150"/>
      <c r="AB173" s="195" t="s">
        <v>369</v>
      </c>
      <c r="AC173" s="150"/>
      <c r="AD173" s="150"/>
      <c r="AF173" s="280" t="s">
        <v>395</v>
      </c>
      <c r="AL173" s="284" t="s">
        <v>418</v>
      </c>
      <c r="AM173" s="284" t="s">
        <v>422</v>
      </c>
      <c r="AN173" s="284" t="s">
        <v>423</v>
      </c>
      <c r="AO173" s="284" t="s">
        <v>426</v>
      </c>
      <c r="AP173"/>
      <c r="AQ173"/>
      <c r="AR173" s="284" t="s">
        <v>436</v>
      </c>
      <c r="AS173" s="284" t="s">
        <v>441</v>
      </c>
      <c r="AT173" s="284"/>
      <c r="AU173" s="284" t="s">
        <v>472</v>
      </c>
      <c r="AV173" s="284" t="s">
        <v>478</v>
      </c>
      <c r="AW173" s="284" t="s">
        <v>482</v>
      </c>
      <c r="AX173"/>
      <c r="AY173" s="284" t="s">
        <v>485</v>
      </c>
      <c r="AZ173" s="284" t="s">
        <v>487</v>
      </c>
      <c r="BA173" s="284" t="s">
        <v>489</v>
      </c>
      <c r="BB173" s="284" t="s">
        <v>495</v>
      </c>
      <c r="BC173" s="284" t="s">
        <v>501</v>
      </c>
      <c r="BD173" s="284" t="s">
        <v>503</v>
      </c>
      <c r="BE173" s="284" t="s">
        <v>504</v>
      </c>
      <c r="BF173" s="284" t="s">
        <v>507</v>
      </c>
    </row>
    <row r="174" spans="7:58" ht="15" hidden="1" x14ac:dyDescent="0.25">
      <c r="G174" s="150"/>
      <c r="H174" s="150"/>
      <c r="I174" s="150"/>
      <c r="J174" s="152"/>
      <c r="K174" s="152"/>
      <c r="L174" s="152"/>
      <c r="M174" s="158" t="s">
        <v>595</v>
      </c>
      <c r="N174" s="152"/>
      <c r="O174" s="152"/>
      <c r="P174" s="153"/>
      <c r="Q174" s="153"/>
      <c r="R174" s="152"/>
      <c r="S174" s="152"/>
      <c r="T174" s="152"/>
      <c r="U174" s="152"/>
      <c r="V174" s="195"/>
      <c r="W174" s="152"/>
      <c r="X174" s="152"/>
      <c r="Y174" s="152"/>
      <c r="Z174" s="152"/>
      <c r="AA174" s="150"/>
      <c r="AB174" s="150"/>
      <c r="AC174" s="150"/>
      <c r="AD174" s="150"/>
      <c r="AF174" s="280" t="s">
        <v>396</v>
      </c>
      <c r="AL174" s="284" t="s">
        <v>420</v>
      </c>
      <c r="AM174"/>
      <c r="AN174" s="284" t="s">
        <v>425</v>
      </c>
      <c r="AO174" s="284" t="s">
        <v>429</v>
      </c>
      <c r="AP174"/>
      <c r="AQ174"/>
      <c r="AR174" s="284" t="s">
        <v>435</v>
      </c>
      <c r="AS174" s="284" t="s">
        <v>444</v>
      </c>
      <c r="AT174" s="284"/>
      <c r="AU174"/>
      <c r="AV174" s="284" t="s">
        <v>477</v>
      </c>
      <c r="AW174"/>
      <c r="AX174"/>
      <c r="AY174"/>
      <c r="AZ174"/>
      <c r="BA174" s="284" t="s">
        <v>492</v>
      </c>
      <c r="BB174"/>
      <c r="BC174" s="284" t="s">
        <v>497</v>
      </c>
      <c r="BD174"/>
      <c r="BE174"/>
      <c r="BF174" s="284" t="s">
        <v>508</v>
      </c>
    </row>
    <row r="175" spans="7:58" ht="15" hidden="1" x14ac:dyDescent="0.25">
      <c r="G175" s="150"/>
      <c r="H175" s="150"/>
      <c r="I175" s="150"/>
      <c r="J175" s="152"/>
      <c r="K175" s="152"/>
      <c r="L175" s="152"/>
      <c r="M175" s="195" t="s">
        <v>596</v>
      </c>
      <c r="N175" s="152"/>
      <c r="O175" s="152"/>
      <c r="P175" s="153"/>
      <c r="Q175" s="153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0"/>
      <c r="AB175" s="150"/>
      <c r="AC175" s="150"/>
      <c r="AD175" s="150"/>
      <c r="AF175" s="281" t="s">
        <v>397</v>
      </c>
      <c r="AK175"/>
      <c r="AL175"/>
      <c r="AM175"/>
      <c r="AN175" s="285"/>
      <c r="AO175" s="284" t="s">
        <v>428</v>
      </c>
      <c r="AP175"/>
      <c r="AQ175"/>
      <c r="AR175" s="284" t="s">
        <v>440</v>
      </c>
      <c r="AS175" s="284" t="s">
        <v>442</v>
      </c>
      <c r="AT175" s="284"/>
      <c r="AU175"/>
      <c r="AV175" s="284" t="s">
        <v>473</v>
      </c>
      <c r="AW175"/>
      <c r="AX175"/>
      <c r="AY175"/>
      <c r="AZ175"/>
      <c r="BA175" s="284" t="s">
        <v>490</v>
      </c>
      <c r="BB175"/>
      <c r="BC175" s="284" t="s">
        <v>498</v>
      </c>
      <c r="BD175"/>
      <c r="BE175"/>
      <c r="BF175" s="284" t="s">
        <v>510</v>
      </c>
    </row>
    <row r="176" spans="7:58" ht="15" hidden="1" x14ac:dyDescent="0.25">
      <c r="G176" s="150"/>
      <c r="H176" s="150"/>
      <c r="I176" s="150"/>
      <c r="J176" s="152"/>
      <c r="K176" s="152"/>
      <c r="L176" s="152"/>
      <c r="M176" s="195" t="s">
        <v>643</v>
      </c>
      <c r="N176" s="152"/>
      <c r="O176" s="152"/>
      <c r="P176" s="153"/>
      <c r="Q176" s="153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0"/>
      <c r="AB176" s="150"/>
      <c r="AC176" s="150"/>
      <c r="AD176" s="150"/>
      <c r="AF176" s="281" t="s">
        <v>398</v>
      </c>
      <c r="AK176"/>
      <c r="AL176"/>
      <c r="AM176"/>
      <c r="AN176" s="285"/>
      <c r="AO176" s="284" t="s">
        <v>430</v>
      </c>
      <c r="AP176"/>
      <c r="AQ176"/>
      <c r="AR176" s="284" t="s">
        <v>438</v>
      </c>
      <c r="AS176"/>
      <c r="AT176" s="284"/>
      <c r="AU176"/>
      <c r="AV176" s="284" t="s">
        <v>480</v>
      </c>
      <c r="AW176"/>
      <c r="AX176"/>
      <c r="AY176"/>
      <c r="AZ176"/>
      <c r="BA176" s="284" t="s">
        <v>491</v>
      </c>
      <c r="BB176"/>
      <c r="BC176" s="284" t="s">
        <v>499</v>
      </c>
      <c r="BD176"/>
      <c r="BE176"/>
      <c r="BF176" s="284" t="s">
        <v>506</v>
      </c>
    </row>
    <row r="177" spans="7:124" ht="15" hidden="1" x14ac:dyDescent="0.25">
      <c r="G177" s="150"/>
      <c r="H177" s="150"/>
      <c r="I177" s="150"/>
      <c r="J177" s="152"/>
      <c r="K177" s="152"/>
      <c r="L177" s="152"/>
      <c r="M177" s="158" t="s">
        <v>740</v>
      </c>
      <c r="N177" s="152"/>
      <c r="O177" s="152"/>
      <c r="P177" s="153"/>
      <c r="Q177" s="153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0"/>
      <c r="AB177" s="150"/>
      <c r="AC177" s="150"/>
      <c r="AD177" s="150"/>
      <c r="AF177" s="280" t="s">
        <v>399</v>
      </c>
      <c r="AJ177"/>
      <c r="AK177"/>
      <c r="AL177"/>
      <c r="AM177"/>
      <c r="AN177"/>
      <c r="AO177"/>
      <c r="AP177"/>
      <c r="AQ177"/>
      <c r="AR177" s="284" t="s">
        <v>437</v>
      </c>
      <c r="AS177"/>
      <c r="AT177" s="284"/>
      <c r="AU177"/>
      <c r="AV177" s="284" t="s">
        <v>475</v>
      </c>
      <c r="AW177"/>
      <c r="AX177"/>
      <c r="AY177"/>
      <c r="AZ177"/>
      <c r="BA177" s="284" t="s">
        <v>494</v>
      </c>
      <c r="BB177"/>
      <c r="BC177"/>
      <c r="BD177"/>
      <c r="BE177"/>
      <c r="BF177"/>
    </row>
    <row r="178" spans="7:124" ht="15" hidden="1" x14ac:dyDescent="0.25">
      <c r="G178" s="150"/>
      <c r="H178" s="150"/>
      <c r="I178" s="150"/>
      <c r="J178" s="152"/>
      <c r="K178" s="152"/>
      <c r="L178" s="152"/>
      <c r="M178" s="158" t="s">
        <v>705</v>
      </c>
      <c r="N178" s="152"/>
      <c r="O178" s="152"/>
      <c r="P178" s="153"/>
      <c r="Q178" s="153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0"/>
      <c r="AB178" s="150"/>
      <c r="AC178" s="150"/>
      <c r="AD178" s="150"/>
      <c r="AF178" s="280" t="s">
        <v>400</v>
      </c>
      <c r="AJ178"/>
      <c r="AK178"/>
      <c r="AL178"/>
      <c r="AM178"/>
      <c r="AN178"/>
      <c r="AO178"/>
      <c r="AP178"/>
      <c r="AQ178"/>
      <c r="AR178" s="284" t="s">
        <v>434</v>
      </c>
      <c r="AS178"/>
      <c r="AT178" s="284"/>
      <c r="AU178"/>
      <c r="AV178" s="284" t="s">
        <v>476</v>
      </c>
      <c r="AW178"/>
      <c r="AX178"/>
      <c r="AY178"/>
      <c r="AZ178"/>
      <c r="BA178"/>
      <c r="BB178"/>
      <c r="BC178"/>
      <c r="BD178"/>
      <c r="BE178"/>
      <c r="BF178"/>
    </row>
    <row r="179" spans="7:124" ht="15" hidden="1" x14ac:dyDescent="0.25">
      <c r="G179" s="150"/>
      <c r="H179" s="150"/>
      <c r="I179" s="150"/>
      <c r="J179" s="152"/>
      <c r="K179" s="152"/>
      <c r="L179" s="152"/>
      <c r="M179" s="212" t="s">
        <v>704</v>
      </c>
      <c r="N179" s="152"/>
      <c r="O179" s="152"/>
      <c r="P179" s="153"/>
      <c r="Q179" s="153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0"/>
      <c r="AB179" s="150"/>
      <c r="AC179" s="150"/>
      <c r="AD179" s="150"/>
      <c r="AF179" s="281" t="s">
        <v>401</v>
      </c>
      <c r="AJ179"/>
      <c r="AK179"/>
      <c r="AL179"/>
      <c r="AM179"/>
      <c r="AN179"/>
      <c r="AO179"/>
      <c r="AP179"/>
      <c r="AQ179"/>
      <c r="AR179" s="284" t="s">
        <v>433</v>
      </c>
      <c r="AS179"/>
      <c r="AT179" s="284"/>
      <c r="AU179"/>
      <c r="AV179" s="284" t="s">
        <v>479</v>
      </c>
      <c r="AW179"/>
      <c r="AX179"/>
      <c r="AY179"/>
      <c r="AZ179"/>
      <c r="BA179"/>
      <c r="BB179"/>
      <c r="BC179"/>
      <c r="BD179"/>
      <c r="BE179"/>
      <c r="BF179"/>
    </row>
    <row r="180" spans="7:124" ht="15" hidden="1" x14ac:dyDescent="0.25">
      <c r="G180" s="150"/>
      <c r="H180" s="150"/>
      <c r="I180" s="150"/>
      <c r="J180" s="152"/>
      <c r="K180" s="152"/>
      <c r="L180" s="152"/>
      <c r="M180" s="156" t="s">
        <v>104</v>
      </c>
      <c r="N180" s="152"/>
      <c r="O180" s="152"/>
      <c r="P180" s="153" t="s">
        <v>511</v>
      </c>
      <c r="Q180" s="153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0"/>
      <c r="AB180" s="150"/>
      <c r="AC180" s="150"/>
      <c r="AD180" s="150"/>
      <c r="AF180" s="280" t="s">
        <v>406</v>
      </c>
      <c r="AJ180"/>
      <c r="AK180"/>
      <c r="AL180"/>
      <c r="AM180"/>
      <c r="AN180"/>
      <c r="AO180"/>
      <c r="AP180"/>
      <c r="AQ180"/>
      <c r="AR180"/>
      <c r="AS180"/>
      <c r="AT180" s="284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7:124" ht="15" hidden="1" x14ac:dyDescent="0.25">
      <c r="G181" s="150"/>
      <c r="H181" s="150"/>
      <c r="I181" s="150"/>
      <c r="J181" s="152"/>
      <c r="K181" s="152"/>
      <c r="L181" s="152"/>
      <c r="M181" s="155" t="s">
        <v>105</v>
      </c>
      <c r="N181" s="483">
        <f>VLOOKUP(M181,'Справочники и промежут.расчет'!$B$25:$C$107,2,0)</f>
        <v>12090</v>
      </c>
      <c r="O181" s="152"/>
      <c r="P181" s="155" t="s">
        <v>512</v>
      </c>
      <c r="Q181" s="153"/>
      <c r="R181" s="152" t="s">
        <v>106</v>
      </c>
      <c r="S181" s="152"/>
      <c r="T181" s="152"/>
      <c r="U181" s="152"/>
      <c r="V181" s="157"/>
      <c r="W181" s="152"/>
      <c r="X181" s="152"/>
      <c r="Y181" s="152"/>
      <c r="Z181" s="150"/>
      <c r="AA181" s="150"/>
      <c r="AB181" s="150"/>
      <c r="AC181" s="150"/>
      <c r="AF181" s="280" t="s">
        <v>407</v>
      </c>
      <c r="AJ181"/>
      <c r="AK181"/>
      <c r="AL181"/>
      <c r="AM181"/>
      <c r="AN181"/>
      <c r="AO181"/>
      <c r="AP181"/>
      <c r="AQ181"/>
      <c r="AR181"/>
      <c r="AS181"/>
      <c r="AT181" s="284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7:124" ht="15" hidden="1" x14ac:dyDescent="0.25">
      <c r="G182" s="150"/>
      <c r="H182" s="150"/>
      <c r="I182" s="150"/>
      <c r="J182" s="152"/>
      <c r="K182" s="152"/>
      <c r="L182" s="152"/>
      <c r="M182" s="155" t="s">
        <v>107</v>
      </c>
      <c r="N182" s="483">
        <f>VLOOKUP(M182,'Справочники и промежут.расчет'!$B$25:$C$107,2,0)</f>
        <v>16027</v>
      </c>
      <c r="O182" s="152"/>
      <c r="P182" s="155" t="s">
        <v>513</v>
      </c>
      <c r="Q182" s="153"/>
      <c r="R182" s="152" t="s">
        <v>67</v>
      </c>
      <c r="S182" s="152"/>
      <c r="T182" s="152"/>
      <c r="U182" s="157"/>
      <c r="V182" s="152"/>
      <c r="W182" s="152"/>
      <c r="X182" s="152"/>
      <c r="Y182" s="152"/>
      <c r="Z182" s="150"/>
      <c r="AA182" s="150"/>
      <c r="AB182" s="150"/>
      <c r="AC182" s="150"/>
      <c r="AF182" s="280" t="s">
        <v>402</v>
      </c>
      <c r="AJ182"/>
      <c r="AK182"/>
      <c r="AL182"/>
      <c r="AM182"/>
      <c r="AN182"/>
      <c r="AO182"/>
      <c r="AP182"/>
      <c r="AQ182"/>
      <c r="AR182"/>
      <c r="AS182"/>
      <c r="AT182" s="284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7:124" ht="15" hidden="1" x14ac:dyDescent="0.25">
      <c r="G183" s="150"/>
      <c r="H183" s="150"/>
      <c r="I183" s="150"/>
      <c r="J183" s="152"/>
      <c r="K183" s="152"/>
      <c r="L183" s="152"/>
      <c r="M183" s="155" t="s">
        <v>108</v>
      </c>
      <c r="N183" s="483">
        <f>VLOOKUP(M183,'Справочники и промежут.расчет'!$B$25:$C$107,2,0)</f>
        <v>15481</v>
      </c>
      <c r="O183" s="152"/>
      <c r="P183" s="155" t="s">
        <v>514</v>
      </c>
      <c r="Q183" s="153"/>
      <c r="R183" s="152" t="s">
        <v>109</v>
      </c>
      <c r="S183" s="152"/>
      <c r="T183" s="152"/>
      <c r="U183" s="157"/>
      <c r="V183" s="152"/>
      <c r="W183" s="152"/>
      <c r="X183" s="152"/>
      <c r="Y183" s="152"/>
      <c r="Z183" s="150"/>
      <c r="AA183" s="150"/>
      <c r="AB183" s="150"/>
      <c r="AC183" s="150"/>
      <c r="AF183" s="280" t="s">
        <v>403</v>
      </c>
      <c r="AJ183"/>
      <c r="AK183"/>
      <c r="AL183"/>
      <c r="AM183"/>
      <c r="AN183"/>
      <c r="AO183"/>
      <c r="AP183"/>
      <c r="AQ183"/>
      <c r="AR183"/>
      <c r="AS183"/>
      <c r="AT183" s="284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7:124" ht="15" hidden="1" x14ac:dyDescent="0.25">
      <c r="G184" s="150"/>
      <c r="H184" s="150"/>
      <c r="I184" s="150"/>
      <c r="J184" s="152"/>
      <c r="K184" s="152"/>
      <c r="L184" s="152"/>
      <c r="M184" s="155" t="s">
        <v>110</v>
      </c>
      <c r="N184" s="483">
        <f>VLOOKUP(M184,'Справочники и промежут.расчет'!$B$25:$C$107,2,0)</f>
        <v>12635</v>
      </c>
      <c r="O184" s="152"/>
      <c r="P184" s="155" t="s">
        <v>515</v>
      </c>
      <c r="Q184" s="153"/>
      <c r="R184" s="152" t="s">
        <v>111</v>
      </c>
      <c r="S184" s="152"/>
      <c r="T184" s="152"/>
      <c r="U184" s="157"/>
      <c r="V184" s="152"/>
      <c r="W184" s="152"/>
      <c r="X184" s="152"/>
      <c r="Y184" s="152"/>
      <c r="Z184" s="150"/>
      <c r="AA184" s="150"/>
      <c r="AB184" s="150"/>
      <c r="AC184" s="150"/>
      <c r="AF184" s="280" t="s">
        <v>404</v>
      </c>
      <c r="AJ184"/>
      <c r="AK184"/>
      <c r="AL184"/>
      <c r="AM184"/>
      <c r="AN184"/>
      <c r="AO184"/>
      <c r="AP184"/>
      <c r="AQ184"/>
      <c r="AR184"/>
      <c r="AS184"/>
      <c r="AT184" s="2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7:124" ht="15" hidden="1" x14ac:dyDescent="0.2">
      <c r="G185" s="150"/>
      <c r="H185" s="150"/>
      <c r="I185" s="150"/>
      <c r="J185" s="152"/>
      <c r="K185" s="152"/>
      <c r="L185" s="152"/>
      <c r="M185" s="155" t="s">
        <v>112</v>
      </c>
      <c r="N185" s="483">
        <f>VLOOKUP(M185,'Справочники и промежут.расчет'!$B$25:$C$107,2,0)</f>
        <v>10941</v>
      </c>
      <c r="O185" s="152"/>
      <c r="P185" s="155" t="s">
        <v>516</v>
      </c>
      <c r="Q185" s="153"/>
      <c r="R185" s="152" t="s">
        <v>115</v>
      </c>
      <c r="S185" s="152"/>
      <c r="T185" s="152"/>
      <c r="U185" s="157"/>
      <c r="V185" s="152"/>
      <c r="W185" s="152"/>
      <c r="X185" s="152"/>
      <c r="Y185" s="152"/>
      <c r="Z185" s="150"/>
      <c r="AA185" s="150"/>
      <c r="AB185" s="150"/>
      <c r="AC185" s="150"/>
      <c r="AF185" s="280" t="s">
        <v>405</v>
      </c>
      <c r="AJ185" s="286" t="s">
        <v>105</v>
      </c>
      <c r="AK185" s="286" t="s">
        <v>107</v>
      </c>
      <c r="AL185" s="286" t="s">
        <v>108</v>
      </c>
      <c r="AM185" s="286" t="s">
        <v>110</v>
      </c>
      <c r="AN185" s="286" t="s">
        <v>112</v>
      </c>
      <c r="AO185" s="286" t="s">
        <v>114</v>
      </c>
      <c r="AP185" s="286" t="s">
        <v>116</v>
      </c>
      <c r="AQ185" s="286" t="s">
        <v>118</v>
      </c>
      <c r="AR185" s="286" t="s">
        <v>119</v>
      </c>
      <c r="AS185" s="286" t="s">
        <v>120</v>
      </c>
      <c r="AT185" s="286" t="s">
        <v>71</v>
      </c>
      <c r="AU185" s="286" t="s">
        <v>588</v>
      </c>
      <c r="AV185" s="286" t="s">
        <v>124</v>
      </c>
      <c r="AW185" s="286" t="s">
        <v>126</v>
      </c>
      <c r="AX185" s="286" t="s">
        <v>127</v>
      </c>
      <c r="AY185" s="286" t="s">
        <v>128</v>
      </c>
      <c r="AZ185" s="286" t="s">
        <v>129</v>
      </c>
      <c r="BA185" s="286" t="s">
        <v>130</v>
      </c>
      <c r="BB185" s="286" t="s">
        <v>131</v>
      </c>
      <c r="BC185" s="286" t="s">
        <v>132</v>
      </c>
      <c r="BD185" s="286" t="s">
        <v>133</v>
      </c>
      <c r="BE185" s="286" t="s">
        <v>134</v>
      </c>
      <c r="BF185" s="286" t="s">
        <v>135</v>
      </c>
      <c r="BG185" s="286" t="s">
        <v>136</v>
      </c>
      <c r="BH185" s="286" t="s">
        <v>137</v>
      </c>
      <c r="BI185" s="286" t="s">
        <v>138</v>
      </c>
      <c r="BJ185" s="286" t="s">
        <v>139</v>
      </c>
      <c r="BK185" s="286" t="s">
        <v>140</v>
      </c>
      <c r="BL185" s="286" t="s">
        <v>141</v>
      </c>
      <c r="BM185" s="286" t="s">
        <v>142</v>
      </c>
      <c r="BN185" s="286" t="s">
        <v>143</v>
      </c>
      <c r="BO185" s="286" t="s">
        <v>144</v>
      </c>
      <c r="BP185" s="286" t="s">
        <v>145</v>
      </c>
      <c r="BQ185" s="286" t="s">
        <v>146</v>
      </c>
      <c r="BR185" s="286" t="s">
        <v>147</v>
      </c>
      <c r="BS185" s="286" t="s">
        <v>148</v>
      </c>
      <c r="BT185" s="286" t="s">
        <v>149</v>
      </c>
      <c r="BU185" s="286" t="s">
        <v>150</v>
      </c>
      <c r="BV185" s="286" t="s">
        <v>151</v>
      </c>
      <c r="BW185" s="286" t="s">
        <v>152</v>
      </c>
      <c r="BX185" s="286" t="s">
        <v>153</v>
      </c>
      <c r="BY185" s="286" t="s">
        <v>154</v>
      </c>
      <c r="BZ185" s="286" t="s">
        <v>155</v>
      </c>
      <c r="CA185" s="286" t="s">
        <v>156</v>
      </c>
      <c r="CB185" s="286" t="s">
        <v>157</v>
      </c>
      <c r="CC185" s="286" t="s">
        <v>158</v>
      </c>
      <c r="CD185" s="286" t="s">
        <v>159</v>
      </c>
      <c r="CE185" s="286" t="s">
        <v>160</v>
      </c>
      <c r="CF185" s="286" t="s">
        <v>161</v>
      </c>
      <c r="CG185" s="286" t="s">
        <v>162</v>
      </c>
      <c r="CH185" s="286" t="s">
        <v>163</v>
      </c>
      <c r="CI185" s="286" t="s">
        <v>164</v>
      </c>
      <c r="CJ185" s="286" t="s">
        <v>165</v>
      </c>
      <c r="CK185" s="286" t="s">
        <v>166</v>
      </c>
      <c r="CL185" s="286" t="s">
        <v>167</v>
      </c>
      <c r="CM185" s="286" t="s">
        <v>168</v>
      </c>
      <c r="CN185" s="286" t="s">
        <v>169</v>
      </c>
      <c r="CO185" s="286" t="s">
        <v>170</v>
      </c>
      <c r="CP185" s="286" t="s">
        <v>171</v>
      </c>
      <c r="CQ185" s="286" t="s">
        <v>172</v>
      </c>
      <c r="CR185" s="286" t="s">
        <v>173</v>
      </c>
      <c r="CS185" s="286" t="s">
        <v>174</v>
      </c>
      <c r="CT185" s="286" t="s">
        <v>175</v>
      </c>
      <c r="CU185" s="286" t="s">
        <v>176</v>
      </c>
      <c r="CV185" s="286" t="s">
        <v>177</v>
      </c>
      <c r="CW185" s="286" t="s">
        <v>178</v>
      </c>
      <c r="CX185" s="286" t="s">
        <v>179</v>
      </c>
      <c r="CY185" s="286" t="s">
        <v>180</v>
      </c>
      <c r="CZ185" s="286" t="s">
        <v>181</v>
      </c>
      <c r="DA185" s="286" t="s">
        <v>182</v>
      </c>
      <c r="DB185" s="286" t="s">
        <v>183</v>
      </c>
      <c r="DC185" s="286" t="s">
        <v>184</v>
      </c>
      <c r="DD185" s="286" t="s">
        <v>185</v>
      </c>
      <c r="DE185" s="286" t="s">
        <v>186</v>
      </c>
      <c r="DF185" s="286" t="s">
        <v>187</v>
      </c>
      <c r="DG185" s="286" t="s">
        <v>188</v>
      </c>
      <c r="DH185" s="286" t="s">
        <v>189</v>
      </c>
      <c r="DI185" s="286" t="s">
        <v>190</v>
      </c>
      <c r="DJ185" s="286" t="s">
        <v>191</v>
      </c>
      <c r="DK185" s="286" t="s">
        <v>192</v>
      </c>
      <c r="DL185" s="286" t="s">
        <v>193</v>
      </c>
      <c r="DM185" s="286" t="s">
        <v>194</v>
      </c>
      <c r="DN185" s="286" t="s">
        <v>195</v>
      </c>
    </row>
    <row r="186" spans="7:124" ht="15" hidden="1" x14ac:dyDescent="0.25">
      <c r="G186" s="150"/>
      <c r="H186" s="150"/>
      <c r="I186" s="150"/>
      <c r="J186" s="152"/>
      <c r="K186" s="152"/>
      <c r="L186" s="152"/>
      <c r="M186" s="155" t="s">
        <v>114</v>
      </c>
      <c r="N186" s="483">
        <f>VLOOKUP(M186,'Справочники и промежут.расчет'!$B$25:$C$107,2,0)</f>
        <v>12787</v>
      </c>
      <c r="O186" s="152"/>
      <c r="P186" s="155" t="s">
        <v>517</v>
      </c>
      <c r="Q186" s="153"/>
      <c r="R186" s="152" t="s">
        <v>380</v>
      </c>
      <c r="S186" s="152"/>
      <c r="T186" s="152"/>
      <c r="U186" s="157"/>
      <c r="V186" s="152"/>
      <c r="W186" s="152"/>
      <c r="X186" s="152"/>
      <c r="Y186" s="152"/>
      <c r="Z186" s="150"/>
      <c r="AA186" s="150"/>
      <c r="AB186" s="150"/>
      <c r="AC186" s="150"/>
      <c r="AJ186" t="s">
        <v>408</v>
      </c>
      <c r="AK186" t="s">
        <v>408</v>
      </c>
      <c r="AL186" t="s">
        <v>408</v>
      </c>
      <c r="AM186" t="s">
        <v>408</v>
      </c>
      <c r="AN186" t="s">
        <v>408</v>
      </c>
      <c r="AO186" t="s">
        <v>408</v>
      </c>
      <c r="AP186" t="s">
        <v>408</v>
      </c>
      <c r="AQ186" t="s">
        <v>408</v>
      </c>
      <c r="AR186" t="s">
        <v>408</v>
      </c>
      <c r="AS186" t="s">
        <v>408</v>
      </c>
      <c r="AT186" t="s">
        <v>408</v>
      </c>
      <c r="AU186" t="s">
        <v>408</v>
      </c>
      <c r="AV186" t="s">
        <v>408</v>
      </c>
      <c r="AW186" t="s">
        <v>408</v>
      </c>
      <c r="AX186" t="s">
        <v>408</v>
      </c>
      <c r="AY186" t="s">
        <v>408</v>
      </c>
      <c r="AZ186" t="s">
        <v>408</v>
      </c>
      <c r="BA186" t="s">
        <v>408</v>
      </c>
      <c r="BB186" t="s">
        <v>408</v>
      </c>
      <c r="BC186" t="s">
        <v>408</v>
      </c>
      <c r="BD186" t="s">
        <v>408</v>
      </c>
      <c r="BE186" t="s">
        <v>408</v>
      </c>
      <c r="BF186" t="s">
        <v>408</v>
      </c>
      <c r="BG186" t="s">
        <v>408</v>
      </c>
      <c r="BH186" t="s">
        <v>408</v>
      </c>
      <c r="BI186" t="s">
        <v>408</v>
      </c>
      <c r="BJ186" t="s">
        <v>408</v>
      </c>
      <c r="BK186" t="s">
        <v>408</v>
      </c>
      <c r="BL186" t="s">
        <v>408</v>
      </c>
      <c r="BM186" t="s">
        <v>408</v>
      </c>
      <c r="BN186" t="s">
        <v>408</v>
      </c>
      <c r="BO186" t="s">
        <v>408</v>
      </c>
      <c r="BP186" t="s">
        <v>408</v>
      </c>
      <c r="BQ186" t="s">
        <v>408</v>
      </c>
      <c r="BR186" t="s">
        <v>408</v>
      </c>
      <c r="BS186" t="s">
        <v>408</v>
      </c>
      <c r="BT186" t="s">
        <v>408</v>
      </c>
      <c r="BU186" t="s">
        <v>408</v>
      </c>
      <c r="BV186" t="s">
        <v>408</v>
      </c>
      <c r="BW186" t="s">
        <v>408</v>
      </c>
      <c r="BX186" t="s">
        <v>408</v>
      </c>
      <c r="BY186" t="s">
        <v>408</v>
      </c>
      <c r="BZ186" t="s">
        <v>408</v>
      </c>
      <c r="CA186" t="s">
        <v>408</v>
      </c>
      <c r="CB186" t="s">
        <v>408</v>
      </c>
      <c r="CC186" t="s">
        <v>408</v>
      </c>
      <c r="CD186" t="s">
        <v>408</v>
      </c>
      <c r="CE186" t="s">
        <v>408</v>
      </c>
      <c r="CF186" t="s">
        <v>408</v>
      </c>
      <c r="CG186" t="s">
        <v>408</v>
      </c>
      <c r="CH186" t="s">
        <v>408</v>
      </c>
      <c r="CI186" t="s">
        <v>408</v>
      </c>
      <c r="CJ186" t="s">
        <v>408</v>
      </c>
      <c r="CK186" t="s">
        <v>408</v>
      </c>
      <c r="CL186" t="s">
        <v>408</v>
      </c>
      <c r="CM186" t="s">
        <v>408</v>
      </c>
      <c r="CN186" t="s">
        <v>408</v>
      </c>
      <c r="CO186" t="s">
        <v>408</v>
      </c>
      <c r="CP186" t="s">
        <v>408</v>
      </c>
      <c r="CQ186" t="s">
        <v>408</v>
      </c>
      <c r="CR186" t="s">
        <v>408</v>
      </c>
      <c r="CS186" t="s">
        <v>408</v>
      </c>
      <c r="CT186" t="s">
        <v>408</v>
      </c>
      <c r="CU186" t="s">
        <v>408</v>
      </c>
      <c r="CV186" t="s">
        <v>408</v>
      </c>
      <c r="CW186" t="s">
        <v>408</v>
      </c>
      <c r="CX186" t="s">
        <v>408</v>
      </c>
      <c r="CY186" t="s">
        <v>408</v>
      </c>
      <c r="CZ186" t="s">
        <v>408</v>
      </c>
      <c r="DA186" t="s">
        <v>408</v>
      </c>
      <c r="DB186" t="s">
        <v>408</v>
      </c>
      <c r="DC186" t="s">
        <v>408</v>
      </c>
      <c r="DD186" t="s">
        <v>408</v>
      </c>
      <c r="DE186" t="s">
        <v>408</v>
      </c>
      <c r="DF186" t="s">
        <v>408</v>
      </c>
      <c r="DG186" t="s">
        <v>408</v>
      </c>
      <c r="DH186" t="s">
        <v>408</v>
      </c>
      <c r="DI186" t="s">
        <v>408</v>
      </c>
      <c r="DJ186" t="s">
        <v>408</v>
      </c>
      <c r="DK186" t="s">
        <v>408</v>
      </c>
      <c r="DL186" t="s">
        <v>408</v>
      </c>
      <c r="DM186" t="s">
        <v>408</v>
      </c>
      <c r="DN186" t="s">
        <v>408</v>
      </c>
      <c r="DO186"/>
      <c r="DP186"/>
      <c r="DQ186"/>
      <c r="DR186"/>
      <c r="DS186"/>
      <c r="DT186"/>
    </row>
    <row r="187" spans="7:124" ht="15" hidden="1" x14ac:dyDescent="0.25">
      <c r="G187" s="150"/>
      <c r="H187" s="150"/>
      <c r="I187" s="150"/>
      <c r="J187" s="152"/>
      <c r="K187" s="152"/>
      <c r="L187" s="152"/>
      <c r="M187" s="155" t="s">
        <v>116</v>
      </c>
      <c r="N187" s="483">
        <f>VLOOKUP(M187,'Справочники и промежут.расчет'!$B$25:$C$107,2,0)</f>
        <v>12635</v>
      </c>
      <c r="O187" s="152"/>
      <c r="P187" s="155" t="s">
        <v>518</v>
      </c>
      <c r="Q187" s="153"/>
      <c r="R187" s="152" t="s">
        <v>117</v>
      </c>
      <c r="S187" s="152"/>
      <c r="T187" s="152"/>
      <c r="U187" s="157"/>
      <c r="V187" s="152"/>
      <c r="W187" s="152"/>
      <c r="X187" s="152"/>
      <c r="Y187" s="152"/>
      <c r="Z187" s="150"/>
      <c r="AA187" s="150"/>
      <c r="AB187" s="150"/>
      <c r="AC187" s="150"/>
      <c r="AJ187"/>
      <c r="AK187"/>
      <c r="AL187"/>
      <c r="AM187"/>
      <c r="AN187"/>
      <c r="AO187"/>
      <c r="AP187"/>
      <c r="AQ187" s="284" t="s">
        <v>417</v>
      </c>
      <c r="AR187"/>
      <c r="AS187" s="284" t="s">
        <v>419</v>
      </c>
      <c r="AT187" s="284" t="s">
        <v>467</v>
      </c>
      <c r="AU187" s="287" t="s">
        <v>493</v>
      </c>
      <c r="AV187"/>
      <c r="AW187"/>
      <c r="AX187"/>
      <c r="AY187" s="284" t="s">
        <v>424</v>
      </c>
      <c r="AZ187"/>
      <c r="BA187" s="288" t="s">
        <v>431</v>
      </c>
      <c r="BB187"/>
      <c r="BC187"/>
      <c r="BD187"/>
      <c r="BE187" s="287" t="s">
        <v>432</v>
      </c>
      <c r="BF187"/>
      <c r="BH187" s="284" t="s">
        <v>439</v>
      </c>
      <c r="BI187" s="284" t="s">
        <v>443</v>
      </c>
      <c r="BR187" s="284" t="s">
        <v>471</v>
      </c>
      <c r="BT187" s="284" t="s">
        <v>474</v>
      </c>
      <c r="BX187" s="284" t="s">
        <v>481</v>
      </c>
      <c r="BY187" s="284" t="s">
        <v>483</v>
      </c>
      <c r="BZ187" s="284" t="s">
        <v>413</v>
      </c>
      <c r="CD187" s="287" t="s">
        <v>502</v>
      </c>
      <c r="CO187" s="284" t="s">
        <v>427</v>
      </c>
      <c r="CR187" s="284" t="s">
        <v>486</v>
      </c>
      <c r="CT187" s="284" t="s">
        <v>488</v>
      </c>
      <c r="CU187" s="287" t="s">
        <v>496</v>
      </c>
      <c r="CW187" s="284" t="s">
        <v>421</v>
      </c>
      <c r="DD187" s="287" t="s">
        <v>500</v>
      </c>
      <c r="DG187" s="287" t="s">
        <v>505</v>
      </c>
      <c r="DI187" s="287" t="s">
        <v>509</v>
      </c>
    </row>
    <row r="188" spans="7:124" ht="15" hidden="1" x14ac:dyDescent="0.25">
      <c r="G188" s="150"/>
      <c r="H188" s="150"/>
      <c r="I188" s="150"/>
      <c r="J188" s="152"/>
      <c r="K188" s="152"/>
      <c r="L188" s="152"/>
      <c r="M188" s="155" t="s">
        <v>118</v>
      </c>
      <c r="N188" s="483">
        <f>VLOOKUP(M188,'Справочники и промежут.расчет'!$B$25:$C$107,2,0)</f>
        <v>11349</v>
      </c>
      <c r="O188" s="152"/>
      <c r="P188" s="155" t="s">
        <v>519</v>
      </c>
      <c r="Q188" s="153"/>
      <c r="R188" s="144" t="s">
        <v>410</v>
      </c>
      <c r="S188" s="152"/>
      <c r="T188" s="152"/>
      <c r="U188" s="157"/>
      <c r="V188" s="152"/>
      <c r="W188" s="152"/>
      <c r="X188" s="152"/>
      <c r="Y188" s="152"/>
      <c r="Z188" s="152"/>
      <c r="AA188" s="150"/>
      <c r="AB188" s="150"/>
      <c r="AC188" s="150"/>
      <c r="AD188" s="150"/>
      <c r="AJ188"/>
      <c r="AK188"/>
      <c r="AL188"/>
      <c r="AM188"/>
      <c r="AN188"/>
      <c r="AO188"/>
      <c r="AP188"/>
      <c r="AQ188" s="284" t="s">
        <v>415</v>
      </c>
      <c r="AR188"/>
      <c r="AS188" s="284" t="s">
        <v>418</v>
      </c>
      <c r="AT188" s="284" t="s">
        <v>449</v>
      </c>
      <c r="AU188" s="287" t="s">
        <v>489</v>
      </c>
      <c r="AV188"/>
      <c r="AW188"/>
      <c r="AX188"/>
      <c r="AY188" s="284" t="s">
        <v>423</v>
      </c>
      <c r="AZ188"/>
      <c r="BA188"/>
      <c r="BB188"/>
      <c r="BC188"/>
      <c r="BD188"/>
      <c r="BE188"/>
      <c r="BF188"/>
      <c r="BH188" s="284" t="s">
        <v>436</v>
      </c>
      <c r="BI188" s="284" t="s">
        <v>441</v>
      </c>
      <c r="BR188" s="284" t="s">
        <v>472</v>
      </c>
      <c r="BT188" s="284" t="s">
        <v>478</v>
      </c>
      <c r="BX188" s="284" t="s">
        <v>482</v>
      </c>
      <c r="BZ188" s="284" t="s">
        <v>414</v>
      </c>
      <c r="CD188" s="287" t="s">
        <v>503</v>
      </c>
      <c r="CO188" s="284" t="s">
        <v>426</v>
      </c>
      <c r="CR188" s="284" t="s">
        <v>485</v>
      </c>
      <c r="CT188" s="284" t="s">
        <v>487</v>
      </c>
      <c r="CU188" s="287" t="s">
        <v>495</v>
      </c>
      <c r="CW188" s="284" t="s">
        <v>422</v>
      </c>
      <c r="DD188" s="287" t="s">
        <v>501</v>
      </c>
      <c r="DG188" s="287" t="s">
        <v>504</v>
      </c>
      <c r="DI188" s="287" t="s">
        <v>507</v>
      </c>
    </row>
    <row r="189" spans="7:124" ht="15" hidden="1" x14ac:dyDescent="0.25">
      <c r="G189" s="150"/>
      <c r="H189" s="150"/>
      <c r="I189" s="150"/>
      <c r="J189" s="152"/>
      <c r="K189" s="152"/>
      <c r="L189" s="152"/>
      <c r="M189" s="155" t="s">
        <v>119</v>
      </c>
      <c r="N189" s="483">
        <f>VLOOKUP(M189,'Справочники и промежут.расчет'!$B$25:$C$107,2,0)</f>
        <v>13271</v>
      </c>
      <c r="O189" s="152"/>
      <c r="P189" s="155" t="s">
        <v>520</v>
      </c>
      <c r="Q189" s="153"/>
      <c r="R189" s="152" t="str">
        <f>IF($Z$172=$AB$172,"Социальная ипотека Московской области","")</f>
        <v/>
      </c>
      <c r="S189" s="152"/>
      <c r="T189" s="152"/>
      <c r="U189" s="152"/>
      <c r="V189" s="157"/>
      <c r="W189" s="152"/>
      <c r="X189" s="152"/>
      <c r="Y189" s="152"/>
      <c r="Z189" s="152"/>
      <c r="AA189" s="150"/>
      <c r="AB189" s="150"/>
      <c r="AC189" s="150"/>
      <c r="AD189" s="150"/>
      <c r="AJ189"/>
      <c r="AK189"/>
      <c r="AL189"/>
      <c r="AM189"/>
      <c r="AN189"/>
      <c r="AO189"/>
      <c r="AP189"/>
      <c r="AQ189" s="284" t="s">
        <v>416</v>
      </c>
      <c r="AR189"/>
      <c r="AS189" s="284" t="s">
        <v>420</v>
      </c>
      <c r="AT189" s="284" t="s">
        <v>451</v>
      </c>
      <c r="AU189" s="287" t="s">
        <v>492</v>
      </c>
      <c r="AV189"/>
      <c r="AW189"/>
      <c r="AX189"/>
      <c r="AY189" s="284" t="s">
        <v>425</v>
      </c>
      <c r="AZ189"/>
      <c r="BA189"/>
      <c r="BB189"/>
      <c r="BC189"/>
      <c r="BD189"/>
      <c r="BE189"/>
      <c r="BF189"/>
      <c r="BH189" s="284" t="s">
        <v>435</v>
      </c>
      <c r="BI189" s="284" t="s">
        <v>444</v>
      </c>
      <c r="BT189" s="284" t="s">
        <v>477</v>
      </c>
      <c r="BZ189" s="284" t="s">
        <v>411</v>
      </c>
      <c r="CO189" s="284" t="s">
        <v>429</v>
      </c>
      <c r="DD189" s="287" t="s">
        <v>497</v>
      </c>
      <c r="DI189" s="287" t="s">
        <v>508</v>
      </c>
    </row>
    <row r="190" spans="7:124" ht="15" hidden="1" x14ac:dyDescent="0.25">
      <c r="G190" s="150"/>
      <c r="H190" s="150"/>
      <c r="I190" s="150"/>
      <c r="J190" s="152"/>
      <c r="K190" s="152"/>
      <c r="L190" s="152"/>
      <c r="M190" s="155" t="s">
        <v>120</v>
      </c>
      <c r="N190" s="483">
        <f>VLOOKUP(M190,'Справочники и промежут.расчет'!$B$25:$C$107,2,0)</f>
        <v>11072</v>
      </c>
      <c r="O190" s="152"/>
      <c r="P190" s="155" t="s">
        <v>521</v>
      </c>
      <c r="Q190" s="153"/>
      <c r="R190" s="282" t="s">
        <v>121</v>
      </c>
      <c r="S190" s="152"/>
      <c r="T190" s="152"/>
      <c r="U190" s="152"/>
      <c r="V190" s="157"/>
      <c r="W190" s="152"/>
      <c r="X190" s="152"/>
      <c r="Y190" s="152"/>
      <c r="Z190" s="152"/>
      <c r="AA190" s="150"/>
      <c r="AB190" s="150"/>
      <c r="AC190" s="150"/>
      <c r="AD190" s="150"/>
      <c r="AJ190"/>
      <c r="AK190"/>
      <c r="AL190"/>
      <c r="AM190"/>
      <c r="AN190"/>
      <c r="AO190"/>
      <c r="AP190"/>
      <c r="AQ190"/>
      <c r="AR190"/>
      <c r="AS190"/>
      <c r="AT190" s="284" t="s">
        <v>465</v>
      </c>
      <c r="AU190" s="287" t="s">
        <v>490</v>
      </c>
      <c r="AV190"/>
      <c r="AW190"/>
      <c r="AX190"/>
      <c r="AY190"/>
      <c r="AZ190"/>
      <c r="BA190"/>
      <c r="BB190"/>
      <c r="BC190"/>
      <c r="BD190"/>
      <c r="BE190"/>
      <c r="BF190"/>
      <c r="BH190" s="284" t="s">
        <v>440</v>
      </c>
      <c r="BI190" s="284" t="s">
        <v>442</v>
      </c>
      <c r="BT190" s="284" t="s">
        <v>473</v>
      </c>
      <c r="BZ190" s="284" t="s">
        <v>412</v>
      </c>
      <c r="CO190" s="284" t="s">
        <v>428</v>
      </c>
      <c r="DD190" s="287" t="s">
        <v>498</v>
      </c>
      <c r="DI190" s="287" t="s">
        <v>510</v>
      </c>
    </row>
    <row r="191" spans="7:124" ht="15" hidden="1" x14ac:dyDescent="0.25">
      <c r="G191" s="150"/>
      <c r="H191" s="150"/>
      <c r="I191" s="150"/>
      <c r="J191" s="152"/>
      <c r="K191" s="152"/>
      <c r="L191" s="152"/>
      <c r="M191" s="155" t="s">
        <v>71</v>
      </c>
      <c r="N191" s="483">
        <f>VLOOKUP(M191,'Справочники и промежут.расчет'!$B$25:$C$107,2,0)</f>
        <v>21371</v>
      </c>
      <c r="O191" s="152"/>
      <c r="P191" s="155" t="s">
        <v>71</v>
      </c>
      <c r="Q191" s="153"/>
      <c r="R191" s="152" t="s">
        <v>89</v>
      </c>
      <c r="S191" s="152"/>
      <c r="T191" s="152"/>
      <c r="U191" s="152"/>
      <c r="V191" s="157"/>
      <c r="W191" s="152"/>
      <c r="X191" s="152"/>
      <c r="Y191" s="152"/>
      <c r="Z191" s="152"/>
      <c r="AA191" s="150"/>
      <c r="AB191" s="150"/>
      <c r="AC191" s="150"/>
      <c r="AD191" s="150"/>
      <c r="AJ191"/>
      <c r="AK191"/>
      <c r="AL191"/>
      <c r="AM191"/>
      <c r="AN191"/>
      <c r="AO191"/>
      <c r="AP191"/>
      <c r="AQ191"/>
      <c r="AR191"/>
      <c r="AS191"/>
      <c r="AT191" s="284" t="s">
        <v>446</v>
      </c>
      <c r="AU191" s="287" t="s">
        <v>491</v>
      </c>
      <c r="AV191"/>
      <c r="AW191"/>
      <c r="AX191"/>
      <c r="AY191"/>
      <c r="AZ191"/>
      <c r="BA191"/>
      <c r="BB191"/>
      <c r="BC191"/>
      <c r="BD191"/>
      <c r="BE191"/>
      <c r="BF191"/>
      <c r="BH191" s="284" t="s">
        <v>438</v>
      </c>
      <c r="BI191"/>
      <c r="BT191" s="284" t="s">
        <v>480</v>
      </c>
      <c r="BZ191" s="284" t="s">
        <v>484</v>
      </c>
      <c r="CO191" s="284" t="s">
        <v>430</v>
      </c>
      <c r="DD191" s="287" t="s">
        <v>499</v>
      </c>
      <c r="DI191" s="287" t="s">
        <v>506</v>
      </c>
    </row>
    <row r="192" spans="7:124" ht="15" hidden="1" x14ac:dyDescent="0.25">
      <c r="G192" s="150"/>
      <c r="H192" s="150"/>
      <c r="I192" s="150"/>
      <c r="J192" s="152"/>
      <c r="K192" s="152"/>
      <c r="L192" s="152"/>
      <c r="M192" s="155" t="s">
        <v>122</v>
      </c>
      <c r="N192" s="483">
        <f>VLOOKUP(M192,'Справочники и промежут.расчет'!$B$25:$C$107,2,0)</f>
        <v>13571.9</v>
      </c>
      <c r="O192" s="152"/>
      <c r="P192" s="155" t="s">
        <v>588</v>
      </c>
      <c r="Q192" s="153"/>
      <c r="R192" s="152" t="s">
        <v>123</v>
      </c>
      <c r="S192" s="152"/>
      <c r="T192" s="152"/>
      <c r="U192" s="152"/>
      <c r="V192" s="157"/>
      <c r="W192" s="152"/>
      <c r="X192" s="152"/>
      <c r="Y192" s="152"/>
      <c r="Z192" s="152"/>
      <c r="AA192" s="150"/>
      <c r="AB192" s="150"/>
      <c r="AC192" s="150"/>
      <c r="AD192" s="150"/>
      <c r="AJ192"/>
      <c r="AK192"/>
      <c r="AL192"/>
      <c r="AM192"/>
      <c r="AN192"/>
      <c r="AO192"/>
      <c r="AP192"/>
      <c r="AQ192"/>
      <c r="AR192"/>
      <c r="AS192"/>
      <c r="AT192" s="284" t="s">
        <v>454</v>
      </c>
      <c r="AU192" s="287" t="s">
        <v>494</v>
      </c>
      <c r="AV192"/>
      <c r="AW192"/>
      <c r="AX192"/>
      <c r="AY192"/>
      <c r="AZ192"/>
      <c r="BA192"/>
      <c r="BB192"/>
      <c r="BC192"/>
      <c r="BD192"/>
      <c r="BE192"/>
      <c r="BF192"/>
      <c r="BH192" s="284" t="s">
        <v>437</v>
      </c>
      <c r="BI192"/>
      <c r="BT192" s="284" t="s">
        <v>475</v>
      </c>
    </row>
    <row r="193" spans="7:72" ht="15" hidden="1" x14ac:dyDescent="0.25">
      <c r="G193" s="150"/>
      <c r="H193" s="150"/>
      <c r="I193" s="150"/>
      <c r="J193" s="152"/>
      <c r="K193" s="152"/>
      <c r="L193" s="152"/>
      <c r="M193" s="155" t="s">
        <v>124</v>
      </c>
      <c r="N193" s="483">
        <f>VLOOKUP(M193,'Справочники и промежут.расчет'!$B$25:$C$107,2,0)</f>
        <v>18308</v>
      </c>
      <c r="O193" s="152"/>
      <c r="P193" s="155" t="s">
        <v>522</v>
      </c>
      <c r="Q193" s="153"/>
      <c r="R193" s="152" t="s">
        <v>125</v>
      </c>
      <c r="S193" s="152"/>
      <c r="T193" s="152"/>
      <c r="U193" s="152"/>
      <c r="V193" s="157"/>
      <c r="W193" s="152"/>
      <c r="X193" s="152"/>
      <c r="Y193" s="152"/>
      <c r="Z193" s="152"/>
      <c r="AA193" s="150"/>
      <c r="AB193" s="150"/>
      <c r="AC193" s="150"/>
      <c r="AD193" s="150"/>
      <c r="AJ193"/>
      <c r="AK193"/>
      <c r="AL193"/>
      <c r="AM193"/>
      <c r="AN193"/>
      <c r="AO193"/>
      <c r="AP193"/>
      <c r="AQ193"/>
      <c r="AR193"/>
      <c r="AS193"/>
      <c r="AT193" s="284" t="s">
        <v>463</v>
      </c>
      <c r="AU193"/>
      <c r="AV193"/>
      <c r="AW193"/>
      <c r="AX193"/>
      <c r="AY193"/>
      <c r="AZ193"/>
      <c r="BA193"/>
      <c r="BB193"/>
      <c r="BC193"/>
      <c r="BD193"/>
      <c r="BE193"/>
      <c r="BF193"/>
      <c r="BH193" s="284" t="s">
        <v>434</v>
      </c>
      <c r="BI193"/>
      <c r="BT193" s="284" t="s">
        <v>476</v>
      </c>
    </row>
    <row r="194" spans="7:72" ht="15" hidden="1" x14ac:dyDescent="0.25">
      <c r="G194" s="150"/>
      <c r="H194" s="150"/>
      <c r="I194" s="150"/>
      <c r="J194" s="152"/>
      <c r="K194" s="152"/>
      <c r="L194" s="152"/>
      <c r="M194" s="155" t="s">
        <v>126</v>
      </c>
      <c r="N194" s="483">
        <f>VLOOKUP(M194,'Справочники и промежут.расчет'!$B$25:$C$107,2,0)</f>
        <v>15240</v>
      </c>
      <c r="O194" s="152"/>
      <c r="P194" s="155" t="s">
        <v>523</v>
      </c>
      <c r="Q194" s="153"/>
      <c r="R194" s="152" t="s">
        <v>376</v>
      </c>
      <c r="S194" s="152"/>
      <c r="T194" s="152"/>
      <c r="U194" s="152"/>
      <c r="V194" s="157"/>
      <c r="W194" s="152"/>
      <c r="X194" s="152"/>
      <c r="Y194" s="152"/>
      <c r="Z194" s="152"/>
      <c r="AA194" s="150"/>
      <c r="AB194" s="150"/>
      <c r="AC194" s="150"/>
      <c r="AD194" s="150"/>
      <c r="AJ194"/>
      <c r="AK194"/>
      <c r="AL194"/>
      <c r="AM194"/>
      <c r="AN194"/>
      <c r="AO194"/>
      <c r="AP194"/>
      <c r="AQ194"/>
      <c r="AR194"/>
      <c r="AS194"/>
      <c r="AT194" s="284" t="s">
        <v>468</v>
      </c>
      <c r="AU194"/>
      <c r="AV194"/>
      <c r="AW194"/>
      <c r="AX194"/>
      <c r="AY194"/>
      <c r="AZ194"/>
      <c r="BA194"/>
      <c r="BB194"/>
      <c r="BC194"/>
      <c r="BD194"/>
      <c r="BE194"/>
      <c r="BF194"/>
      <c r="BH194" s="284" t="s">
        <v>433</v>
      </c>
      <c r="BI194"/>
      <c r="BT194" s="284" t="s">
        <v>479</v>
      </c>
    </row>
    <row r="195" spans="7:72" ht="15" hidden="1" x14ac:dyDescent="0.25">
      <c r="G195" s="150"/>
      <c r="H195" s="150"/>
      <c r="I195" s="150"/>
      <c r="J195" s="152"/>
      <c r="K195" s="152"/>
      <c r="L195" s="152"/>
      <c r="M195" s="155" t="s">
        <v>127</v>
      </c>
      <c r="N195" s="483">
        <f>VLOOKUP(M195,'Справочники и промежут.расчет'!$B$25:$C$107,2,0)</f>
        <v>11983</v>
      </c>
      <c r="O195" s="152"/>
      <c r="P195" s="155" t="s">
        <v>524</v>
      </c>
      <c r="Q195" s="153"/>
      <c r="R195" s="152"/>
      <c r="S195" s="152"/>
      <c r="T195" s="152"/>
      <c r="U195" s="152"/>
      <c r="V195" s="157"/>
      <c r="W195" s="152"/>
      <c r="X195" s="152"/>
      <c r="Y195" s="152"/>
      <c r="Z195" s="152"/>
      <c r="AA195" s="150"/>
      <c r="AB195" s="150"/>
      <c r="AC195" s="150"/>
      <c r="AD195" s="150"/>
      <c r="AJ195"/>
      <c r="AK195"/>
      <c r="AL195"/>
      <c r="AM195"/>
      <c r="AN195"/>
      <c r="AO195"/>
      <c r="AP195"/>
      <c r="AQ195"/>
      <c r="AR195"/>
      <c r="AS195"/>
      <c r="AT195" s="284" t="s">
        <v>445</v>
      </c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7:72" ht="15" hidden="1" x14ac:dyDescent="0.25">
      <c r="G196" s="150"/>
      <c r="H196" s="150"/>
      <c r="I196" s="150"/>
      <c r="J196" s="152"/>
      <c r="K196" s="152"/>
      <c r="L196" s="152"/>
      <c r="M196" s="155" t="s">
        <v>128</v>
      </c>
      <c r="N196" s="483">
        <f>VLOOKUP(M196,'Справочники и промежут.расчет'!$B$25:$C$107,2,0)</f>
        <v>13807</v>
      </c>
      <c r="O196" s="152"/>
      <c r="P196" s="155" t="s">
        <v>525</v>
      </c>
      <c r="Q196" s="153"/>
      <c r="R196" s="152"/>
      <c r="S196" s="152"/>
      <c r="T196" s="152"/>
      <c r="U196" s="152"/>
      <c r="V196" s="157"/>
      <c r="W196" s="152"/>
      <c r="X196" s="152"/>
      <c r="Y196" s="152"/>
      <c r="Z196" s="152"/>
      <c r="AA196" s="150"/>
      <c r="AB196" s="150"/>
      <c r="AC196" s="150"/>
      <c r="AD196" s="150"/>
      <c r="AJ196"/>
      <c r="AK196"/>
      <c r="AL196"/>
      <c r="AM196"/>
      <c r="AN196"/>
      <c r="AO196"/>
      <c r="AP196"/>
      <c r="AQ196"/>
      <c r="AR196"/>
      <c r="AS196"/>
      <c r="AT196" s="284" t="s">
        <v>450</v>
      </c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7:72" ht="15" hidden="1" x14ac:dyDescent="0.25">
      <c r="G197" s="150"/>
      <c r="H197" s="150"/>
      <c r="I197" s="150"/>
      <c r="J197" s="152"/>
      <c r="K197" s="152"/>
      <c r="L197" s="152"/>
      <c r="M197" s="155" t="s">
        <v>129</v>
      </c>
      <c r="N197" s="483">
        <f>VLOOKUP(M197,'Справочники и промежут.расчет'!$B$25:$C$107,2,0)</f>
        <v>14050</v>
      </c>
      <c r="O197" s="152"/>
      <c r="P197" s="155" t="s">
        <v>589</v>
      </c>
      <c r="Q197" s="153"/>
      <c r="R197" s="152"/>
      <c r="S197" s="152"/>
      <c r="T197" s="152"/>
      <c r="U197" s="152"/>
      <c r="V197" s="157"/>
      <c r="W197" s="152"/>
      <c r="X197" s="152"/>
      <c r="Y197" s="152"/>
      <c r="Z197" s="152"/>
      <c r="AA197" s="150"/>
      <c r="AB197" s="150"/>
      <c r="AC197" s="150"/>
      <c r="AD197" s="150"/>
      <c r="AJ197"/>
      <c r="AK197"/>
      <c r="AL197"/>
      <c r="AM197"/>
      <c r="AN197"/>
      <c r="AO197"/>
      <c r="AP197"/>
      <c r="AQ197"/>
      <c r="AR197"/>
      <c r="AS197"/>
      <c r="AT197" s="284" t="s">
        <v>453</v>
      </c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7:72" ht="15" hidden="1" x14ac:dyDescent="0.25">
      <c r="G198" s="150"/>
      <c r="H198" s="150"/>
      <c r="I198" s="150"/>
      <c r="J198" s="152"/>
      <c r="K198" s="152"/>
      <c r="L198" s="152" t="b">
        <v>1</v>
      </c>
      <c r="M198" s="155" t="s">
        <v>130</v>
      </c>
      <c r="N198" s="483">
        <f>VLOOKUP(M198,'Справочники и промежут.расчет'!$B$25:$C$107,2,0)</f>
        <v>13482</v>
      </c>
      <c r="O198" s="152"/>
      <c r="P198" s="155" t="s">
        <v>526</v>
      </c>
      <c r="Q198" s="153"/>
      <c r="R198" s="152"/>
      <c r="S198" s="152"/>
      <c r="T198" s="152"/>
      <c r="U198" s="152"/>
      <c r="V198" s="157"/>
      <c r="W198" s="152"/>
      <c r="X198" s="152"/>
      <c r="Y198" s="152"/>
      <c r="Z198" s="152"/>
      <c r="AA198" s="150"/>
      <c r="AB198" s="150"/>
      <c r="AC198" s="150"/>
      <c r="AD198" s="150"/>
      <c r="AT198" s="284" t="s">
        <v>455</v>
      </c>
    </row>
    <row r="199" spans="7:72" ht="15" hidden="1" x14ac:dyDescent="0.25">
      <c r="G199" s="150"/>
      <c r="H199" s="150"/>
      <c r="I199" s="150"/>
      <c r="J199" s="152"/>
      <c r="K199" s="152"/>
      <c r="L199" s="152" t="b">
        <v>0</v>
      </c>
      <c r="M199" s="155" t="s">
        <v>131</v>
      </c>
      <c r="N199" s="483">
        <f>VLOOKUP(M199,'Справочники и промежут.расчет'!$B$25:$C$107,2,0)</f>
        <v>12980</v>
      </c>
      <c r="O199" s="152"/>
      <c r="P199" s="155" t="s">
        <v>527</v>
      </c>
      <c r="Q199" s="153"/>
      <c r="R199" s="152"/>
      <c r="S199" s="152"/>
      <c r="T199" s="152"/>
      <c r="U199" s="152"/>
      <c r="V199" s="157"/>
      <c r="W199" s="152"/>
      <c r="X199" s="152"/>
      <c r="Y199" s="152"/>
      <c r="Z199" s="152"/>
      <c r="AA199" s="150"/>
      <c r="AB199" s="150"/>
      <c r="AC199" s="150"/>
      <c r="AD199" s="150"/>
      <c r="AT199" s="284" t="s">
        <v>464</v>
      </c>
    </row>
    <row r="200" spans="7:72" ht="15" hidden="1" x14ac:dyDescent="0.25">
      <c r="G200" s="150"/>
      <c r="H200" s="150"/>
      <c r="I200" s="150"/>
      <c r="J200" s="152"/>
      <c r="K200" s="152"/>
      <c r="L200" s="152"/>
      <c r="M200" s="155" t="s">
        <v>132</v>
      </c>
      <c r="N200" s="483">
        <f>VLOOKUP(M200,'Справочники и промежут.расчет'!$B$25:$C$107,2,0)</f>
        <v>24709</v>
      </c>
      <c r="O200" s="152"/>
      <c r="P200" s="155" t="s">
        <v>528</v>
      </c>
      <c r="Q200" s="153"/>
      <c r="R200" s="152"/>
      <c r="S200" s="152"/>
      <c r="T200" s="152"/>
      <c r="U200" s="152"/>
      <c r="V200" s="157"/>
      <c r="W200" s="152"/>
      <c r="X200" s="152"/>
      <c r="Y200" s="152"/>
      <c r="Z200" s="152"/>
      <c r="AA200" s="150"/>
      <c r="AB200" s="150"/>
      <c r="AC200" s="150"/>
      <c r="AD200" s="150"/>
      <c r="AT200" s="284" t="s">
        <v>458</v>
      </c>
    </row>
    <row r="201" spans="7:72" ht="15" hidden="1" x14ac:dyDescent="0.25">
      <c r="G201" s="150"/>
      <c r="H201" s="150"/>
      <c r="I201" s="150"/>
      <c r="J201" s="152"/>
      <c r="K201" s="152"/>
      <c r="L201" s="152"/>
      <c r="M201" s="155" t="s">
        <v>133</v>
      </c>
      <c r="N201" s="483">
        <f>VLOOKUP(M201,'Справочники и промежут.расчет'!$B$25:$C$107,2,0)</f>
        <v>11854</v>
      </c>
      <c r="O201" s="152"/>
      <c r="P201" s="155" t="s">
        <v>590</v>
      </c>
      <c r="Q201" s="153"/>
      <c r="R201" s="152"/>
      <c r="S201" s="152"/>
      <c r="T201" s="152"/>
      <c r="U201" s="152"/>
      <c r="V201" s="157"/>
      <c r="W201" s="152"/>
      <c r="X201" s="152"/>
      <c r="Y201" s="152"/>
      <c r="Z201" s="152"/>
      <c r="AA201" s="150"/>
      <c r="AB201" s="150"/>
      <c r="AC201" s="150"/>
      <c r="AD201" s="150"/>
      <c r="AT201" s="284" t="s">
        <v>456</v>
      </c>
    </row>
    <row r="202" spans="7:72" ht="15" hidden="1" x14ac:dyDescent="0.25">
      <c r="G202" s="150"/>
      <c r="H202" s="150"/>
      <c r="I202" s="150"/>
      <c r="J202" s="152"/>
      <c r="K202" s="152"/>
      <c r="L202" s="152"/>
      <c r="M202" s="155" t="s">
        <v>134</v>
      </c>
      <c r="N202" s="483">
        <f>VLOOKUP(M202,'Справочники и промежут.расчет'!$B$25:$C$107,2,0)</f>
        <v>11985</v>
      </c>
      <c r="O202" s="152"/>
      <c r="P202" s="155" t="s">
        <v>529</v>
      </c>
      <c r="Q202" s="153"/>
      <c r="R202" s="152"/>
      <c r="S202" s="152"/>
      <c r="T202" s="152"/>
      <c r="U202" s="152"/>
      <c r="V202" s="157"/>
      <c r="W202" s="152"/>
      <c r="X202" s="152"/>
      <c r="Y202" s="152"/>
      <c r="Z202" s="152"/>
      <c r="AA202" s="150"/>
      <c r="AB202" s="150"/>
      <c r="AC202" s="150"/>
      <c r="AD202" s="150"/>
      <c r="AT202" s="284" t="s">
        <v>462</v>
      </c>
    </row>
    <row r="203" spans="7:72" ht="15" hidden="1" x14ac:dyDescent="0.25">
      <c r="G203" s="150"/>
      <c r="H203" s="150"/>
      <c r="I203" s="150"/>
      <c r="J203" s="152"/>
      <c r="K203" s="152"/>
      <c r="L203" s="152"/>
      <c r="M203" s="155" t="s">
        <v>135</v>
      </c>
      <c r="N203" s="483">
        <f>VLOOKUP(M203,'Справочники и промежут.расчет'!$B$25:$C$107,2,0)</f>
        <v>12176</v>
      </c>
      <c r="O203" s="152"/>
      <c r="P203" s="155" t="s">
        <v>530</v>
      </c>
      <c r="Q203" s="153"/>
      <c r="R203" s="152"/>
      <c r="S203" s="152"/>
      <c r="T203" s="152"/>
      <c r="U203" s="152"/>
      <c r="V203" s="157"/>
      <c r="W203" s="152"/>
      <c r="X203" s="152"/>
      <c r="Y203" s="152"/>
      <c r="Z203" s="152"/>
      <c r="AA203" s="150"/>
      <c r="AB203" s="150"/>
      <c r="AC203" s="150"/>
      <c r="AD203" s="150"/>
      <c r="AT203" s="284" t="s">
        <v>469</v>
      </c>
    </row>
    <row r="204" spans="7:72" ht="15" hidden="1" x14ac:dyDescent="0.25">
      <c r="G204" s="150"/>
      <c r="H204" s="150"/>
      <c r="I204" s="150"/>
      <c r="J204" s="152"/>
      <c r="K204" s="152"/>
      <c r="L204" s="152"/>
      <c r="M204" s="155" t="s">
        <v>136</v>
      </c>
      <c r="N204" s="483">
        <f>VLOOKUP(M204,'Справочники и промежут.расчет'!$B$25:$C$107,2,0)</f>
        <v>12571</v>
      </c>
      <c r="O204" s="152"/>
      <c r="P204" s="155" t="s">
        <v>531</v>
      </c>
      <c r="Q204" s="153"/>
      <c r="R204" s="152"/>
      <c r="S204" s="152"/>
      <c r="T204" s="152"/>
      <c r="U204" s="152"/>
      <c r="V204" s="157"/>
      <c r="W204" s="152"/>
      <c r="X204" s="152"/>
      <c r="Y204" s="152"/>
      <c r="Z204" s="152"/>
      <c r="AA204" s="150"/>
      <c r="AB204" s="150"/>
      <c r="AC204" s="150"/>
      <c r="AD204" s="150"/>
      <c r="AT204" s="284" t="s">
        <v>457</v>
      </c>
    </row>
    <row r="205" spans="7:72" ht="15" hidden="1" x14ac:dyDescent="0.25">
      <c r="G205" s="150"/>
      <c r="H205" s="150"/>
      <c r="I205" s="150"/>
      <c r="J205" s="152"/>
      <c r="K205" s="152"/>
      <c r="L205" s="152"/>
      <c r="M205" s="155" t="s">
        <v>137</v>
      </c>
      <c r="N205" s="483">
        <f>VLOOKUP(M205,'Справочники и промежут.расчет'!$B$25:$C$107,2,0)</f>
        <v>12733</v>
      </c>
      <c r="O205" s="152"/>
      <c r="P205" s="155" t="s">
        <v>532</v>
      </c>
      <c r="Q205" s="153"/>
      <c r="R205" s="152"/>
      <c r="S205" s="152"/>
      <c r="T205" s="152"/>
      <c r="U205" s="152"/>
      <c r="V205" s="157"/>
      <c r="W205" s="152"/>
      <c r="X205" s="152"/>
      <c r="Y205" s="152"/>
      <c r="Z205" s="152"/>
      <c r="AA205" s="150"/>
      <c r="AB205" s="150"/>
      <c r="AC205" s="150"/>
      <c r="AD205" s="150"/>
      <c r="AT205" s="284" t="s">
        <v>447</v>
      </c>
    </row>
    <row r="206" spans="7:72" ht="15" hidden="1" x14ac:dyDescent="0.25">
      <c r="G206" s="150"/>
      <c r="H206" s="150"/>
      <c r="I206" s="150"/>
      <c r="J206" s="152"/>
      <c r="K206" s="152"/>
      <c r="L206" s="152"/>
      <c r="M206" s="155" t="s">
        <v>138</v>
      </c>
      <c r="N206" s="483">
        <f>VLOOKUP(M206,'Справочники и промежут.расчет'!$B$25:$C$107,2,0)</f>
        <v>14981</v>
      </c>
      <c r="O206" s="152"/>
      <c r="P206" s="155" t="s">
        <v>533</v>
      </c>
      <c r="Q206" s="153"/>
      <c r="R206" s="152"/>
      <c r="S206" s="152"/>
      <c r="T206" s="152"/>
      <c r="U206" s="152"/>
      <c r="V206" s="157"/>
      <c r="W206" s="152"/>
      <c r="X206" s="152"/>
      <c r="Y206" s="152"/>
      <c r="Z206" s="152"/>
      <c r="AA206" s="150"/>
      <c r="AB206" s="150"/>
      <c r="AC206" s="150"/>
      <c r="AD206" s="150"/>
      <c r="AT206" s="284" t="s">
        <v>448</v>
      </c>
    </row>
    <row r="207" spans="7:72" ht="15" hidden="1" x14ac:dyDescent="0.25">
      <c r="G207" s="150"/>
      <c r="H207" s="150"/>
      <c r="I207" s="150"/>
      <c r="J207" s="152"/>
      <c r="K207" s="152"/>
      <c r="L207" s="152"/>
      <c r="M207" s="155" t="s">
        <v>139</v>
      </c>
      <c r="N207" s="483">
        <f>VLOOKUP(M207,'Справочники и промежут.расчет'!$B$25:$C$107,2,0)</f>
        <v>12244</v>
      </c>
      <c r="O207" s="152"/>
      <c r="P207" s="155" t="s">
        <v>534</v>
      </c>
      <c r="Q207" s="153"/>
      <c r="R207" s="152"/>
      <c r="S207" s="152"/>
      <c r="T207" s="152"/>
      <c r="U207" s="152"/>
      <c r="V207" s="157"/>
      <c r="W207" s="152"/>
      <c r="X207" s="152"/>
      <c r="Y207" s="152"/>
      <c r="Z207" s="152"/>
      <c r="AA207" s="150"/>
      <c r="AB207" s="150"/>
      <c r="AC207" s="150"/>
      <c r="AD207" s="150"/>
      <c r="AT207" s="284" t="s">
        <v>466</v>
      </c>
    </row>
    <row r="208" spans="7:72" ht="15" hidden="1" x14ac:dyDescent="0.25">
      <c r="G208" s="150"/>
      <c r="H208" s="150"/>
      <c r="I208" s="150"/>
      <c r="J208" s="152"/>
      <c r="K208" s="152"/>
      <c r="L208" s="152"/>
      <c r="M208" s="155" t="s">
        <v>140</v>
      </c>
      <c r="N208" s="483">
        <f>VLOOKUP(M208,'Справочники и промежут.расчет'!$B$25:$C$107,2,0)</f>
        <v>11685</v>
      </c>
      <c r="O208" s="152"/>
      <c r="P208" s="155" t="s">
        <v>535</v>
      </c>
      <c r="Q208" s="153"/>
      <c r="R208" s="152"/>
      <c r="S208" s="152"/>
      <c r="T208" s="152"/>
      <c r="U208" s="152"/>
      <c r="V208" s="157"/>
      <c r="W208" s="152"/>
      <c r="X208" s="152"/>
      <c r="Y208" s="152"/>
      <c r="Z208" s="152"/>
      <c r="AA208" s="150"/>
      <c r="AB208" s="150"/>
      <c r="AC208" s="150"/>
      <c r="AD208" s="150"/>
      <c r="AT208" s="284" t="s">
        <v>452</v>
      </c>
    </row>
    <row r="209" spans="7:46" ht="15" hidden="1" x14ac:dyDescent="0.25">
      <c r="G209" s="150"/>
      <c r="H209" s="150"/>
      <c r="I209" s="150"/>
      <c r="J209" s="152"/>
      <c r="K209" s="152"/>
      <c r="L209" s="152"/>
      <c r="M209" s="155" t="s">
        <v>141</v>
      </c>
      <c r="N209" s="483">
        <f>VLOOKUP(M209,'Справочники и промежут.расчет'!$B$25:$C$107,2,0)</f>
        <v>13156</v>
      </c>
      <c r="O209" s="152"/>
      <c r="P209" s="155" t="s">
        <v>536</v>
      </c>
      <c r="Q209" s="153"/>
      <c r="R209" s="152"/>
      <c r="S209" s="152"/>
      <c r="T209" s="152"/>
      <c r="U209" s="152"/>
      <c r="V209" s="157"/>
      <c r="W209" s="152"/>
      <c r="X209" s="152"/>
      <c r="Y209" s="152"/>
      <c r="Z209" s="152"/>
      <c r="AA209" s="150"/>
      <c r="AB209" s="150"/>
      <c r="AC209" s="150"/>
      <c r="AD209" s="150"/>
      <c r="AT209" s="284" t="s">
        <v>470</v>
      </c>
    </row>
    <row r="210" spans="7:46" ht="15" hidden="1" x14ac:dyDescent="0.25">
      <c r="G210" s="150"/>
      <c r="H210" s="150"/>
      <c r="I210" s="150"/>
      <c r="J210" s="152"/>
      <c r="K210" s="152"/>
      <c r="L210" s="152"/>
      <c r="M210" s="155" t="s">
        <v>142</v>
      </c>
      <c r="N210" s="483">
        <f>VLOOKUP(M210,'Справочники и промежут.расчет'!$B$25:$C$107,2,0)</f>
        <v>11307</v>
      </c>
      <c r="O210" s="152"/>
      <c r="P210" s="155" t="s">
        <v>537</v>
      </c>
      <c r="Q210" s="153"/>
      <c r="R210" s="152"/>
      <c r="S210" s="152"/>
      <c r="T210" s="152"/>
      <c r="U210" s="152"/>
      <c r="V210" s="157"/>
      <c r="W210" s="152"/>
      <c r="X210" s="152"/>
      <c r="Y210" s="152"/>
      <c r="Z210" s="152"/>
      <c r="AA210" s="150"/>
      <c r="AB210" s="150"/>
      <c r="AC210" s="150"/>
      <c r="AD210" s="150"/>
      <c r="AT210" s="284" t="s">
        <v>460</v>
      </c>
    </row>
    <row r="211" spans="7:46" ht="15" hidden="1" x14ac:dyDescent="0.25">
      <c r="G211" s="150"/>
      <c r="H211" s="150"/>
      <c r="I211" s="150"/>
      <c r="J211" s="152"/>
      <c r="K211" s="152"/>
      <c r="L211" s="152"/>
      <c r="M211" s="155" t="s">
        <v>143</v>
      </c>
      <c r="N211" s="483">
        <f>VLOOKUP(M211,'Справочники и промежут.расчет'!$B$25:$C$107,2,0)</f>
        <v>23921</v>
      </c>
      <c r="O211" s="152"/>
      <c r="P211" s="155" t="s">
        <v>538</v>
      </c>
      <c r="Q211" s="153"/>
      <c r="R211" s="152"/>
      <c r="S211" s="152"/>
      <c r="T211" s="152"/>
      <c r="U211" s="152"/>
      <c r="V211" s="157"/>
      <c r="W211" s="152"/>
      <c r="X211" s="152"/>
      <c r="Y211" s="152"/>
      <c r="Z211" s="152"/>
      <c r="AA211" s="150"/>
      <c r="AB211" s="150"/>
      <c r="AC211" s="150"/>
      <c r="AD211" s="150"/>
      <c r="AT211" s="284" t="s">
        <v>459</v>
      </c>
    </row>
    <row r="212" spans="7:46" ht="15" hidden="1" x14ac:dyDescent="0.25">
      <c r="G212" s="150"/>
      <c r="H212" s="150"/>
      <c r="I212" s="150"/>
      <c r="J212" s="152"/>
      <c r="K212" s="152"/>
      <c r="L212" s="152"/>
      <c r="M212" s="155" t="s">
        <v>144</v>
      </c>
      <c r="N212" s="483">
        <f>VLOOKUP(M212,'Справочники и промежут.расчет'!$B$25:$C$107,2,0)</f>
        <v>15394</v>
      </c>
      <c r="O212" s="152"/>
      <c r="P212" s="155" t="s">
        <v>539</v>
      </c>
      <c r="Q212" s="153"/>
      <c r="R212" s="152"/>
      <c r="S212" s="152"/>
      <c r="T212" s="152"/>
      <c r="U212" s="152"/>
      <c r="V212" s="157"/>
      <c r="W212" s="152"/>
      <c r="X212" s="152"/>
      <c r="Y212" s="152"/>
      <c r="Z212" s="152"/>
      <c r="AA212" s="150"/>
      <c r="AB212" s="150"/>
      <c r="AC212" s="150"/>
      <c r="AD212" s="150"/>
      <c r="AT212" s="284" t="s">
        <v>461</v>
      </c>
    </row>
    <row r="213" spans="7:46" ht="15" hidden="1" x14ac:dyDescent="0.2">
      <c r="G213" s="150"/>
      <c r="H213" s="150"/>
      <c r="I213" s="150"/>
      <c r="J213" s="152"/>
      <c r="K213" s="152"/>
      <c r="L213" s="152"/>
      <c r="M213" s="155" t="s">
        <v>145</v>
      </c>
      <c r="N213" s="483">
        <f>VLOOKUP(M213,'Справочники и промежут.расчет'!$B$25:$C$107,2,0)</f>
        <v>21113</v>
      </c>
      <c r="O213" s="152"/>
      <c r="P213" s="155" t="s">
        <v>540</v>
      </c>
      <c r="Q213" s="153"/>
      <c r="R213" s="152"/>
      <c r="S213" s="152"/>
      <c r="T213" s="152"/>
      <c r="U213" s="152"/>
      <c r="V213" s="157"/>
      <c r="W213" s="152"/>
      <c r="X213" s="152"/>
      <c r="Y213" s="152"/>
      <c r="Z213" s="152"/>
      <c r="AA213" s="150"/>
      <c r="AB213" s="150"/>
      <c r="AC213" s="150"/>
      <c r="AD213" s="150"/>
    </row>
    <row r="214" spans="7:46" ht="15" hidden="1" x14ac:dyDescent="0.2">
      <c r="G214" s="150"/>
      <c r="H214" s="150"/>
      <c r="I214" s="150"/>
      <c r="J214" s="152"/>
      <c r="K214" s="152"/>
      <c r="L214" s="152"/>
      <c r="M214" s="155" t="s">
        <v>146</v>
      </c>
      <c r="N214" s="483">
        <f>VLOOKUP(M214,'Справочники и промежут.расчет'!$B$25:$C$107,2,0)</f>
        <v>25188</v>
      </c>
      <c r="O214" s="152"/>
      <c r="P214" s="155" t="s">
        <v>541</v>
      </c>
      <c r="Q214" s="153"/>
      <c r="R214" s="152"/>
      <c r="S214" s="152"/>
      <c r="T214" s="152"/>
      <c r="U214" s="152"/>
      <c r="V214" s="157"/>
      <c r="W214" s="152"/>
      <c r="X214" s="152"/>
      <c r="Y214" s="152"/>
      <c r="Z214" s="152"/>
      <c r="AA214" s="150"/>
      <c r="AB214" s="150"/>
      <c r="AC214" s="150"/>
      <c r="AD214" s="150"/>
    </row>
    <row r="215" spans="7:46" ht="15" hidden="1" x14ac:dyDescent="0.2">
      <c r="G215" s="150"/>
      <c r="H215" s="150"/>
      <c r="I215" s="150"/>
      <c r="J215" s="152"/>
      <c r="K215" s="152"/>
      <c r="L215" s="152"/>
      <c r="M215" s="155" t="s">
        <v>147</v>
      </c>
      <c r="N215" s="483">
        <f>VLOOKUP(M215,'Справочники и промежут.расчет'!$B$25:$C$107,2,0)</f>
        <v>12244</v>
      </c>
      <c r="O215" s="152"/>
      <c r="P215" s="155" t="s">
        <v>542</v>
      </c>
      <c r="Q215" s="153"/>
      <c r="R215" s="152"/>
      <c r="S215" s="152"/>
      <c r="T215" s="152"/>
      <c r="U215" s="152"/>
      <c r="V215" s="157"/>
      <c r="W215" s="152"/>
      <c r="X215" s="152"/>
      <c r="Y215" s="152"/>
      <c r="Z215" s="152"/>
      <c r="AA215" s="150"/>
      <c r="AB215" s="150"/>
      <c r="AC215" s="150"/>
      <c r="AD215" s="150"/>
    </row>
    <row r="216" spans="7:46" ht="15" hidden="1" x14ac:dyDescent="0.2">
      <c r="G216" s="150"/>
      <c r="H216" s="150"/>
      <c r="I216" s="150"/>
      <c r="J216" s="152"/>
      <c r="K216" s="152"/>
      <c r="L216" s="152"/>
      <c r="M216" s="155" t="s">
        <v>148</v>
      </c>
      <c r="N216" s="483">
        <f>VLOOKUP(M216,'Справочники и промежут.расчет'!$B$25:$C$107,2,0)</f>
        <v>12765</v>
      </c>
      <c r="O216" s="152"/>
      <c r="P216" s="155" t="s">
        <v>543</v>
      </c>
      <c r="Q216" s="153"/>
      <c r="R216" s="152"/>
      <c r="S216" s="152"/>
      <c r="T216" s="152"/>
      <c r="U216" s="152"/>
      <c r="V216" s="157"/>
      <c r="W216" s="152"/>
      <c r="X216" s="152"/>
      <c r="Y216" s="152"/>
      <c r="Z216" s="152"/>
      <c r="AA216" s="150"/>
      <c r="AB216" s="150"/>
      <c r="AC216" s="150"/>
      <c r="AD216" s="150"/>
    </row>
    <row r="217" spans="7:46" ht="15" hidden="1" x14ac:dyDescent="0.2">
      <c r="G217" s="150"/>
      <c r="H217" s="150"/>
      <c r="I217" s="150"/>
      <c r="J217" s="152"/>
      <c r="K217" s="152"/>
      <c r="L217" s="152"/>
      <c r="M217" s="155" t="s">
        <v>149</v>
      </c>
      <c r="N217" s="483">
        <f>VLOOKUP(M217,'Справочники и промежут.расчет'!$B$25:$C$107,2,0)</f>
        <v>13925</v>
      </c>
      <c r="O217" s="152"/>
      <c r="P217" s="155" t="s">
        <v>544</v>
      </c>
      <c r="Q217" s="153"/>
      <c r="R217" s="152"/>
      <c r="S217" s="152"/>
      <c r="T217" s="152"/>
      <c r="U217" s="152"/>
      <c r="V217" s="157"/>
      <c r="W217" s="152"/>
      <c r="X217" s="152"/>
      <c r="Y217" s="152"/>
      <c r="Z217" s="152"/>
      <c r="AA217" s="150"/>
      <c r="AB217" s="150"/>
      <c r="AC217" s="150"/>
      <c r="AD217" s="150"/>
    </row>
    <row r="218" spans="7:46" ht="15" hidden="1" x14ac:dyDescent="0.2">
      <c r="G218" s="150"/>
      <c r="H218" s="150"/>
      <c r="I218" s="150"/>
      <c r="J218" s="152"/>
      <c r="K218" s="152"/>
      <c r="L218" s="152"/>
      <c r="M218" s="155" t="s">
        <v>150</v>
      </c>
      <c r="N218" s="483">
        <f>VLOOKUP(M218,'Справочники и промежут.расчет'!$B$25:$C$107,2,0)</f>
        <v>11940</v>
      </c>
      <c r="O218" s="152"/>
      <c r="P218" s="155" t="s">
        <v>545</v>
      </c>
      <c r="Q218" s="153"/>
      <c r="R218" s="152"/>
      <c r="S218" s="152"/>
      <c r="T218" s="152"/>
      <c r="U218" s="152"/>
      <c r="V218" s="157"/>
      <c r="W218" s="152"/>
      <c r="X218" s="152"/>
      <c r="Y218" s="152"/>
      <c r="Z218" s="152"/>
      <c r="AA218" s="150"/>
      <c r="AB218" s="150"/>
      <c r="AC218" s="150"/>
      <c r="AD218" s="150"/>
    </row>
    <row r="219" spans="7:46" ht="15" hidden="1" x14ac:dyDescent="0.2">
      <c r="G219" s="150"/>
      <c r="H219" s="150"/>
      <c r="I219" s="150"/>
      <c r="J219" s="152"/>
      <c r="K219" s="152"/>
      <c r="L219" s="152"/>
      <c r="M219" s="155" t="s">
        <v>151</v>
      </c>
      <c r="N219" s="483">
        <f>VLOOKUP(M219,'Справочники и промежут.расчет'!$B$25:$C$107,2,0)</f>
        <v>11333</v>
      </c>
      <c r="O219" s="152"/>
      <c r="P219" s="155" t="s">
        <v>546</v>
      </c>
      <c r="Q219" s="153"/>
      <c r="R219" s="152"/>
      <c r="S219" s="152"/>
      <c r="T219" s="152"/>
      <c r="U219" s="152"/>
      <c r="V219" s="157"/>
      <c r="W219" s="152"/>
      <c r="X219" s="152"/>
      <c r="Y219" s="152"/>
      <c r="Z219" s="152"/>
      <c r="AA219" s="150"/>
      <c r="AB219" s="150"/>
      <c r="AC219" s="150"/>
      <c r="AD219" s="150"/>
    </row>
    <row r="220" spans="7:46" ht="15" hidden="1" x14ac:dyDescent="0.2">
      <c r="G220" s="150"/>
      <c r="H220" s="150"/>
      <c r="I220" s="150"/>
      <c r="J220" s="152"/>
      <c r="K220" s="152"/>
      <c r="L220" s="152"/>
      <c r="M220" s="155" t="s">
        <v>152</v>
      </c>
      <c r="N220" s="483">
        <f>VLOOKUP(M220,'Справочники и промежут.расчет'!$B$25:$C$107,2,0)</f>
        <v>12114</v>
      </c>
      <c r="O220" s="152"/>
      <c r="P220" s="155" t="s">
        <v>547</v>
      </c>
      <c r="Q220" s="153"/>
      <c r="R220" s="152"/>
      <c r="S220" s="152"/>
      <c r="T220" s="152"/>
      <c r="U220" s="152"/>
      <c r="V220" s="157"/>
      <c r="W220" s="152"/>
      <c r="X220" s="152"/>
      <c r="Y220" s="152"/>
      <c r="Z220" s="152"/>
      <c r="AA220" s="150"/>
      <c r="AB220" s="150"/>
      <c r="AC220" s="150"/>
      <c r="AD220" s="150"/>
    </row>
    <row r="221" spans="7:46" ht="15" hidden="1" x14ac:dyDescent="0.2">
      <c r="G221" s="150"/>
      <c r="H221" s="150"/>
      <c r="I221" s="150"/>
      <c r="J221" s="152"/>
      <c r="K221" s="152"/>
      <c r="L221" s="152"/>
      <c r="M221" s="155" t="s">
        <v>153</v>
      </c>
      <c r="N221" s="483">
        <f>VLOOKUP(M221,'Справочники и промежут.расчет'!$B$25:$C$107,2,0)</f>
        <v>10941</v>
      </c>
      <c r="O221" s="152"/>
      <c r="P221" s="155" t="s">
        <v>548</v>
      </c>
      <c r="Q221" s="153"/>
      <c r="R221" s="152"/>
      <c r="S221" s="152"/>
      <c r="T221" s="152"/>
      <c r="U221" s="152"/>
      <c r="V221" s="157"/>
      <c r="W221" s="152"/>
      <c r="X221" s="152"/>
      <c r="Y221" s="152"/>
      <c r="Z221" s="152"/>
      <c r="AA221" s="150"/>
      <c r="AB221" s="150"/>
      <c r="AC221" s="150"/>
      <c r="AD221" s="150"/>
    </row>
    <row r="222" spans="7:46" ht="15" hidden="1" x14ac:dyDescent="0.2">
      <c r="G222" s="150"/>
      <c r="H222" s="150"/>
      <c r="I222" s="150"/>
      <c r="J222" s="152"/>
      <c r="K222" s="152"/>
      <c r="L222" s="152"/>
      <c r="M222" s="155" t="s">
        <v>154</v>
      </c>
      <c r="N222" s="483">
        <f>VLOOKUP(M222,'Справочники и промежут.расчет'!$B$25:$C$107,2,0)</f>
        <v>12122</v>
      </c>
      <c r="O222" s="152"/>
      <c r="P222" s="155" t="s">
        <v>549</v>
      </c>
      <c r="Q222" s="153"/>
      <c r="R222" s="152"/>
      <c r="S222" s="152"/>
      <c r="T222" s="152"/>
      <c r="U222" s="152"/>
      <c r="V222" s="157"/>
      <c r="W222" s="152"/>
      <c r="X222" s="152"/>
      <c r="Y222" s="152"/>
      <c r="Z222" s="152"/>
      <c r="AA222" s="150"/>
      <c r="AB222" s="150"/>
      <c r="AC222" s="150"/>
      <c r="AD222" s="150"/>
    </row>
    <row r="223" spans="7:46" ht="15" hidden="1" x14ac:dyDescent="0.2">
      <c r="G223" s="150"/>
      <c r="H223" s="150"/>
      <c r="I223" s="150"/>
      <c r="J223" s="152"/>
      <c r="K223" s="152"/>
      <c r="L223" s="152"/>
      <c r="M223" s="155" t="s">
        <v>155</v>
      </c>
      <c r="N223" s="483">
        <f>VLOOKUP(M223,'Справочники и промежут.расчет'!$B$25:$C$107,2,0)</f>
        <v>15600</v>
      </c>
      <c r="O223" s="152"/>
      <c r="P223" s="155" t="s">
        <v>550</v>
      </c>
      <c r="Q223" s="153"/>
      <c r="R223" s="152"/>
      <c r="S223" s="152"/>
      <c r="T223" s="152"/>
      <c r="U223" s="152"/>
      <c r="V223" s="157"/>
      <c r="W223" s="152"/>
      <c r="X223" s="152"/>
      <c r="Y223" s="152"/>
      <c r="Z223" s="152"/>
      <c r="AA223" s="150"/>
      <c r="AB223" s="150"/>
      <c r="AC223" s="150"/>
      <c r="AD223" s="150"/>
    </row>
    <row r="224" spans="7:46" ht="15" hidden="1" x14ac:dyDescent="0.2">
      <c r="G224" s="150"/>
      <c r="H224" s="150"/>
      <c r="I224" s="150"/>
      <c r="J224" s="152"/>
      <c r="K224" s="152"/>
      <c r="L224" s="152"/>
      <c r="M224" s="155" t="s">
        <v>156</v>
      </c>
      <c r="N224" s="483">
        <f>VLOOKUP(M224,'Справочники и промежут.расчет'!$B$25:$C$107,2,0)</f>
        <v>13384</v>
      </c>
      <c r="O224" s="152"/>
      <c r="P224" s="155" t="s">
        <v>551</v>
      </c>
      <c r="Q224" s="153"/>
      <c r="R224" s="152"/>
      <c r="S224" s="152"/>
      <c r="T224" s="152"/>
      <c r="U224" s="152"/>
      <c r="V224" s="157"/>
      <c r="W224" s="152"/>
      <c r="X224" s="152"/>
      <c r="Y224" s="152"/>
      <c r="Z224" s="152"/>
      <c r="AA224" s="150"/>
      <c r="AB224" s="150"/>
      <c r="AC224" s="150"/>
      <c r="AD224" s="150"/>
    </row>
    <row r="225" spans="7:30" ht="15" hidden="1" x14ac:dyDescent="0.2">
      <c r="G225" s="150"/>
      <c r="H225" s="150"/>
      <c r="I225" s="150"/>
      <c r="J225" s="152"/>
      <c r="K225" s="152"/>
      <c r="L225" s="152"/>
      <c r="M225" s="155" t="s">
        <v>157</v>
      </c>
      <c r="N225" s="483">
        <f>VLOOKUP(M225,'Справочники и промежут.расчет'!$B$25:$C$107,2,0)</f>
        <v>11202</v>
      </c>
      <c r="O225" s="152"/>
      <c r="P225" s="155" t="s">
        <v>552</v>
      </c>
      <c r="Q225" s="153"/>
      <c r="R225" s="152"/>
      <c r="S225" s="152"/>
      <c r="T225" s="152"/>
      <c r="U225" s="152"/>
      <c r="V225" s="157"/>
      <c r="W225" s="152"/>
      <c r="X225" s="152"/>
      <c r="Y225" s="152"/>
      <c r="Z225" s="152"/>
      <c r="AA225" s="150"/>
      <c r="AB225" s="150"/>
      <c r="AC225" s="150"/>
      <c r="AD225" s="150"/>
    </row>
    <row r="226" spans="7:30" ht="15" hidden="1" x14ac:dyDescent="0.2">
      <c r="G226" s="150"/>
      <c r="H226" s="150"/>
      <c r="I226" s="150"/>
      <c r="J226" s="152"/>
      <c r="K226" s="152"/>
      <c r="L226" s="152"/>
      <c r="M226" s="155" t="s">
        <v>158</v>
      </c>
      <c r="N226" s="483">
        <f>VLOOKUP(M226,'Справочники и промежут.расчет'!$B$25:$C$107,2,0)</f>
        <v>12244</v>
      </c>
      <c r="O226" s="152"/>
      <c r="P226" s="155" t="s">
        <v>553</v>
      </c>
      <c r="Q226" s="153"/>
      <c r="R226" s="152"/>
      <c r="S226" s="152"/>
      <c r="T226" s="152"/>
      <c r="U226" s="152"/>
      <c r="V226" s="157"/>
      <c r="W226" s="152"/>
      <c r="X226" s="152"/>
      <c r="Y226" s="152"/>
      <c r="Z226" s="152"/>
      <c r="AA226" s="150"/>
      <c r="AB226" s="150"/>
      <c r="AC226" s="150"/>
      <c r="AD226" s="150"/>
    </row>
    <row r="227" spans="7:30" ht="15" hidden="1" x14ac:dyDescent="0.2">
      <c r="G227" s="150"/>
      <c r="H227" s="150"/>
      <c r="I227" s="150"/>
      <c r="J227" s="152"/>
      <c r="K227" s="152"/>
      <c r="L227" s="152"/>
      <c r="M227" s="155" t="s">
        <v>159</v>
      </c>
      <c r="N227" s="483">
        <f>VLOOKUP(M227,'Справочники и промежут.расчет'!$B$25:$C$107,2,0)</f>
        <v>11333</v>
      </c>
      <c r="O227" s="152"/>
      <c r="P227" s="155" t="s">
        <v>554</v>
      </c>
      <c r="Q227" s="153"/>
      <c r="R227" s="152"/>
      <c r="S227" s="152"/>
      <c r="T227" s="152"/>
      <c r="U227" s="152"/>
      <c r="V227" s="157"/>
      <c r="W227" s="152"/>
      <c r="X227" s="152"/>
      <c r="Y227" s="152"/>
      <c r="Z227" s="152"/>
      <c r="AA227" s="150"/>
      <c r="AB227" s="150"/>
      <c r="AC227" s="150"/>
      <c r="AD227" s="150"/>
    </row>
    <row r="228" spans="7:30" ht="15" hidden="1" x14ac:dyDescent="0.2">
      <c r="G228" s="150"/>
      <c r="H228" s="150"/>
      <c r="I228" s="150"/>
      <c r="J228" s="152"/>
      <c r="K228" s="152"/>
      <c r="L228" s="152"/>
      <c r="M228" s="155" t="s">
        <v>160</v>
      </c>
      <c r="N228" s="483">
        <f>VLOOKUP(M228,'Справочники и промежут.расчет'!$B$25:$C$107,2,0)</f>
        <v>14312</v>
      </c>
      <c r="O228" s="152"/>
      <c r="P228" s="155" t="s">
        <v>555</v>
      </c>
      <c r="Q228" s="153"/>
      <c r="R228" s="152"/>
      <c r="S228" s="152"/>
      <c r="T228" s="152"/>
      <c r="U228" s="152"/>
      <c r="V228" s="157"/>
      <c r="W228" s="152"/>
      <c r="X228" s="152"/>
      <c r="Y228" s="152"/>
      <c r="Z228" s="152"/>
      <c r="AA228" s="150"/>
      <c r="AB228" s="150"/>
      <c r="AC228" s="150"/>
      <c r="AD228" s="150"/>
    </row>
    <row r="229" spans="7:30" ht="15" hidden="1" x14ac:dyDescent="0.2">
      <c r="G229" s="150"/>
      <c r="H229" s="150"/>
      <c r="I229" s="150"/>
      <c r="J229" s="152"/>
      <c r="K229" s="152"/>
      <c r="L229" s="152"/>
      <c r="M229" s="155" t="s">
        <v>161</v>
      </c>
      <c r="N229" s="483">
        <f>VLOOKUP(M229,'Справочники и промежут.расчет'!$B$25:$C$107,2,0)</f>
        <v>11854</v>
      </c>
      <c r="O229" s="152"/>
      <c r="P229" s="155" t="s">
        <v>556</v>
      </c>
      <c r="Q229" s="153"/>
      <c r="R229" s="152"/>
      <c r="S229" s="152"/>
      <c r="T229" s="152"/>
      <c r="U229" s="152"/>
      <c r="V229" s="157"/>
      <c r="W229" s="152"/>
      <c r="X229" s="152"/>
      <c r="Y229" s="152"/>
      <c r="Z229" s="152"/>
      <c r="AA229" s="150"/>
      <c r="AB229" s="150"/>
      <c r="AC229" s="150"/>
      <c r="AD229" s="150"/>
    </row>
    <row r="230" spans="7:30" ht="15" hidden="1" x14ac:dyDescent="0.2">
      <c r="G230" s="150"/>
      <c r="H230" s="150"/>
      <c r="I230" s="150"/>
      <c r="J230" s="152"/>
      <c r="K230" s="152"/>
      <c r="L230" s="152"/>
      <c r="M230" s="155" t="s">
        <v>162</v>
      </c>
      <c r="N230" s="483">
        <f>VLOOKUP(M230,'Справочники и промежут.расчет'!$B$25:$C$107,2,0)</f>
        <v>12244</v>
      </c>
      <c r="O230" s="152"/>
      <c r="P230" s="155" t="s">
        <v>557</v>
      </c>
      <c r="Q230" s="153"/>
      <c r="R230" s="152"/>
      <c r="S230" s="152"/>
      <c r="T230" s="152"/>
      <c r="U230" s="152"/>
      <c r="V230" s="157"/>
      <c r="W230" s="152"/>
      <c r="X230" s="152"/>
      <c r="Y230" s="152"/>
      <c r="Z230" s="152"/>
      <c r="AA230" s="150"/>
      <c r="AB230" s="150"/>
      <c r="AC230" s="150"/>
      <c r="AD230" s="150"/>
    </row>
    <row r="231" spans="7:30" ht="15" hidden="1" x14ac:dyDescent="0.2">
      <c r="G231" s="150"/>
      <c r="H231" s="150"/>
      <c r="I231" s="150"/>
      <c r="J231" s="152"/>
      <c r="K231" s="152"/>
      <c r="L231" s="152"/>
      <c r="M231" s="155" t="s">
        <v>163</v>
      </c>
      <c r="N231" s="483">
        <f>VLOOKUP(M231,'Справочники и промежут.расчет'!$B$25:$C$107,2,0)</f>
        <v>12114</v>
      </c>
      <c r="O231" s="152"/>
      <c r="P231" s="155" t="s">
        <v>558</v>
      </c>
      <c r="Q231" s="153"/>
      <c r="R231" s="152"/>
      <c r="S231" s="152"/>
      <c r="T231" s="152"/>
      <c r="U231" s="152"/>
      <c r="V231" s="157"/>
      <c r="W231" s="152"/>
      <c r="X231" s="152"/>
      <c r="Y231" s="152"/>
      <c r="Z231" s="152"/>
      <c r="AA231" s="150"/>
      <c r="AB231" s="150"/>
      <c r="AC231" s="150"/>
      <c r="AD231" s="150"/>
    </row>
    <row r="232" spans="7:30" ht="15" hidden="1" x14ac:dyDescent="0.2">
      <c r="G232" s="150"/>
      <c r="H232" s="150"/>
      <c r="I232" s="150"/>
      <c r="J232" s="152"/>
      <c r="K232" s="152"/>
      <c r="L232" s="152"/>
      <c r="M232" s="155" t="s">
        <v>164</v>
      </c>
      <c r="N232" s="483">
        <f>VLOOKUP(M232,'Справочники и промежут.расчет'!$B$25:$C$107,2,0)</f>
        <v>16463</v>
      </c>
      <c r="O232" s="152"/>
      <c r="P232" s="155" t="s">
        <v>559</v>
      </c>
      <c r="Q232" s="153"/>
      <c r="R232" s="152"/>
      <c r="S232" s="152"/>
      <c r="T232" s="152"/>
      <c r="U232" s="152"/>
      <c r="V232" s="157"/>
      <c r="W232" s="152"/>
      <c r="X232" s="152"/>
      <c r="Y232" s="152"/>
      <c r="Z232" s="152"/>
      <c r="AA232" s="150"/>
      <c r="AB232" s="150"/>
      <c r="AC232" s="150"/>
      <c r="AD232" s="150"/>
    </row>
    <row r="233" spans="7:30" ht="15" hidden="1" x14ac:dyDescent="0.2">
      <c r="G233" s="150"/>
      <c r="H233" s="150"/>
      <c r="I233" s="150"/>
      <c r="J233" s="152"/>
      <c r="K233" s="152"/>
      <c r="L233" s="152"/>
      <c r="M233" s="155" t="s">
        <v>165</v>
      </c>
      <c r="N233" s="483">
        <f>VLOOKUP(M233,'Справочники и промежут.расчет'!$B$25:$C$107,2,0)</f>
        <v>16275</v>
      </c>
      <c r="O233" s="152"/>
      <c r="P233" s="155" t="s">
        <v>560</v>
      </c>
      <c r="Q233" s="153"/>
      <c r="R233" s="152"/>
      <c r="S233" s="152"/>
      <c r="T233" s="152"/>
      <c r="U233" s="152"/>
      <c r="V233" s="157"/>
      <c r="W233" s="152"/>
      <c r="X233" s="152"/>
      <c r="Y233" s="152"/>
      <c r="Z233" s="152"/>
      <c r="AA233" s="150"/>
      <c r="AB233" s="150"/>
      <c r="AC233" s="150"/>
      <c r="AD233" s="150"/>
    </row>
    <row r="234" spans="7:30" ht="15" hidden="1" x14ac:dyDescent="0.2">
      <c r="G234" s="150"/>
      <c r="H234" s="150"/>
      <c r="I234" s="150"/>
      <c r="J234" s="152"/>
      <c r="K234" s="152"/>
      <c r="L234" s="152"/>
      <c r="M234" s="155" t="s">
        <v>166</v>
      </c>
      <c r="N234" s="483">
        <f>VLOOKUP(M234,'Справочники и промежут.расчет'!$B$25:$C$107,2,0)</f>
        <v>11462</v>
      </c>
      <c r="O234" s="152"/>
      <c r="P234" s="155" t="s">
        <v>561</v>
      </c>
      <c r="Q234" s="153"/>
      <c r="R234" s="152"/>
      <c r="S234" s="152"/>
      <c r="T234" s="152"/>
      <c r="U234" s="152"/>
      <c r="V234" s="157"/>
      <c r="W234" s="152"/>
      <c r="X234" s="152"/>
      <c r="Y234" s="152"/>
      <c r="Z234" s="152"/>
      <c r="AA234" s="150"/>
      <c r="AB234" s="150"/>
      <c r="AC234" s="150"/>
      <c r="AD234" s="150"/>
    </row>
    <row r="235" spans="7:30" ht="15" hidden="1" x14ac:dyDescent="0.2">
      <c r="G235" s="150"/>
      <c r="H235" s="150"/>
      <c r="I235" s="150"/>
      <c r="J235" s="152"/>
      <c r="K235" s="152"/>
      <c r="L235" s="152"/>
      <c r="M235" s="155" t="s">
        <v>167</v>
      </c>
      <c r="N235" s="483">
        <f>VLOOKUP(M235,'Справочники и промежут.расчет'!$B$25:$C$107,2,0)</f>
        <v>11072</v>
      </c>
      <c r="O235" s="152"/>
      <c r="P235" s="155" t="s">
        <v>562</v>
      </c>
      <c r="Q235" s="153"/>
      <c r="R235" s="152"/>
      <c r="S235" s="152"/>
      <c r="T235" s="152"/>
      <c r="U235" s="152"/>
      <c r="V235" s="157"/>
      <c r="W235" s="152"/>
      <c r="X235" s="152"/>
      <c r="Y235" s="152"/>
      <c r="Z235" s="152"/>
      <c r="AA235" s="150"/>
      <c r="AB235" s="150"/>
      <c r="AC235" s="150"/>
      <c r="AD235" s="150"/>
    </row>
    <row r="236" spans="7:30" ht="15" hidden="1" x14ac:dyDescent="0.2">
      <c r="G236" s="150"/>
      <c r="H236" s="150"/>
      <c r="I236" s="150"/>
      <c r="J236" s="152"/>
      <c r="K236" s="152"/>
      <c r="L236" s="152"/>
      <c r="M236" s="155" t="s">
        <v>168</v>
      </c>
      <c r="N236" s="483">
        <f>VLOOKUP(M236,'Справочники и промежут.расчет'!$B$25:$C$107,2,0)</f>
        <v>20702</v>
      </c>
      <c r="O236" s="152"/>
      <c r="P236" s="155" t="s">
        <v>594</v>
      </c>
      <c r="Q236" s="153"/>
      <c r="R236" s="152"/>
      <c r="S236" s="152"/>
      <c r="T236" s="152"/>
      <c r="U236" s="152"/>
      <c r="V236" s="157"/>
      <c r="W236" s="152"/>
      <c r="X236" s="152"/>
      <c r="Y236" s="152"/>
      <c r="Z236" s="152"/>
      <c r="AA236" s="150"/>
      <c r="AB236" s="150"/>
      <c r="AC236" s="150"/>
      <c r="AD236" s="150"/>
    </row>
    <row r="237" spans="7:30" ht="15" hidden="1" x14ac:dyDescent="0.2">
      <c r="G237" s="150"/>
      <c r="H237" s="150"/>
      <c r="I237" s="150"/>
      <c r="J237" s="152"/>
      <c r="K237" s="152"/>
      <c r="L237" s="152"/>
      <c r="M237" s="155" t="s">
        <v>169</v>
      </c>
      <c r="N237" s="483">
        <f>VLOOKUP(M237,'Справочники и промежут.расчет'!$B$25:$C$107,2,0)</f>
        <v>11838</v>
      </c>
      <c r="O237" s="152"/>
      <c r="P237" s="155" t="s">
        <v>591</v>
      </c>
      <c r="Q237" s="153"/>
      <c r="R237" s="152"/>
      <c r="S237" s="152"/>
      <c r="T237" s="152"/>
      <c r="U237" s="152"/>
      <c r="V237" s="157"/>
      <c r="W237" s="152"/>
      <c r="X237" s="152"/>
      <c r="Y237" s="152"/>
      <c r="Z237" s="152"/>
      <c r="AA237" s="150"/>
      <c r="AB237" s="150"/>
      <c r="AC237" s="150"/>
      <c r="AD237" s="150"/>
    </row>
    <row r="238" spans="7:30" ht="15" hidden="1" x14ac:dyDescent="0.2">
      <c r="G238" s="150"/>
      <c r="H238" s="150"/>
      <c r="I238" s="150"/>
      <c r="J238" s="152"/>
      <c r="K238" s="152"/>
      <c r="L238" s="152"/>
      <c r="M238" s="155" t="s">
        <v>170</v>
      </c>
      <c r="N238" s="483">
        <f>VLOOKUP(M238,'Справочники и промежут.расчет'!$B$25:$C$107,2,0)</f>
        <v>11122</v>
      </c>
      <c r="O238" s="152"/>
      <c r="P238" s="155" t="s">
        <v>563</v>
      </c>
      <c r="Q238" s="153"/>
      <c r="R238" s="152"/>
      <c r="S238" s="152"/>
      <c r="T238" s="152"/>
      <c r="U238" s="152"/>
      <c r="V238" s="157"/>
      <c r="W238" s="152"/>
      <c r="X238" s="152"/>
      <c r="Y238" s="152"/>
      <c r="Z238" s="152"/>
      <c r="AA238" s="150"/>
      <c r="AB238" s="150"/>
      <c r="AC238" s="150"/>
      <c r="AD238" s="150"/>
    </row>
    <row r="239" spans="7:30" ht="15" hidden="1" x14ac:dyDescent="0.2">
      <c r="G239" s="150"/>
      <c r="H239" s="150"/>
      <c r="I239" s="150"/>
      <c r="J239" s="152"/>
      <c r="K239" s="152"/>
      <c r="L239" s="152"/>
      <c r="M239" s="155" t="s">
        <v>171</v>
      </c>
      <c r="N239" s="483">
        <f>VLOOKUP(M239,'Справочники и промежут.расчет'!$B$25:$C$107,2,0)</f>
        <v>13156</v>
      </c>
      <c r="O239" s="152"/>
      <c r="P239" s="155" t="s">
        <v>564</v>
      </c>
      <c r="Q239" s="153"/>
      <c r="R239" s="152"/>
      <c r="S239" s="152"/>
      <c r="T239" s="152"/>
      <c r="U239" s="152"/>
      <c r="V239" s="157"/>
      <c r="W239" s="152"/>
      <c r="X239" s="152"/>
      <c r="Y239" s="152"/>
      <c r="Z239" s="152"/>
      <c r="AA239" s="150"/>
      <c r="AB239" s="150"/>
      <c r="AC239" s="150"/>
      <c r="AD239" s="150"/>
    </row>
    <row r="240" spans="7:30" ht="15" hidden="1" x14ac:dyDescent="0.2">
      <c r="G240" s="150"/>
      <c r="H240" s="150"/>
      <c r="I240" s="150"/>
      <c r="J240" s="152"/>
      <c r="K240" s="152"/>
      <c r="L240" s="152"/>
      <c r="M240" s="155" t="s">
        <v>172</v>
      </c>
      <c r="N240" s="483">
        <f>VLOOKUP(M240,'Справочники и промежут.расчет'!$B$25:$C$107,2,0)</f>
        <v>13286</v>
      </c>
      <c r="O240" s="152"/>
      <c r="P240" s="155" t="s">
        <v>565</v>
      </c>
      <c r="Q240" s="153"/>
      <c r="R240" s="152"/>
      <c r="S240" s="152"/>
      <c r="T240" s="152"/>
      <c r="U240" s="152"/>
      <c r="V240" s="157"/>
      <c r="W240" s="152"/>
      <c r="X240" s="152"/>
      <c r="Y240" s="152"/>
      <c r="Z240" s="152"/>
      <c r="AA240" s="150"/>
      <c r="AB240" s="150"/>
      <c r="AC240" s="150"/>
      <c r="AD240" s="150"/>
    </row>
    <row r="241" spans="7:30" ht="15" hidden="1" x14ac:dyDescent="0.2">
      <c r="G241" s="150"/>
      <c r="H241" s="150"/>
      <c r="I241" s="150"/>
      <c r="J241" s="152"/>
      <c r="K241" s="152"/>
      <c r="L241" s="152"/>
      <c r="M241" s="155" t="s">
        <v>173</v>
      </c>
      <c r="N241" s="483">
        <f>VLOOKUP(M241,'Справочники и промежут.расчет'!$B$25:$C$107,2,0)</f>
        <v>12349</v>
      </c>
      <c r="O241" s="152"/>
      <c r="P241" s="155" t="s">
        <v>566</v>
      </c>
      <c r="Q241" s="153"/>
      <c r="R241" s="152"/>
      <c r="S241" s="152"/>
      <c r="T241" s="152"/>
      <c r="U241" s="152"/>
      <c r="V241" s="157"/>
      <c r="W241" s="152"/>
      <c r="X241" s="152"/>
      <c r="Y241" s="152"/>
      <c r="Z241" s="152"/>
      <c r="AA241" s="150"/>
      <c r="AB241" s="150"/>
      <c r="AC241" s="150"/>
      <c r="AD241" s="150"/>
    </row>
    <row r="242" spans="7:30" ht="15" hidden="1" x14ac:dyDescent="0.2">
      <c r="G242" s="150"/>
      <c r="H242" s="150"/>
      <c r="I242" s="150"/>
      <c r="J242" s="152"/>
      <c r="K242" s="152"/>
      <c r="L242" s="152"/>
      <c r="M242" s="155" t="s">
        <v>174</v>
      </c>
      <c r="N242" s="483">
        <f>VLOOKUP(M242,'Справочники и промежут.расчет'!$B$25:$C$107,2,0)</f>
        <v>12225</v>
      </c>
      <c r="O242" s="152"/>
      <c r="P242" s="155" t="s">
        <v>567</v>
      </c>
      <c r="Q242" s="153"/>
      <c r="R242" s="152"/>
      <c r="S242" s="152"/>
      <c r="T242" s="152"/>
      <c r="U242" s="152"/>
      <c r="V242" s="157"/>
      <c r="W242" s="152"/>
      <c r="X242" s="152"/>
      <c r="Y242" s="152"/>
      <c r="Z242" s="152"/>
      <c r="AA242" s="150"/>
      <c r="AB242" s="150"/>
      <c r="AC242" s="150"/>
      <c r="AD242" s="150"/>
    </row>
    <row r="243" spans="7:30" ht="15" hidden="1" x14ac:dyDescent="0.2">
      <c r="G243" s="150"/>
      <c r="H243" s="150"/>
      <c r="I243" s="150"/>
      <c r="J243" s="152"/>
      <c r="K243" s="152"/>
      <c r="L243" s="152"/>
      <c r="M243" s="155" t="s">
        <v>175</v>
      </c>
      <c r="N243" s="483">
        <f>VLOOKUP(M243,'Справочники и промежут.расчет'!$B$25:$C$107,2,0)</f>
        <v>12611</v>
      </c>
      <c r="O243" s="152"/>
      <c r="P243" s="155" t="s">
        <v>568</v>
      </c>
      <c r="Q243" s="153"/>
      <c r="R243" s="152"/>
      <c r="S243" s="152"/>
      <c r="T243" s="152"/>
      <c r="U243" s="152"/>
      <c r="V243" s="157"/>
      <c r="W243" s="152"/>
      <c r="X243" s="152"/>
      <c r="Y243" s="152"/>
      <c r="Z243" s="152"/>
      <c r="AA243" s="150"/>
      <c r="AB243" s="150"/>
      <c r="AC243" s="150"/>
      <c r="AD243" s="150"/>
    </row>
    <row r="244" spans="7:30" ht="15" hidden="1" x14ac:dyDescent="0.2">
      <c r="G244" s="150"/>
      <c r="H244" s="150"/>
      <c r="I244" s="150"/>
      <c r="J244" s="152"/>
      <c r="K244" s="152"/>
      <c r="L244" s="152"/>
      <c r="M244" s="155" t="s">
        <v>176</v>
      </c>
      <c r="N244" s="483">
        <f>VLOOKUP(M244,'Справочники и промежут.расчет'!$B$25:$C$107,2,0)</f>
        <v>11138</v>
      </c>
      <c r="O244" s="152"/>
      <c r="P244" s="155" t="s">
        <v>569</v>
      </c>
      <c r="Q244" s="153"/>
      <c r="R244" s="152"/>
      <c r="S244" s="152"/>
      <c r="T244" s="152"/>
      <c r="U244" s="152"/>
      <c r="V244" s="157"/>
      <c r="W244" s="152"/>
      <c r="X244" s="152"/>
      <c r="Y244" s="152"/>
      <c r="Z244" s="152"/>
      <c r="AA244" s="150"/>
      <c r="AB244" s="150"/>
      <c r="AC244" s="150"/>
      <c r="AD244" s="150"/>
    </row>
    <row r="245" spans="7:30" ht="15" hidden="1" x14ac:dyDescent="0.2">
      <c r="G245" s="150"/>
      <c r="H245" s="150"/>
      <c r="I245" s="150"/>
      <c r="J245" s="152"/>
      <c r="K245" s="152"/>
      <c r="L245" s="152"/>
      <c r="M245" s="155" t="s">
        <v>177</v>
      </c>
      <c r="N245" s="483">
        <f>VLOOKUP(M245,'Справочники и промежут.расчет'!$B$25:$C$107,2,0)</f>
        <v>17715</v>
      </c>
      <c r="O245" s="152"/>
      <c r="P245" s="155" t="s">
        <v>570</v>
      </c>
      <c r="Q245" s="153"/>
      <c r="R245" s="152"/>
      <c r="S245" s="152"/>
      <c r="T245" s="152"/>
      <c r="U245" s="152"/>
      <c r="V245" s="157"/>
      <c r="W245" s="152"/>
      <c r="X245" s="152"/>
      <c r="Y245" s="152"/>
      <c r="Z245" s="152"/>
      <c r="AA245" s="150"/>
      <c r="AB245" s="150"/>
      <c r="AC245" s="150"/>
      <c r="AD245" s="150"/>
    </row>
    <row r="246" spans="7:30" ht="15" hidden="1" x14ac:dyDescent="0.2">
      <c r="G246" s="150"/>
      <c r="H246" s="150"/>
      <c r="I246" s="150"/>
      <c r="J246" s="152"/>
      <c r="K246" s="152"/>
      <c r="L246" s="152"/>
      <c r="M246" s="155" t="s">
        <v>178</v>
      </c>
      <c r="N246" s="483">
        <f>VLOOKUP(M246,'Справочники и промежут.расчет'!$B$25:$C$107,2,0)</f>
        <v>12635</v>
      </c>
      <c r="O246" s="152"/>
      <c r="P246" s="155" t="s">
        <v>571</v>
      </c>
      <c r="Q246" s="153"/>
      <c r="R246" s="152"/>
      <c r="S246" s="152"/>
      <c r="T246" s="152"/>
      <c r="U246" s="152"/>
      <c r="V246" s="157"/>
      <c r="W246" s="152"/>
      <c r="X246" s="152"/>
      <c r="Y246" s="152"/>
      <c r="Z246" s="152"/>
      <c r="AA246" s="150"/>
      <c r="AB246" s="150"/>
      <c r="AC246" s="150"/>
      <c r="AD246" s="150"/>
    </row>
    <row r="247" spans="7:30" ht="15" hidden="1" x14ac:dyDescent="0.2">
      <c r="G247" s="150"/>
      <c r="H247" s="150"/>
      <c r="I247" s="150"/>
      <c r="J247" s="152"/>
      <c r="K247" s="152"/>
      <c r="L247" s="152"/>
      <c r="M247" s="155" t="s">
        <v>179</v>
      </c>
      <c r="N247" s="483">
        <f>VLOOKUP(M247,'Справочники и промежут.расчет'!$B$25:$C$107,2,0)</f>
        <v>12504</v>
      </c>
      <c r="O247" s="152"/>
      <c r="P247" s="155" t="s">
        <v>572</v>
      </c>
      <c r="Q247" s="153"/>
      <c r="R247" s="152"/>
      <c r="S247" s="152"/>
      <c r="T247" s="152"/>
      <c r="U247" s="152"/>
      <c r="V247" s="157"/>
      <c r="W247" s="152"/>
      <c r="X247" s="152"/>
      <c r="Y247" s="152"/>
      <c r="Z247" s="152"/>
      <c r="AA247" s="150"/>
      <c r="AB247" s="150"/>
      <c r="AC247" s="150"/>
      <c r="AD247" s="150"/>
    </row>
    <row r="248" spans="7:30" ht="15" hidden="1" x14ac:dyDescent="0.2">
      <c r="G248" s="150"/>
      <c r="H248" s="150"/>
      <c r="I248" s="150"/>
      <c r="J248" s="152"/>
      <c r="K248" s="152"/>
      <c r="L248" s="152"/>
      <c r="M248" s="155" t="s">
        <v>180</v>
      </c>
      <c r="N248" s="483">
        <f>VLOOKUP(M248,'Справочники и промежут.расчет'!$B$25:$C$107,2,0)</f>
        <v>11723</v>
      </c>
      <c r="O248" s="152"/>
      <c r="P248" s="155" t="s">
        <v>573</v>
      </c>
      <c r="Q248" s="153"/>
      <c r="R248" s="152"/>
      <c r="S248" s="152"/>
      <c r="T248" s="152"/>
      <c r="U248" s="152"/>
      <c r="V248" s="157"/>
      <c r="W248" s="152"/>
      <c r="X248" s="152"/>
      <c r="Y248" s="152"/>
      <c r="Z248" s="152"/>
      <c r="AA248" s="150"/>
      <c r="AB248" s="150"/>
      <c r="AC248" s="150"/>
      <c r="AD248" s="150"/>
    </row>
    <row r="249" spans="7:30" ht="15" hidden="1" x14ac:dyDescent="0.2">
      <c r="G249" s="150"/>
      <c r="H249" s="150"/>
      <c r="I249" s="150"/>
      <c r="J249" s="152"/>
      <c r="K249" s="152"/>
      <c r="L249" s="152"/>
      <c r="M249" s="155" t="s">
        <v>181</v>
      </c>
      <c r="N249" s="483">
        <f>VLOOKUP(M249,'Справочники и промежут.расчет'!$B$25:$C$107,2,0)</f>
        <v>11587</v>
      </c>
      <c r="O249" s="152"/>
      <c r="P249" s="155" t="s">
        <v>574</v>
      </c>
      <c r="Q249" s="153"/>
      <c r="R249" s="152"/>
      <c r="S249" s="152"/>
      <c r="T249" s="152"/>
      <c r="U249" s="152"/>
      <c r="V249" s="157"/>
      <c r="W249" s="152"/>
      <c r="X249" s="152"/>
      <c r="Y249" s="152"/>
      <c r="Z249" s="152"/>
      <c r="AA249" s="150"/>
      <c r="AB249" s="150"/>
      <c r="AC249" s="150"/>
      <c r="AD249" s="150"/>
    </row>
    <row r="250" spans="7:30" ht="15" hidden="1" x14ac:dyDescent="0.2">
      <c r="G250" s="150"/>
      <c r="H250" s="150"/>
      <c r="I250" s="150"/>
      <c r="J250" s="152"/>
      <c r="K250" s="152"/>
      <c r="L250" s="152"/>
      <c r="M250" s="155" t="s">
        <v>182</v>
      </c>
      <c r="N250" s="483">
        <f>VLOOKUP(M250,'Справочники и промежут.расчет'!$B$25:$C$107,2,0)</f>
        <v>12504</v>
      </c>
      <c r="O250" s="152"/>
      <c r="P250" s="155" t="s">
        <v>575</v>
      </c>
      <c r="Q250" s="153"/>
      <c r="R250" s="152"/>
      <c r="S250" s="152"/>
      <c r="T250" s="152"/>
      <c r="U250" s="152"/>
      <c r="V250" s="157"/>
      <c r="W250" s="152"/>
      <c r="X250" s="152"/>
      <c r="Y250" s="152"/>
      <c r="Z250" s="152"/>
      <c r="AA250" s="150"/>
      <c r="AB250" s="150"/>
      <c r="AC250" s="150"/>
      <c r="AD250" s="150"/>
    </row>
    <row r="251" spans="7:30" ht="15" hidden="1" x14ac:dyDescent="0.2">
      <c r="G251" s="150"/>
      <c r="H251" s="150"/>
      <c r="I251" s="150"/>
      <c r="J251" s="152"/>
      <c r="K251" s="152"/>
      <c r="L251" s="152"/>
      <c r="M251" s="155" t="s">
        <v>183</v>
      </c>
      <c r="N251" s="483">
        <f>VLOOKUP(M251,'Справочники и промежут.расчет'!$B$25:$C$107,2,0)</f>
        <v>13650</v>
      </c>
      <c r="O251" s="152"/>
      <c r="P251" s="155" t="s">
        <v>576</v>
      </c>
      <c r="Q251" s="153"/>
      <c r="R251" s="152"/>
      <c r="S251" s="152"/>
      <c r="T251" s="152"/>
      <c r="U251" s="152"/>
      <c r="V251" s="157"/>
      <c r="W251" s="152"/>
      <c r="X251" s="152"/>
      <c r="Y251" s="152"/>
      <c r="Z251" s="152"/>
      <c r="AA251" s="150"/>
      <c r="AB251" s="150"/>
      <c r="AC251" s="150"/>
      <c r="AD251" s="150"/>
    </row>
    <row r="252" spans="7:30" ht="15" hidden="1" x14ac:dyDescent="0.2">
      <c r="G252" s="150"/>
      <c r="H252" s="150"/>
      <c r="I252" s="150"/>
      <c r="J252" s="152"/>
      <c r="K252" s="152"/>
      <c r="L252" s="152"/>
      <c r="M252" s="155" t="s">
        <v>184</v>
      </c>
      <c r="N252" s="483">
        <f>VLOOKUP(M252,'Справочники и промежут.расчет'!$B$25:$C$107,2,0)</f>
        <v>12765</v>
      </c>
      <c r="O252" s="152"/>
      <c r="P252" s="155" t="s">
        <v>577</v>
      </c>
      <c r="Q252" s="153"/>
      <c r="R252" s="152"/>
      <c r="S252" s="152"/>
      <c r="T252" s="152"/>
      <c r="U252" s="152"/>
      <c r="V252" s="157"/>
      <c r="W252" s="152"/>
      <c r="X252" s="152"/>
      <c r="Y252" s="152"/>
      <c r="Z252" s="152"/>
      <c r="AA252" s="150"/>
      <c r="AB252" s="150"/>
      <c r="AC252" s="150"/>
      <c r="AD252" s="150"/>
    </row>
    <row r="253" spans="7:30" ht="15" hidden="1" x14ac:dyDescent="0.2">
      <c r="G253" s="150"/>
      <c r="H253" s="150"/>
      <c r="I253" s="150"/>
      <c r="J253" s="152"/>
      <c r="K253" s="152"/>
      <c r="L253" s="152"/>
      <c r="M253" s="155" t="s">
        <v>185</v>
      </c>
      <c r="N253" s="483">
        <f>VLOOKUP(M253,'Справочники и промежут.расчет'!$B$25:$C$107,2,0)</f>
        <v>13026</v>
      </c>
      <c r="O253" s="152"/>
      <c r="P253" s="155" t="s">
        <v>578</v>
      </c>
      <c r="Q253" s="153"/>
      <c r="R253" s="152"/>
      <c r="S253" s="152"/>
      <c r="T253" s="152"/>
      <c r="U253" s="152"/>
      <c r="V253" s="157"/>
      <c r="W253" s="152"/>
      <c r="X253" s="152"/>
      <c r="Y253" s="152"/>
      <c r="Z253" s="152"/>
      <c r="AA253" s="150"/>
      <c r="AB253" s="150"/>
      <c r="AC253" s="150"/>
      <c r="AD253" s="150"/>
    </row>
    <row r="254" spans="7:30" ht="15" hidden="1" x14ac:dyDescent="0.2">
      <c r="G254" s="150"/>
      <c r="H254" s="150"/>
      <c r="I254" s="150"/>
      <c r="J254" s="152"/>
      <c r="K254" s="152"/>
      <c r="L254" s="152"/>
      <c r="M254" s="155" t="s">
        <v>186</v>
      </c>
      <c r="N254" s="483">
        <f>VLOOKUP(M254,'Справочники и промежут.расчет'!$B$25:$C$107,2,0)</f>
        <v>11692</v>
      </c>
      <c r="O254" s="152"/>
      <c r="P254" s="155" t="s">
        <v>579</v>
      </c>
      <c r="Q254" s="153"/>
      <c r="R254" s="152"/>
      <c r="S254" s="152"/>
      <c r="T254" s="152"/>
      <c r="U254" s="152"/>
      <c r="V254" s="157"/>
      <c r="W254" s="152"/>
      <c r="X254" s="152"/>
      <c r="Y254" s="152"/>
      <c r="Z254" s="152"/>
      <c r="AA254" s="150"/>
      <c r="AB254" s="150"/>
      <c r="AC254" s="150"/>
      <c r="AD254" s="150"/>
    </row>
    <row r="255" spans="7:30" ht="15" hidden="1" x14ac:dyDescent="0.2">
      <c r="G255" s="150"/>
      <c r="H255" s="150"/>
      <c r="I255" s="150"/>
      <c r="J255" s="152"/>
      <c r="K255" s="152"/>
      <c r="L255" s="152"/>
      <c r="M255" s="155" t="s">
        <v>187</v>
      </c>
      <c r="N255" s="483">
        <f>VLOOKUP(M255,'Справочники и промежут.расчет'!$B$25:$C$107,2,0)</f>
        <v>12075</v>
      </c>
      <c r="O255" s="152"/>
      <c r="P255" s="155" t="s">
        <v>580</v>
      </c>
      <c r="Q255" s="153"/>
      <c r="R255" s="152"/>
      <c r="S255" s="152"/>
      <c r="T255" s="152"/>
      <c r="U255" s="152"/>
      <c r="V255" s="157"/>
      <c r="W255" s="152"/>
      <c r="X255" s="152"/>
      <c r="Y255" s="152"/>
      <c r="Z255" s="152"/>
      <c r="AA255" s="150"/>
      <c r="AB255" s="150"/>
      <c r="AC255" s="150"/>
      <c r="AD255" s="150"/>
    </row>
    <row r="256" spans="7:30" ht="15" hidden="1" x14ac:dyDescent="0.2">
      <c r="G256" s="150"/>
      <c r="H256" s="150"/>
      <c r="I256" s="150"/>
      <c r="J256" s="152"/>
      <c r="K256" s="152"/>
      <c r="L256" s="152"/>
      <c r="M256" s="155" t="s">
        <v>188</v>
      </c>
      <c r="N256" s="483">
        <f>VLOOKUP(M256,'Справочники и промежут.расчет'!$B$25:$C$107,2,0)</f>
        <v>18389</v>
      </c>
      <c r="O256" s="152"/>
      <c r="P256" s="155" t="s">
        <v>581</v>
      </c>
      <c r="Q256" s="153"/>
      <c r="R256" s="152"/>
      <c r="S256" s="152"/>
      <c r="T256" s="152"/>
      <c r="U256" s="152"/>
      <c r="V256" s="157"/>
      <c r="W256" s="152"/>
      <c r="X256" s="152"/>
      <c r="Y256" s="152"/>
      <c r="Z256" s="152"/>
      <c r="AA256" s="150"/>
      <c r="AB256" s="150"/>
      <c r="AC256" s="150"/>
      <c r="AD256" s="150"/>
    </row>
    <row r="257" spans="7:30" ht="15" hidden="1" x14ac:dyDescent="0.2">
      <c r="G257" s="150"/>
      <c r="H257" s="150"/>
      <c r="I257" s="150"/>
      <c r="J257" s="152"/>
      <c r="K257" s="152"/>
      <c r="L257" s="152"/>
      <c r="M257" s="155" t="s">
        <v>189</v>
      </c>
      <c r="N257" s="483">
        <f>VLOOKUP(M257,'Справочники и промежут.расчет'!$B$25:$C$107,2,0)</f>
        <v>18456</v>
      </c>
      <c r="O257" s="152"/>
      <c r="P257" s="155" t="s">
        <v>592</v>
      </c>
      <c r="Q257" s="153"/>
      <c r="R257" s="152"/>
      <c r="S257" s="152"/>
      <c r="T257" s="152"/>
      <c r="U257" s="152"/>
      <c r="V257" s="157"/>
      <c r="W257" s="152"/>
      <c r="X257" s="152"/>
      <c r="Y257" s="152"/>
      <c r="Z257" s="152"/>
      <c r="AA257" s="150"/>
      <c r="AB257" s="150"/>
      <c r="AC257" s="150"/>
      <c r="AD257" s="150"/>
    </row>
    <row r="258" spans="7:30" ht="15" hidden="1" x14ac:dyDescent="0.2">
      <c r="G258" s="150"/>
      <c r="H258" s="150"/>
      <c r="I258" s="150"/>
      <c r="J258" s="152"/>
      <c r="K258" s="152"/>
      <c r="L258" s="152"/>
      <c r="M258" s="155" t="s">
        <v>190</v>
      </c>
      <c r="N258" s="483">
        <f>VLOOKUP(M258,'Справочники и промежут.расчет'!$B$25:$C$107,2,0)</f>
        <v>12957</v>
      </c>
      <c r="O258" s="152"/>
      <c r="P258" s="155" t="s">
        <v>582</v>
      </c>
      <c r="Q258" s="153"/>
      <c r="R258" s="152"/>
      <c r="S258" s="152"/>
      <c r="T258" s="152"/>
      <c r="U258" s="152"/>
      <c r="V258" s="157"/>
      <c r="W258" s="152"/>
      <c r="X258" s="152"/>
      <c r="Y258" s="152"/>
      <c r="Z258" s="152"/>
      <c r="AA258" s="150"/>
      <c r="AB258" s="150"/>
      <c r="AC258" s="150"/>
      <c r="AD258" s="150"/>
    </row>
    <row r="259" spans="7:30" ht="15" hidden="1" x14ac:dyDescent="0.2">
      <c r="G259" s="150"/>
      <c r="H259" s="150"/>
      <c r="I259" s="150"/>
      <c r="J259" s="152"/>
      <c r="K259" s="152"/>
      <c r="L259" s="152"/>
      <c r="M259" s="155" t="s">
        <v>191</v>
      </c>
      <c r="N259" s="483">
        <f>VLOOKUP(M259,'Справочники и промежут.расчет'!$B$25:$C$107,2,0)</f>
        <v>12504</v>
      </c>
      <c r="O259" s="152"/>
      <c r="P259" s="155" t="s">
        <v>583</v>
      </c>
      <c r="Q259" s="153"/>
      <c r="R259" s="152"/>
      <c r="S259" s="152"/>
      <c r="T259" s="152"/>
      <c r="U259" s="152"/>
      <c r="V259" s="157"/>
      <c r="W259" s="152"/>
      <c r="X259" s="152"/>
      <c r="Y259" s="152"/>
      <c r="Z259" s="152"/>
      <c r="AA259" s="150"/>
      <c r="AB259" s="150"/>
      <c r="AC259" s="150"/>
      <c r="AD259" s="150"/>
    </row>
    <row r="260" spans="7:30" ht="15" hidden="1" x14ac:dyDescent="0.2">
      <c r="G260" s="150"/>
      <c r="H260" s="150"/>
      <c r="I260" s="150"/>
      <c r="J260" s="152"/>
      <c r="K260" s="152"/>
      <c r="L260" s="152"/>
      <c r="M260" s="155" t="s">
        <v>192</v>
      </c>
      <c r="N260" s="483">
        <f>VLOOKUP(M260,'Справочники и промежут.расчет'!$B$25:$C$107,2,0)</f>
        <v>11072</v>
      </c>
      <c r="O260" s="152"/>
      <c r="P260" s="155" t="s">
        <v>584</v>
      </c>
      <c r="Q260" s="153"/>
      <c r="R260" s="152"/>
      <c r="S260" s="152"/>
      <c r="T260" s="152"/>
      <c r="U260" s="152"/>
      <c r="V260" s="157"/>
      <c r="W260" s="152"/>
      <c r="X260" s="152"/>
      <c r="Y260" s="152"/>
      <c r="Z260" s="152"/>
      <c r="AA260" s="150"/>
      <c r="AB260" s="150"/>
      <c r="AC260" s="150"/>
      <c r="AD260" s="150"/>
    </row>
    <row r="261" spans="7:30" ht="15" hidden="1" x14ac:dyDescent="0.2">
      <c r="G261" s="150"/>
      <c r="H261" s="150"/>
      <c r="I261" s="150"/>
      <c r="J261" s="152"/>
      <c r="K261" s="152"/>
      <c r="L261" s="152"/>
      <c r="M261" s="155" t="s">
        <v>193</v>
      </c>
      <c r="N261" s="483">
        <f>VLOOKUP(M261,'Справочники и промежут.расчет'!$B$25:$C$107,2,0)</f>
        <v>29698</v>
      </c>
      <c r="O261" s="152"/>
      <c r="P261" s="155" t="s">
        <v>585</v>
      </c>
      <c r="Q261" s="153"/>
      <c r="R261" s="152"/>
      <c r="S261" s="152"/>
      <c r="T261" s="152"/>
      <c r="U261" s="152"/>
      <c r="V261" s="157"/>
      <c r="W261" s="152"/>
      <c r="X261" s="152"/>
      <c r="Y261" s="152"/>
      <c r="Z261" s="152"/>
      <c r="AA261" s="150"/>
      <c r="AB261" s="150"/>
      <c r="AC261" s="150"/>
      <c r="AD261" s="150"/>
    </row>
    <row r="262" spans="7:30" ht="15" hidden="1" x14ac:dyDescent="0.2">
      <c r="G262" s="150"/>
      <c r="H262" s="150"/>
      <c r="I262" s="150"/>
      <c r="J262" s="152"/>
      <c r="K262" s="152"/>
      <c r="L262" s="152"/>
      <c r="M262" s="155" t="s">
        <v>194</v>
      </c>
      <c r="N262" s="483">
        <f>VLOOKUP(M262,'Справочники и промежут.расчет'!$B$25:$C$107,2,0)</f>
        <v>19137</v>
      </c>
      <c r="O262" s="152"/>
      <c r="P262" s="155" t="s">
        <v>593</v>
      </c>
      <c r="Q262" s="153"/>
      <c r="R262" s="152"/>
      <c r="S262" s="152"/>
      <c r="T262" s="152"/>
      <c r="U262" s="152"/>
      <c r="V262" s="157"/>
      <c r="W262" s="152"/>
      <c r="X262" s="152"/>
      <c r="Y262" s="152"/>
      <c r="Z262" s="152"/>
      <c r="AA262" s="150"/>
      <c r="AB262" s="150"/>
      <c r="AC262" s="150"/>
      <c r="AD262" s="150"/>
    </row>
    <row r="263" spans="7:30" ht="15" hidden="1" x14ac:dyDescent="0.2">
      <c r="G263" s="150"/>
      <c r="H263" s="150"/>
      <c r="I263" s="150"/>
      <c r="J263" s="152"/>
      <c r="K263" s="152"/>
      <c r="L263" s="152"/>
      <c r="M263" s="155" t="s">
        <v>195</v>
      </c>
      <c r="N263" s="483">
        <f>VLOOKUP(M263,'Справочники и промежут.расчет'!$B$25:$C$107,2,0)</f>
        <v>12244</v>
      </c>
      <c r="O263" s="152"/>
      <c r="P263" s="155" t="s">
        <v>586</v>
      </c>
      <c r="Q263" s="153"/>
      <c r="R263" s="152"/>
      <c r="S263" s="152"/>
      <c r="T263" s="152"/>
      <c r="U263" s="152"/>
      <c r="V263" s="157"/>
      <c r="W263" s="152"/>
      <c r="X263" s="152"/>
      <c r="Y263" s="152"/>
      <c r="Z263" s="152"/>
      <c r="AA263" s="150"/>
      <c r="AB263" s="150"/>
      <c r="AC263" s="150"/>
      <c r="AD263" s="150"/>
    </row>
    <row r="264" spans="7:30" hidden="1" x14ac:dyDescent="0.2">
      <c r="G264" s="150"/>
      <c r="H264" s="150"/>
      <c r="I264" s="150"/>
      <c r="J264" s="152"/>
      <c r="K264" s="152"/>
      <c r="L264" s="152"/>
      <c r="M264" s="152"/>
      <c r="N264" s="152"/>
      <c r="O264" s="152"/>
      <c r="P264" s="153"/>
      <c r="Q264" s="153"/>
      <c r="R264" s="152"/>
      <c r="S264" s="152"/>
      <c r="T264" s="152"/>
      <c r="U264" s="152"/>
      <c r="V264" s="157"/>
      <c r="W264" s="152"/>
      <c r="X264" s="152"/>
      <c r="Y264" s="152"/>
      <c r="Z264" s="152"/>
      <c r="AA264" s="150"/>
      <c r="AB264" s="150"/>
      <c r="AC264" s="150"/>
      <c r="AD264" s="150"/>
    </row>
    <row r="265" spans="7:30" hidden="1" x14ac:dyDescent="0.2">
      <c r="G265" s="150"/>
      <c r="H265" s="150"/>
      <c r="I265" s="150"/>
      <c r="J265" s="152"/>
      <c r="K265" s="152"/>
      <c r="L265" s="152"/>
      <c r="M265" s="152"/>
      <c r="N265" s="152"/>
      <c r="O265" s="152"/>
      <c r="P265" s="153"/>
      <c r="Q265" s="153"/>
      <c r="R265" s="152"/>
      <c r="S265" s="152"/>
      <c r="T265" s="152"/>
      <c r="U265" s="152"/>
      <c r="V265" s="157"/>
      <c r="W265" s="152"/>
      <c r="X265" s="152"/>
      <c r="Y265" s="152"/>
      <c r="Z265" s="152"/>
      <c r="AA265" s="150"/>
      <c r="AB265" s="150"/>
      <c r="AC265" s="150"/>
      <c r="AD265" s="150"/>
    </row>
    <row r="266" spans="7:30" hidden="1" x14ac:dyDescent="0.2">
      <c r="G266" s="150"/>
      <c r="H266" s="150"/>
      <c r="I266" s="150"/>
      <c r="J266" s="152"/>
      <c r="K266" s="152"/>
      <c r="L266" s="152"/>
      <c r="O266" s="152"/>
      <c r="P266" s="153"/>
      <c r="Q266" s="153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0"/>
      <c r="AB266" s="150"/>
      <c r="AC266" s="150"/>
      <c r="AD266" s="150"/>
    </row>
    <row r="267" spans="7:30" hidden="1" x14ac:dyDescent="0.2">
      <c r="O267" s="152"/>
      <c r="P267" s="153"/>
      <c r="Q267" s="153"/>
      <c r="R267" s="152"/>
      <c r="S267" s="152"/>
      <c r="T267" s="152"/>
      <c r="U267" s="152"/>
      <c r="V267" s="152"/>
    </row>
    <row r="268" spans="7:30" hidden="1" x14ac:dyDescent="0.2"/>
    <row r="269" spans="7:30" hidden="1" x14ac:dyDescent="0.2"/>
    <row r="270" spans="7:30" hidden="1" x14ac:dyDescent="0.2"/>
    <row r="271" spans="7:30" hidden="1" x14ac:dyDescent="0.2"/>
    <row r="272" spans="7:30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</sheetData>
  <sheetProtection password="EAF9" sheet="1" objects="1" scenarios="1"/>
  <dataConsolidate/>
  <customSheetViews>
    <customSheetView guid="{A6ED9047-BF5F-4715-989F-6B73F8A8D111}" scale="90" showGridLines="0" showRowCol="0" fitToPage="1" hiddenRows="1" topLeftCell="B15">
      <selection activeCell="N60" sqref="N60:V60"/>
      <pageMargins left="0.25" right="0.25" top="0.75" bottom="0.75" header="0.3" footer="0.3"/>
      <pageSetup paperSize="9" scale="72" orientation="portrait" r:id="rId1"/>
    </customSheetView>
  </customSheetViews>
  <mergeCells count="9">
    <mergeCell ref="M93:N93"/>
    <mergeCell ref="P17:T17"/>
    <mergeCell ref="N119:V119"/>
    <mergeCell ref="P11:T11"/>
    <mergeCell ref="M6:V8"/>
    <mergeCell ref="P13:T13"/>
    <mergeCell ref="R35:T35"/>
    <mergeCell ref="M77:N77"/>
    <mergeCell ref="M89:N89"/>
  </mergeCells>
  <conditionalFormatting sqref="P61">
    <cfRule type="expression" dxfId="82" priority="2">
      <formula>$N$62="!"</formula>
    </cfRule>
  </conditionalFormatting>
  <conditionalFormatting sqref="P65">
    <cfRule type="expression" dxfId="81" priority="1">
      <formula>$N$62="!"</formula>
    </cfRule>
  </conditionalFormatting>
  <dataValidations count="13">
    <dataValidation type="list" allowBlank="1" showInputMessage="1" showErrorMessage="1" sqref="P11">
      <formula1>$M$181:$M$263</formula1>
    </dataValidation>
    <dataValidation type="whole" operator="greaterThanOrEqual" allowBlank="1" showInputMessage="1" showErrorMessage="1" sqref="R139:R140 V142 T141 Q113:S116 T113:V113">
      <formula1>0</formula1>
    </dataValidation>
    <dataValidation type="list" allowBlank="1" showInputMessage="1" showErrorMessage="1" sqref="P33 P46 P44 Q42 P41:P42 P56:P57 T145 R145 P145 V42 P37 P19 P35 P65 P39 P61 P59 P103 P63 P31 P48 P50 P54 P21:P29 P52 V145">
      <formula1>$R$172:$R$173</formula1>
    </dataValidation>
    <dataValidation type="decimal" operator="greaterThanOrEqual" allowBlank="1" showInputMessage="1" showErrorMessage="1" sqref="P86 P93 P89 P84 P138 P78">
      <formula1>0</formula1>
    </dataValidation>
    <dataValidation allowBlank="1" showInputMessage="1" sqref="Y105:Y116"/>
    <dataValidation type="custom" allowBlank="1" showInputMessage="1" showErrorMessage="1" sqref="P90 W89:W93 P92">
      <formula1>"&gt;0"</formula1>
    </dataValidation>
    <dataValidation type="list" allowBlank="1" showInputMessage="1" showErrorMessage="1" sqref="P73:P76 V69 T69 R69">
      <formula1>$V$171:$V$173</formula1>
    </dataValidation>
    <dataValidation type="list" allowBlank="1" showInputMessage="1" showErrorMessage="1" sqref="Z172">
      <formula1>$AB$172:$AB$173</formula1>
    </dataValidation>
    <dataValidation type="list" allowBlank="1" showInputMessage="1" showErrorMessage="1" sqref="N119:V119">
      <formula1>$R$191:$R$194</formula1>
    </dataValidation>
    <dataValidation type="date" allowBlank="1" showInputMessage="1" showErrorMessage="1" sqref="V114:V116">
      <formula1>42614</formula1>
      <formula2>53662</formula2>
    </dataValidation>
    <dataValidation type="decimal" allowBlank="1" showInputMessage="1" showErrorMessage="1" sqref="V61">
      <formula1>0</formula1>
      <formula2>3</formula2>
    </dataValidation>
    <dataValidation type="list" allowBlank="1" showInputMessage="1" showErrorMessage="1" sqref="P17">
      <formula1>$R$182:$R$189</formula1>
    </dataValidation>
    <dataValidation type="list" allowBlank="1" showInputMessage="1" showErrorMessage="1" sqref="P13:T13">
      <formula1>$M$168:$M$177</formula1>
    </dataValidation>
  </dataValidations>
  <pageMargins left="0.25" right="0.25" top="0.75" bottom="0.75" header="0.3" footer="0.3"/>
  <pageSetup paperSize="9" scale="5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'Справочники и промежут.расчет'!$D$3:$D$4</xm:f>
          </x14:formula1>
          <xm:sqref>W94 W96 W83:W87</xm:sqref>
        </x14:dataValidation>
        <x14:dataValidation type="list" allowBlank="1" showInputMessage="1" showErrorMessage="1">
          <x14:formula1>
            <xm:f>'Справочники и промежут.расчет'!$B$3:$B$7</xm:f>
          </x14:formula1>
          <xm:sqref>P14:Q14</xm:sqref>
        </x14:dataValidation>
        <x14:dataValidation type="whole" allowBlank="1" showInputMessage="1" showErrorMessage="1">
          <x14:formula1>
            <xm:f>0</xm:f>
          </x14:formula1>
          <x14:formula2>
            <xm:f>'Справочники и промежут.расчет'!$I$142*12</xm:f>
          </x14:formula2>
          <xm:sqref>P111:P112 Q112:V112</xm:sqref>
        </x14:dataValidation>
        <x14:dataValidation type="whole" allowBlank="1" showInputMessage="1" showErrorMessage="1">
          <x14:formula1>
            <xm:f>0</xm:f>
          </x14:formula1>
          <x14:formula2>
            <xm:f>'Справочники и промежут.расчет'!$I$144</xm:f>
          </x14:formula2>
          <xm:sqref>P79</xm:sqref>
        </x14:dataValidation>
        <x14:dataValidation type="decimal" allowBlank="1" showInputMessage="1" showErrorMessage="1" errorTitle="Увеличить первоначальный взнос" error="Необходимо внести больший первоначальный взнос">
          <x14:formula1>
            <xm:f>'Справочники и промежут.расчет'!$M$100</xm:f>
          </x14:formula1>
          <x14:formula2>
            <xm:f>100%</xm:f>
          </x14:formula2>
          <xm:sqref>P105</xm:sqref>
        </x14:dataValidation>
        <x14:dataValidation type="decimal" allowBlank="1" showInputMessage="1" showErrorMessage="1">
          <x14:formula1>
            <xm:f>'Справочники и промежут.расчет'!I102</xm:f>
          </x14:formula1>
          <x14:formula2>
            <xm:f>100%</xm:f>
          </x14:formula2>
          <xm:sqref>P108</xm:sqref>
        </x14:dataValidation>
        <x14:dataValidation type="decimal" allowBlank="1" showInputMessage="1" showErrorMessage="1">
          <x14:formula1>
            <xm:f>'Справочники и промежут.расчет'!I103</xm:f>
          </x14:formula1>
          <x14:formula2>
            <xm:f>100%</xm:f>
          </x14:formula2>
          <xm:sqref>P110</xm:sqref>
        </x14:dataValidation>
        <x14:dataValidation type="decimal" allowBlank="1" showInputMessage="1" showErrorMessage="1">
          <x14:formula1>
            <xm:f>'Справочники и промежут.расчет'!J85</xm:f>
          </x14:formula1>
          <x14:formula2>
            <xm:f>100%</xm:f>
          </x14:formula2>
          <xm:sqref>P106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C00000"/>
  </sheetPr>
  <dimension ref="A1"/>
  <sheetViews>
    <sheetView workbookViewId="0">
      <selection activeCell="N15" sqref="N15"/>
    </sheetView>
  </sheetViews>
  <sheetFormatPr defaultColWidth="9.140625" defaultRowHeight="15" x14ac:dyDescent="0.25"/>
  <cols>
    <col min="1" max="1" width="14.5703125" style="1" customWidth="1"/>
    <col min="2" max="16384" width="9.140625" style="1"/>
  </cols>
  <sheetData>
    <row r="1" ht="19.5" customHeight="1" x14ac:dyDescent="0.25"/>
  </sheetData>
  <customSheetViews>
    <customSheetView guid="{A6ED9047-BF5F-4715-989F-6B73F8A8D111}" state="hidden">
      <selection activeCell="N15" sqref="N15"/>
      <pageMargins left="0.7" right="0.7" top="0.75" bottom="0.75" header="0.3" footer="0.3"/>
      <pageSetup paperSize="9" orientation="portrait" r:id="rId1"/>
    </customSheetView>
  </customSheetViews>
  <phoneticPr fontId="0" type="noConversion"/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108"/>
  <sheetViews>
    <sheetView topLeftCell="A53" workbookViewId="0">
      <selection activeCell="E79" sqref="E79"/>
    </sheetView>
  </sheetViews>
  <sheetFormatPr defaultRowHeight="15" x14ac:dyDescent="0.25"/>
  <cols>
    <col min="1" max="1" width="3" bestFit="1" customWidth="1"/>
    <col min="2" max="2" width="35.5703125" bestFit="1" customWidth="1"/>
    <col min="3" max="3" width="15.42578125" customWidth="1"/>
  </cols>
  <sheetData>
    <row r="1" spans="1:3" x14ac:dyDescent="0.25">
      <c r="A1" s="257"/>
      <c r="B1" s="258" t="s">
        <v>328</v>
      </c>
    </row>
    <row r="2" spans="1:3" x14ac:dyDescent="0.25">
      <c r="B2" s="259" t="s">
        <v>329</v>
      </c>
    </row>
    <row r="3" spans="1:3" ht="13.5" customHeight="1" x14ac:dyDescent="0.25">
      <c r="B3" s="705" t="s">
        <v>330</v>
      </c>
      <c r="C3" s="267"/>
    </row>
    <row r="4" spans="1:3" ht="33.75" customHeight="1" x14ac:dyDescent="0.25">
      <c r="B4" s="706"/>
      <c r="C4" s="268" t="s">
        <v>331</v>
      </c>
    </row>
    <row r="5" spans="1:3" ht="51" customHeight="1" x14ac:dyDescent="0.25">
      <c r="B5" s="707"/>
      <c r="C5" s="260" t="s">
        <v>332</v>
      </c>
    </row>
    <row r="6" spans="1:3" s="264" customFormat="1" ht="22.5" customHeight="1" x14ac:dyDescent="0.2">
      <c r="A6" s="261">
        <v>1</v>
      </c>
      <c r="B6" s="262" t="s">
        <v>333</v>
      </c>
      <c r="C6" s="263">
        <v>10524</v>
      </c>
    </row>
    <row r="7" spans="1:3" s="264" customFormat="1" ht="12.75" x14ac:dyDescent="0.2">
      <c r="A7" s="261">
        <v>2</v>
      </c>
      <c r="B7" s="262" t="s">
        <v>334</v>
      </c>
    </row>
    <row r="8" spans="1:3" x14ac:dyDescent="0.25">
      <c r="A8" s="261">
        <v>3</v>
      </c>
      <c r="B8" s="266" t="s">
        <v>112</v>
      </c>
      <c r="C8" s="265">
        <v>8703</v>
      </c>
    </row>
    <row r="9" spans="1:3" x14ac:dyDescent="0.25">
      <c r="A9" s="261">
        <v>4</v>
      </c>
      <c r="B9" s="266" t="s">
        <v>114</v>
      </c>
      <c r="C9" s="265">
        <v>9727</v>
      </c>
    </row>
    <row r="10" spans="1:3" x14ac:dyDescent="0.25">
      <c r="A10" s="261">
        <v>5</v>
      </c>
      <c r="B10" s="266" t="s">
        <v>116</v>
      </c>
      <c r="C10" s="265">
        <v>9962</v>
      </c>
    </row>
    <row r="11" spans="1:3" x14ac:dyDescent="0.25">
      <c r="A11" s="261">
        <v>6</v>
      </c>
      <c r="B11" s="266" t="s">
        <v>120</v>
      </c>
      <c r="C11" s="265">
        <v>8824</v>
      </c>
    </row>
    <row r="12" spans="1:3" x14ac:dyDescent="0.25">
      <c r="A12" s="261">
        <v>7</v>
      </c>
      <c r="B12" s="266" t="s">
        <v>127</v>
      </c>
      <c r="C12" s="265">
        <v>10227</v>
      </c>
    </row>
    <row r="13" spans="1:3" x14ac:dyDescent="0.25">
      <c r="A13" s="261">
        <v>8</v>
      </c>
      <c r="B13" s="266" t="s">
        <v>131</v>
      </c>
      <c r="C13" s="265">
        <v>10121</v>
      </c>
    </row>
    <row r="14" spans="1:3" x14ac:dyDescent="0.25">
      <c r="A14" s="261">
        <v>9</v>
      </c>
      <c r="B14" s="266" t="s">
        <v>136</v>
      </c>
      <c r="C14" s="265">
        <v>9862</v>
      </c>
    </row>
    <row r="15" spans="1:3" x14ac:dyDescent="0.25">
      <c r="A15" s="261">
        <v>10</v>
      </c>
      <c r="B15" s="266" t="s">
        <v>140</v>
      </c>
      <c r="C15" s="265">
        <v>8980</v>
      </c>
    </row>
    <row r="16" spans="1:3" x14ac:dyDescent="0.25">
      <c r="A16" s="261">
        <v>11</v>
      </c>
      <c r="B16" s="266" t="s">
        <v>142</v>
      </c>
      <c r="C16" s="265">
        <v>9018</v>
      </c>
    </row>
    <row r="17" spans="1:3" x14ac:dyDescent="0.25">
      <c r="A17" s="261">
        <v>12</v>
      </c>
      <c r="B17" s="266" t="s">
        <v>144</v>
      </c>
      <c r="C17" s="265">
        <v>11598</v>
      </c>
    </row>
    <row r="18" spans="1:3" x14ac:dyDescent="0.25">
      <c r="A18" s="261">
        <v>13</v>
      </c>
      <c r="B18" s="266" t="s">
        <v>152</v>
      </c>
      <c r="C18" s="265">
        <v>9442</v>
      </c>
    </row>
    <row r="19" spans="1:3" x14ac:dyDescent="0.25">
      <c r="A19" s="261">
        <v>14</v>
      </c>
      <c r="B19" s="266" t="s">
        <v>174</v>
      </c>
      <c r="C19" s="265">
        <v>9468</v>
      </c>
    </row>
    <row r="20" spans="1:3" x14ac:dyDescent="0.25">
      <c r="A20" s="261">
        <v>15</v>
      </c>
      <c r="B20" s="266" t="s">
        <v>179</v>
      </c>
      <c r="C20" s="265">
        <v>11063</v>
      </c>
    </row>
    <row r="21" spans="1:3" x14ac:dyDescent="0.25">
      <c r="A21" s="261">
        <v>16</v>
      </c>
      <c r="B21" s="266" t="s">
        <v>181</v>
      </c>
      <c r="C21" s="265">
        <v>9015</v>
      </c>
    </row>
    <row r="22" spans="1:3" x14ac:dyDescent="0.25">
      <c r="A22" s="261">
        <v>17</v>
      </c>
      <c r="B22" s="266" t="s">
        <v>182</v>
      </c>
      <c r="C22" s="265">
        <v>10468</v>
      </c>
    </row>
    <row r="23" spans="1:3" x14ac:dyDescent="0.25">
      <c r="A23" s="261">
        <v>18</v>
      </c>
      <c r="B23" s="266" t="s">
        <v>184</v>
      </c>
      <c r="C23" s="265">
        <v>9631</v>
      </c>
    </row>
    <row r="24" spans="1:3" x14ac:dyDescent="0.25">
      <c r="A24" s="261">
        <v>19</v>
      </c>
      <c r="B24" s="266" t="s">
        <v>195</v>
      </c>
      <c r="C24" s="265">
        <v>9773</v>
      </c>
    </row>
    <row r="25" spans="1:3" x14ac:dyDescent="0.25">
      <c r="A25" s="261">
        <v>20</v>
      </c>
      <c r="B25" s="266" t="s">
        <v>71</v>
      </c>
      <c r="C25" s="265">
        <v>17130</v>
      </c>
    </row>
    <row r="26" spans="1:3" s="264" customFormat="1" ht="12.75" x14ac:dyDescent="0.2">
      <c r="A26" s="261">
        <v>21</v>
      </c>
      <c r="B26" s="262" t="s">
        <v>335</v>
      </c>
      <c r="C26" s="265"/>
    </row>
    <row r="27" spans="1:3" x14ac:dyDescent="0.25">
      <c r="A27" s="261">
        <v>22</v>
      </c>
      <c r="B27" s="266" t="s">
        <v>164</v>
      </c>
      <c r="C27" s="265">
        <v>13030</v>
      </c>
    </row>
    <row r="28" spans="1:3" x14ac:dyDescent="0.25">
      <c r="A28" s="261">
        <v>23</v>
      </c>
      <c r="B28" s="266" t="s">
        <v>165</v>
      </c>
      <c r="C28" s="265">
        <v>12877</v>
      </c>
    </row>
    <row r="29" spans="1:3" x14ac:dyDescent="0.25">
      <c r="A29" s="261">
        <v>24</v>
      </c>
      <c r="B29" s="266" t="s">
        <v>108</v>
      </c>
      <c r="C29" s="265">
        <v>14376</v>
      </c>
    </row>
    <row r="30" spans="1:3" x14ac:dyDescent="0.25">
      <c r="A30" s="261">
        <v>25</v>
      </c>
      <c r="B30" s="266" t="s">
        <v>146</v>
      </c>
      <c r="C30" s="265">
        <v>20523</v>
      </c>
    </row>
    <row r="31" spans="1:3" x14ac:dyDescent="0.25">
      <c r="A31" s="261">
        <v>26</v>
      </c>
      <c r="B31" s="266" t="s">
        <v>119</v>
      </c>
      <c r="C31" s="265">
        <v>11042</v>
      </c>
    </row>
    <row r="32" spans="1:3" x14ac:dyDescent="0.25">
      <c r="A32" s="261">
        <v>27</v>
      </c>
      <c r="B32" s="266" t="s">
        <v>130</v>
      </c>
      <c r="C32" s="265">
        <v>10627</v>
      </c>
    </row>
    <row r="33" spans="1:3" x14ac:dyDescent="0.25">
      <c r="A33" s="261">
        <v>28</v>
      </c>
      <c r="B33" s="266" t="s">
        <v>141</v>
      </c>
      <c r="C33" s="265">
        <v>9407</v>
      </c>
    </row>
    <row r="34" spans="1:3" x14ac:dyDescent="0.25">
      <c r="A34" s="261">
        <v>29</v>
      </c>
      <c r="B34" s="266" t="s">
        <v>145</v>
      </c>
      <c r="C34" s="265">
        <v>14224</v>
      </c>
    </row>
    <row r="35" spans="1:3" x14ac:dyDescent="0.25">
      <c r="A35" s="261">
        <v>30</v>
      </c>
      <c r="B35" s="266" t="s">
        <v>148</v>
      </c>
      <c r="C35" s="265">
        <v>10549</v>
      </c>
    </row>
    <row r="36" spans="1:3" x14ac:dyDescent="0.25">
      <c r="A36" s="261">
        <v>31</v>
      </c>
      <c r="B36" s="266" t="s">
        <v>156</v>
      </c>
      <c r="C36" s="265">
        <v>11386</v>
      </c>
    </row>
    <row r="37" spans="1:3" x14ac:dyDescent="0.25">
      <c r="A37" s="261">
        <v>32</v>
      </c>
      <c r="B37" s="266" t="s">
        <v>122</v>
      </c>
      <c r="C37" s="265">
        <v>11312</v>
      </c>
    </row>
    <row r="38" spans="1:3" s="264" customFormat="1" ht="12.75" x14ac:dyDescent="0.2">
      <c r="A38" s="261">
        <v>33</v>
      </c>
      <c r="B38" s="262" t="s">
        <v>336</v>
      </c>
      <c r="C38" s="265"/>
    </row>
    <row r="39" spans="1:3" x14ac:dyDescent="0.25">
      <c r="A39" s="261">
        <v>34</v>
      </c>
      <c r="B39" s="266" t="s">
        <v>157</v>
      </c>
      <c r="C39" s="265">
        <v>9254</v>
      </c>
    </row>
    <row r="40" spans="1:3" x14ac:dyDescent="0.25">
      <c r="A40" s="261">
        <v>35</v>
      </c>
      <c r="B40" s="266" t="s">
        <v>163</v>
      </c>
      <c r="C40" s="265">
        <v>8811</v>
      </c>
    </row>
    <row r="41" spans="1:3" x14ac:dyDescent="0.25">
      <c r="A41" s="261">
        <v>36</v>
      </c>
      <c r="B41" s="266" t="s">
        <v>137</v>
      </c>
      <c r="C41" s="265">
        <v>10443</v>
      </c>
    </row>
    <row r="42" spans="1:3" x14ac:dyDescent="0.25">
      <c r="A42" s="261">
        <v>37</v>
      </c>
      <c r="B42" s="266" t="s">
        <v>110</v>
      </c>
      <c r="C42" s="265">
        <v>9268</v>
      </c>
    </row>
    <row r="43" spans="1:3" x14ac:dyDescent="0.25">
      <c r="A43" s="261">
        <v>38</v>
      </c>
      <c r="B43" s="266" t="s">
        <v>118</v>
      </c>
      <c r="C43" s="265">
        <v>9898</v>
      </c>
    </row>
    <row r="44" spans="1:3" x14ac:dyDescent="0.25">
      <c r="A44" s="261">
        <v>39</v>
      </c>
      <c r="B44" s="266" t="s">
        <v>173</v>
      </c>
      <c r="C44" s="265">
        <v>10118</v>
      </c>
    </row>
    <row r="45" spans="1:3" s="264" customFormat="1" ht="12.75" x14ac:dyDescent="0.2">
      <c r="A45" s="261">
        <v>40</v>
      </c>
      <c r="B45" s="262" t="s">
        <v>337</v>
      </c>
      <c r="C45" s="265"/>
    </row>
    <row r="46" spans="1:3" x14ac:dyDescent="0.25">
      <c r="A46" s="261">
        <v>41</v>
      </c>
      <c r="B46" s="266" t="s">
        <v>161</v>
      </c>
      <c r="C46" s="265">
        <v>9264</v>
      </c>
    </row>
    <row r="47" spans="1:3" x14ac:dyDescent="0.25">
      <c r="A47" s="261">
        <v>42</v>
      </c>
      <c r="B47" s="266" t="s">
        <v>162</v>
      </c>
      <c r="C47" s="265">
        <v>8826</v>
      </c>
    </row>
    <row r="48" spans="1:3" x14ac:dyDescent="0.25">
      <c r="A48" s="261">
        <v>43</v>
      </c>
      <c r="B48" s="266" t="s">
        <v>129</v>
      </c>
      <c r="C48" s="265">
        <v>10942</v>
      </c>
    </row>
    <row r="49" spans="1:3" x14ac:dyDescent="0.25">
      <c r="A49" s="261">
        <v>44</v>
      </c>
      <c r="B49" s="266" t="s">
        <v>133</v>
      </c>
      <c r="C49" s="265">
        <v>9305</v>
      </c>
    </row>
    <row r="50" spans="1:3" x14ac:dyDescent="0.25">
      <c r="A50" s="261">
        <v>45</v>
      </c>
      <c r="B50" s="266" t="s">
        <v>169</v>
      </c>
      <c r="C50" s="265">
        <v>9179</v>
      </c>
    </row>
    <row r="51" spans="1:3" x14ac:dyDescent="0.25">
      <c r="A51" s="261">
        <v>46</v>
      </c>
      <c r="B51" s="266" t="s">
        <v>191</v>
      </c>
      <c r="C51" s="265">
        <v>9317</v>
      </c>
    </row>
    <row r="52" spans="1:3" x14ac:dyDescent="0.25">
      <c r="A52" s="261">
        <v>47</v>
      </c>
      <c r="B52" s="266" t="s">
        <v>180</v>
      </c>
      <c r="C52" s="265">
        <v>8853</v>
      </c>
    </row>
    <row r="53" spans="1:3" s="264" customFormat="1" ht="12.75" x14ac:dyDescent="0.2">
      <c r="A53" s="261">
        <v>48</v>
      </c>
      <c r="B53" s="262" t="s">
        <v>338</v>
      </c>
      <c r="C53" s="265"/>
    </row>
    <row r="54" spans="1:3" x14ac:dyDescent="0.25">
      <c r="A54" s="261">
        <v>49</v>
      </c>
      <c r="B54" s="266" t="s">
        <v>159</v>
      </c>
      <c r="C54" s="265">
        <v>9205</v>
      </c>
    </row>
    <row r="55" spans="1:3" x14ac:dyDescent="0.25">
      <c r="A55" s="261">
        <v>50</v>
      </c>
      <c r="B55" s="266" t="s">
        <v>166</v>
      </c>
      <c r="C55" s="265">
        <v>9005</v>
      </c>
    </row>
    <row r="56" spans="1:3" x14ac:dyDescent="0.25">
      <c r="A56" s="261">
        <v>51</v>
      </c>
      <c r="B56" s="266" t="s">
        <v>167</v>
      </c>
      <c r="C56" s="265">
        <v>8475</v>
      </c>
    </row>
    <row r="57" spans="1:3" x14ac:dyDescent="0.25">
      <c r="A57" s="261">
        <v>52</v>
      </c>
      <c r="B57" s="266" t="s">
        <v>170</v>
      </c>
      <c r="C57" s="265">
        <v>8532</v>
      </c>
    </row>
    <row r="58" spans="1:3" x14ac:dyDescent="0.25">
      <c r="A58" s="261">
        <v>53</v>
      </c>
      <c r="B58" s="266" t="s">
        <v>186</v>
      </c>
      <c r="C58" s="265">
        <v>9046</v>
      </c>
    </row>
    <row r="59" spans="1:3" x14ac:dyDescent="0.25">
      <c r="A59" s="261">
        <v>54</v>
      </c>
      <c r="B59" s="266" t="s">
        <v>192</v>
      </c>
      <c r="C59" s="265">
        <v>8854</v>
      </c>
    </row>
    <row r="60" spans="1:3" x14ac:dyDescent="0.25">
      <c r="A60" s="261">
        <v>55</v>
      </c>
      <c r="B60" s="266" t="s">
        <v>154</v>
      </c>
      <c r="C60" s="265">
        <v>10251</v>
      </c>
    </row>
    <row r="61" spans="1:3" x14ac:dyDescent="0.25">
      <c r="A61" s="261">
        <v>56</v>
      </c>
      <c r="B61" s="266" t="s">
        <v>135</v>
      </c>
      <c r="C61" s="265">
        <v>9943</v>
      </c>
    </row>
    <row r="62" spans="1:3" x14ac:dyDescent="0.25">
      <c r="A62" s="261">
        <v>57</v>
      </c>
      <c r="B62" s="266" t="s">
        <v>147</v>
      </c>
      <c r="C62" s="265">
        <v>9389</v>
      </c>
    </row>
    <row r="63" spans="1:3" x14ac:dyDescent="0.25">
      <c r="A63" s="261">
        <v>58</v>
      </c>
      <c r="B63" s="266" t="s">
        <v>151</v>
      </c>
      <c r="C63" s="265">
        <v>8800</v>
      </c>
    </row>
    <row r="64" spans="1:3" x14ac:dyDescent="0.25">
      <c r="A64" s="261">
        <v>59</v>
      </c>
      <c r="B64" s="266" t="s">
        <v>153</v>
      </c>
      <c r="C64" s="265">
        <v>9038</v>
      </c>
    </row>
    <row r="65" spans="1:3" x14ac:dyDescent="0.25">
      <c r="A65" s="261">
        <v>60</v>
      </c>
      <c r="B65" s="266" t="s">
        <v>175</v>
      </c>
      <c r="C65" s="265">
        <v>10486</v>
      </c>
    </row>
    <row r="66" spans="1:3" x14ac:dyDescent="0.25">
      <c r="A66" s="261">
        <v>61</v>
      </c>
      <c r="B66" s="266" t="s">
        <v>176</v>
      </c>
      <c r="C66" s="265">
        <v>8962</v>
      </c>
    </row>
    <row r="67" spans="1:3" x14ac:dyDescent="0.25">
      <c r="A67" s="261">
        <v>62</v>
      </c>
      <c r="B67" s="266" t="s">
        <v>187</v>
      </c>
      <c r="C67" s="265">
        <v>9170</v>
      </c>
    </row>
    <row r="68" spans="1:3" s="264" customFormat="1" ht="12.75" x14ac:dyDescent="0.2">
      <c r="A68" s="261">
        <v>63</v>
      </c>
      <c r="B68" s="262" t="s">
        <v>339</v>
      </c>
      <c r="C68" s="265"/>
    </row>
    <row r="69" spans="1:3" x14ac:dyDescent="0.25">
      <c r="A69" s="261">
        <v>64</v>
      </c>
      <c r="B69" s="266" t="s">
        <v>139</v>
      </c>
      <c r="C69" s="265">
        <v>9864</v>
      </c>
    </row>
    <row r="70" spans="1:3" x14ac:dyDescent="0.25">
      <c r="A70" s="261">
        <v>65</v>
      </c>
      <c r="B70" s="266" t="s">
        <v>178</v>
      </c>
      <c r="C70" s="265">
        <v>10309</v>
      </c>
    </row>
    <row r="71" spans="1:3" x14ac:dyDescent="0.25">
      <c r="A71" s="261">
        <v>66</v>
      </c>
      <c r="B71" s="266" t="s">
        <v>185</v>
      </c>
      <c r="C71" s="265">
        <v>10559</v>
      </c>
    </row>
    <row r="72" spans="1:3" x14ac:dyDescent="0.25">
      <c r="A72" s="261">
        <v>67</v>
      </c>
      <c r="B72" s="200" t="s">
        <v>189</v>
      </c>
      <c r="C72" s="265">
        <v>15461</v>
      </c>
    </row>
    <row r="73" spans="1:3" x14ac:dyDescent="0.25">
      <c r="A73" s="261">
        <v>68</v>
      </c>
      <c r="B73" s="266" t="s">
        <v>194</v>
      </c>
      <c r="C73" s="265">
        <v>16299</v>
      </c>
    </row>
    <row r="74" spans="1:3" x14ac:dyDescent="0.25">
      <c r="A74" s="261">
        <v>69</v>
      </c>
      <c r="B74" s="266" t="s">
        <v>190</v>
      </c>
      <c r="C74" s="265">
        <v>9944</v>
      </c>
    </row>
    <row r="75" spans="1:3" s="264" customFormat="1" ht="12.75" x14ac:dyDescent="0.2">
      <c r="A75" s="261">
        <v>70</v>
      </c>
      <c r="B75" s="262" t="s">
        <v>340</v>
      </c>
      <c r="C75" s="265"/>
    </row>
    <row r="76" spans="1:3" x14ac:dyDescent="0.25">
      <c r="A76" s="261">
        <v>71</v>
      </c>
      <c r="B76" s="266" t="s">
        <v>158</v>
      </c>
      <c r="C76" s="265">
        <v>9944</v>
      </c>
    </row>
    <row r="77" spans="1:3" x14ac:dyDescent="0.25">
      <c r="A77" s="261">
        <v>72</v>
      </c>
      <c r="B77" s="266" t="s">
        <v>160</v>
      </c>
      <c r="C77" s="265">
        <v>10005</v>
      </c>
    </row>
    <row r="78" spans="1:3" x14ac:dyDescent="0.25">
      <c r="A78" s="261">
        <v>73</v>
      </c>
      <c r="B78" s="266" t="s">
        <v>171</v>
      </c>
      <c r="C78" s="265">
        <v>10306</v>
      </c>
    </row>
    <row r="79" spans="1:3" x14ac:dyDescent="0.25">
      <c r="A79" s="261">
        <v>74</v>
      </c>
      <c r="B79" s="266" t="s">
        <v>172</v>
      </c>
      <c r="C79" s="265">
        <v>9727</v>
      </c>
    </row>
    <row r="80" spans="1:3" x14ac:dyDescent="0.25">
      <c r="A80" s="261">
        <v>75</v>
      </c>
      <c r="B80" s="266" t="s">
        <v>105</v>
      </c>
      <c r="C80" s="265">
        <v>9542</v>
      </c>
    </row>
    <row r="81" spans="1:3" x14ac:dyDescent="0.25">
      <c r="A81" s="261">
        <v>76</v>
      </c>
      <c r="B81" s="266" t="s">
        <v>138</v>
      </c>
      <c r="C81" s="265">
        <v>11577</v>
      </c>
    </row>
    <row r="82" spans="1:3" x14ac:dyDescent="0.25">
      <c r="A82" s="261">
        <v>77</v>
      </c>
      <c r="B82" s="266" t="s">
        <v>128</v>
      </c>
      <c r="C82" s="265">
        <v>10673</v>
      </c>
    </row>
    <row r="83" spans="1:3" x14ac:dyDescent="0.25">
      <c r="A83" s="261">
        <v>78</v>
      </c>
      <c r="B83" s="266" t="s">
        <v>134</v>
      </c>
      <c r="C83" s="265">
        <v>9419</v>
      </c>
    </row>
    <row r="84" spans="1:3" x14ac:dyDescent="0.25">
      <c r="A84" s="261">
        <v>79</v>
      </c>
      <c r="B84" s="266" t="s">
        <v>149</v>
      </c>
      <c r="C84" s="265">
        <v>11131</v>
      </c>
    </row>
    <row r="85" spans="1:3" x14ac:dyDescent="0.25">
      <c r="A85" s="261">
        <v>80</v>
      </c>
      <c r="B85" s="266" t="s">
        <v>150</v>
      </c>
      <c r="C85" s="265">
        <v>9109</v>
      </c>
    </row>
    <row r="86" spans="1:3" x14ac:dyDescent="0.25">
      <c r="A86" s="261">
        <v>81</v>
      </c>
      <c r="B86" s="266" t="s">
        <v>183</v>
      </c>
      <c r="C86" s="265">
        <v>11303</v>
      </c>
    </row>
    <row r="87" spans="1:3" x14ac:dyDescent="0.25">
      <c r="A87" s="261">
        <v>82</v>
      </c>
      <c r="B87" s="266" t="s">
        <v>126</v>
      </c>
      <c r="C87" s="265">
        <v>10924</v>
      </c>
    </row>
    <row r="88" spans="1:3" s="264" customFormat="1" ht="12.75" x14ac:dyDescent="0.2">
      <c r="A88" s="261">
        <v>83</v>
      </c>
      <c r="B88" s="262" t="s">
        <v>341</v>
      </c>
      <c r="C88" s="265"/>
    </row>
    <row r="89" spans="1:3" x14ac:dyDescent="0.25">
      <c r="A89" s="261">
        <v>84</v>
      </c>
      <c r="B89" s="266" t="s">
        <v>168</v>
      </c>
      <c r="C89" s="265">
        <v>16824</v>
      </c>
    </row>
    <row r="90" spans="1:3" x14ac:dyDescent="0.25">
      <c r="A90" s="261">
        <v>85</v>
      </c>
      <c r="B90" s="266" t="s">
        <v>155</v>
      </c>
      <c r="C90" s="265">
        <v>13373</v>
      </c>
    </row>
    <row r="91" spans="1:3" x14ac:dyDescent="0.25">
      <c r="A91" s="261">
        <v>86</v>
      </c>
      <c r="B91" s="266" t="s">
        <v>188</v>
      </c>
      <c r="C91" s="265">
        <v>14267</v>
      </c>
    </row>
    <row r="92" spans="1:3" x14ac:dyDescent="0.25">
      <c r="A92" s="261">
        <v>87</v>
      </c>
      <c r="B92" s="266" t="s">
        <v>107</v>
      </c>
      <c r="C92" s="265">
        <v>12235</v>
      </c>
    </row>
    <row r="93" spans="1:3" x14ac:dyDescent="0.25">
      <c r="A93" s="261">
        <v>88</v>
      </c>
      <c r="B93" s="266" t="s">
        <v>132</v>
      </c>
      <c r="C93" s="265">
        <v>19494</v>
      </c>
    </row>
    <row r="94" spans="1:3" x14ac:dyDescent="0.25">
      <c r="A94" s="261">
        <v>89</v>
      </c>
      <c r="B94" s="266" t="s">
        <v>143</v>
      </c>
      <c r="C94" s="265">
        <v>18747</v>
      </c>
    </row>
    <row r="95" spans="1:3" x14ac:dyDescent="0.25">
      <c r="A95" s="261">
        <v>90</v>
      </c>
      <c r="B95" s="266" t="s">
        <v>193</v>
      </c>
      <c r="C95" s="265">
        <v>18142</v>
      </c>
    </row>
    <row r="96" spans="1:3" x14ac:dyDescent="0.25">
      <c r="A96" s="261">
        <v>91</v>
      </c>
      <c r="B96" s="266" t="s">
        <v>177</v>
      </c>
      <c r="C96" s="265">
        <v>14501</v>
      </c>
    </row>
    <row r="97" spans="1:3" x14ac:dyDescent="0.25">
      <c r="A97" s="261">
        <v>92</v>
      </c>
      <c r="B97" s="200" t="s">
        <v>124</v>
      </c>
      <c r="C97" s="265">
        <v>13321</v>
      </c>
    </row>
    <row r="98" spans="1:3" x14ac:dyDescent="0.25">
      <c r="A98" s="261">
        <v>93</v>
      </c>
      <c r="B98" s="262" t="s">
        <v>342</v>
      </c>
      <c r="C98" s="265"/>
    </row>
    <row r="99" spans="1:3" x14ac:dyDescent="0.25">
      <c r="A99" s="261">
        <v>94</v>
      </c>
      <c r="B99" s="266" t="s">
        <v>343</v>
      </c>
      <c r="C99" s="265">
        <v>10392</v>
      </c>
    </row>
    <row r="100" spans="1:3" x14ac:dyDescent="0.25">
      <c r="A100" s="261">
        <v>95</v>
      </c>
      <c r="B100" s="266" t="s">
        <v>344</v>
      </c>
      <c r="C100" s="265">
        <v>10258</v>
      </c>
    </row>
    <row r="101" spans="1:3" ht="12.75" customHeight="1" x14ac:dyDescent="0.25">
      <c r="C101" s="265"/>
    </row>
    <row r="102" spans="1:3" ht="12.75" customHeight="1" x14ac:dyDescent="0.25">
      <c r="C102" s="265"/>
    </row>
    <row r="103" spans="1:3" ht="12.75" customHeight="1" x14ac:dyDescent="0.25">
      <c r="C103" s="265"/>
    </row>
    <row r="104" spans="1:3" ht="13.5" customHeight="1" x14ac:dyDescent="0.25">
      <c r="C104" s="265"/>
    </row>
    <row r="105" spans="1:3" x14ac:dyDescent="0.25">
      <c r="C105" s="265"/>
    </row>
    <row r="106" spans="1:3" ht="22.5" customHeight="1" x14ac:dyDescent="0.25">
      <c r="C106" s="265"/>
    </row>
    <row r="107" spans="1:3" ht="33.75" customHeight="1" x14ac:dyDescent="0.25"/>
    <row r="108" spans="1:3" ht="22.5" customHeight="1" x14ac:dyDescent="0.25"/>
  </sheetData>
  <customSheetViews>
    <customSheetView guid="{A6ED9047-BF5F-4715-989F-6B73F8A8D111}" state="hidden" topLeftCell="A53">
      <selection activeCell="E79" sqref="E79"/>
      <pageMargins left="0.7" right="0.7" top="0.75" bottom="0.75" header="0.3" footer="0.3"/>
    </customSheetView>
  </customSheetViews>
  <mergeCells count="1">
    <mergeCell ref="B3:B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5"/>
  <sheetViews>
    <sheetView workbookViewId="0">
      <selection activeCell="H9" sqref="H9"/>
    </sheetView>
  </sheetViews>
  <sheetFormatPr defaultRowHeight="15" x14ac:dyDescent="0.25"/>
  <cols>
    <col min="2" max="2" width="51.7109375" bestFit="1" customWidth="1"/>
    <col min="3" max="3" width="18.42578125" customWidth="1"/>
    <col min="4" max="4" width="15" bestFit="1" customWidth="1"/>
    <col min="5" max="5" width="29.7109375" bestFit="1" customWidth="1"/>
    <col min="6" max="6" width="11" bestFit="1" customWidth="1"/>
    <col min="7" max="7" width="24.42578125" bestFit="1" customWidth="1"/>
    <col min="8" max="8" width="29.7109375" bestFit="1" customWidth="1"/>
  </cols>
  <sheetData>
    <row r="2" spans="2:8" x14ac:dyDescent="0.25">
      <c r="B2" s="537" t="s">
        <v>97</v>
      </c>
      <c r="C2" s="537" t="s">
        <v>257</v>
      </c>
      <c r="E2" s="536" t="s">
        <v>724</v>
      </c>
      <c r="F2" s="536" t="s">
        <v>302</v>
      </c>
      <c r="H2" t="s">
        <v>218</v>
      </c>
    </row>
    <row r="3" spans="2:8" x14ac:dyDescent="0.25">
      <c r="B3" s="535" t="s">
        <v>719</v>
      </c>
      <c r="C3" s="538">
        <v>8.2000000000000003E-2</v>
      </c>
      <c r="E3" s="535" t="s">
        <v>718</v>
      </c>
      <c r="F3" s="538">
        <v>-5.0000000000000001E-3</v>
      </c>
      <c r="H3" t="s">
        <v>599</v>
      </c>
    </row>
    <row r="4" spans="2:8" x14ac:dyDescent="0.25">
      <c r="B4" s="535" t="s">
        <v>102</v>
      </c>
      <c r="C4" s="538">
        <v>9.7000000000000003E-2</v>
      </c>
      <c r="E4" s="535" t="s">
        <v>716</v>
      </c>
      <c r="F4" s="538">
        <v>-5.0000000000000001E-3</v>
      </c>
      <c r="H4" t="s">
        <v>608</v>
      </c>
    </row>
    <row r="5" spans="2:8" x14ac:dyDescent="0.25">
      <c r="B5" s="535" t="s">
        <v>65</v>
      </c>
      <c r="C5" s="538">
        <v>9.1999999999999998E-2</v>
      </c>
      <c r="E5" s="535" t="s">
        <v>717</v>
      </c>
      <c r="F5" s="538">
        <v>-5.0000000000000001E-3</v>
      </c>
      <c r="H5" t="s">
        <v>600</v>
      </c>
    </row>
    <row r="6" spans="2:8" x14ac:dyDescent="0.25">
      <c r="B6" s="535" t="s">
        <v>648</v>
      </c>
      <c r="C6" s="538">
        <v>5.8000000000000003E-2</v>
      </c>
      <c r="E6" s="535" t="s">
        <v>715</v>
      </c>
      <c r="F6" s="538">
        <v>-2E-3</v>
      </c>
    </row>
    <row r="7" spans="2:8" x14ac:dyDescent="0.25">
      <c r="B7" s="535" t="s">
        <v>720</v>
      </c>
      <c r="C7" s="538">
        <v>4.7E-2</v>
      </c>
      <c r="E7" s="535" t="s">
        <v>713</v>
      </c>
      <c r="F7" s="538">
        <v>5.0000000000000001E-3</v>
      </c>
    </row>
    <row r="8" spans="2:8" x14ac:dyDescent="0.25">
      <c r="B8" s="535" t="s">
        <v>721</v>
      </c>
      <c r="C8" s="538">
        <v>9.1999999999999998E-2</v>
      </c>
      <c r="E8" s="535" t="s">
        <v>723</v>
      </c>
      <c r="F8" s="538">
        <v>8.0000000000000002E-3</v>
      </c>
    </row>
    <row r="9" spans="2:8" x14ac:dyDescent="0.25">
      <c r="B9" s="535" t="s">
        <v>722</v>
      </c>
      <c r="C9" s="538">
        <v>0.122</v>
      </c>
    </row>
    <row r="10" spans="2:8" x14ac:dyDescent="0.25">
      <c r="B10" s="535" t="s">
        <v>595</v>
      </c>
      <c r="C10" s="538">
        <v>0.122</v>
      </c>
      <c r="E10" t="s">
        <v>82</v>
      </c>
    </row>
    <row r="11" spans="2:8" x14ac:dyDescent="0.25">
      <c r="B11" s="535" t="s">
        <v>643</v>
      </c>
      <c r="C11" s="538">
        <v>1E-3</v>
      </c>
      <c r="E11" t="s">
        <v>67</v>
      </c>
    </row>
    <row r="12" spans="2:8" x14ac:dyDescent="0.25">
      <c r="B12" s="535" t="s">
        <v>691</v>
      </c>
      <c r="C12" s="538">
        <v>2.5000000000000001E-2</v>
      </c>
    </row>
    <row r="16" spans="2:8" x14ac:dyDescent="0.25">
      <c r="B16" s="536" t="s">
        <v>725</v>
      </c>
      <c r="C16" s="539" t="s">
        <v>718</v>
      </c>
      <c r="D16" s="539" t="s">
        <v>716</v>
      </c>
      <c r="E16" s="539" t="s">
        <v>717</v>
      </c>
      <c r="F16" s="539" t="s">
        <v>715</v>
      </c>
      <c r="G16" s="539" t="s">
        <v>713</v>
      </c>
      <c r="H16" s="539" t="s">
        <v>723</v>
      </c>
    </row>
    <row r="17" spans="2:8" x14ac:dyDescent="0.25">
      <c r="B17" s="539" t="s">
        <v>719</v>
      </c>
      <c r="C17" s="539">
        <v>1</v>
      </c>
      <c r="D17" s="539">
        <v>1</v>
      </c>
      <c r="E17" s="539"/>
      <c r="F17" s="539">
        <v>1</v>
      </c>
      <c r="G17" s="539">
        <v>1</v>
      </c>
      <c r="H17" s="539">
        <v>1</v>
      </c>
    </row>
    <row r="18" spans="2:8" x14ac:dyDescent="0.25">
      <c r="B18" s="539" t="s">
        <v>102</v>
      </c>
      <c r="C18" s="539"/>
      <c r="D18" s="539">
        <v>1</v>
      </c>
      <c r="E18" s="539"/>
      <c r="F18" s="539">
        <v>1</v>
      </c>
      <c r="G18" s="539">
        <v>1</v>
      </c>
      <c r="H18" s="539">
        <v>1</v>
      </c>
    </row>
    <row r="19" spans="2:8" x14ac:dyDescent="0.25">
      <c r="B19" s="539" t="s">
        <v>65</v>
      </c>
      <c r="C19" s="539"/>
      <c r="D19" s="539">
        <v>1</v>
      </c>
      <c r="E19" s="539">
        <v>1</v>
      </c>
      <c r="F19" s="539">
        <v>1</v>
      </c>
      <c r="G19" s="539">
        <v>1</v>
      </c>
      <c r="H19" s="539">
        <v>1</v>
      </c>
    </row>
    <row r="20" spans="2:8" x14ac:dyDescent="0.25">
      <c r="B20" s="539" t="s">
        <v>648</v>
      </c>
      <c r="C20" s="539">
        <v>1</v>
      </c>
      <c r="D20" s="539"/>
      <c r="E20" s="539"/>
      <c r="F20" s="539">
        <v>1</v>
      </c>
      <c r="G20" s="539">
        <v>1</v>
      </c>
      <c r="H20" s="539">
        <v>1</v>
      </c>
    </row>
    <row r="21" spans="2:8" x14ac:dyDescent="0.25">
      <c r="B21" s="539" t="s">
        <v>720</v>
      </c>
      <c r="C21" s="539">
        <v>1</v>
      </c>
      <c r="D21" s="539"/>
      <c r="E21" s="539"/>
      <c r="F21" s="539">
        <v>1</v>
      </c>
      <c r="G21" s="539">
        <v>1</v>
      </c>
      <c r="H21" s="539">
        <v>1</v>
      </c>
    </row>
    <row r="22" spans="2:8" x14ac:dyDescent="0.25">
      <c r="B22" s="539" t="s">
        <v>721</v>
      </c>
      <c r="C22" s="539"/>
      <c r="D22" s="539"/>
      <c r="E22" s="539"/>
      <c r="F22" s="539">
        <v>1</v>
      </c>
      <c r="G22" s="539">
        <v>1</v>
      </c>
      <c r="H22" s="539">
        <v>1</v>
      </c>
    </row>
    <row r="23" spans="2:8" x14ac:dyDescent="0.25">
      <c r="B23" s="539" t="s">
        <v>722</v>
      </c>
      <c r="C23" s="539"/>
      <c r="D23" s="539"/>
      <c r="E23" s="539"/>
      <c r="F23" s="539">
        <v>1</v>
      </c>
      <c r="G23" s="539">
        <v>1</v>
      </c>
      <c r="H23" s="539">
        <v>1</v>
      </c>
    </row>
    <row r="24" spans="2:8" x14ac:dyDescent="0.25">
      <c r="B24" s="539" t="s">
        <v>595</v>
      </c>
      <c r="C24" s="539"/>
      <c r="D24" s="539"/>
      <c r="E24" s="539"/>
      <c r="F24" s="539">
        <v>1</v>
      </c>
      <c r="G24" s="539">
        <v>1</v>
      </c>
      <c r="H24" s="539">
        <v>1</v>
      </c>
    </row>
    <row r="25" spans="2:8" x14ac:dyDescent="0.25">
      <c r="B25" s="539" t="s">
        <v>643</v>
      </c>
      <c r="C25" s="539"/>
      <c r="D25" s="539"/>
      <c r="E25" s="539"/>
      <c r="F25" s="539"/>
      <c r="G25" s="539"/>
      <c r="H25" s="539">
        <v>1</v>
      </c>
    </row>
    <row r="26" spans="2:8" x14ac:dyDescent="0.25">
      <c r="B26" s="539" t="s">
        <v>691</v>
      </c>
      <c r="C26" s="539"/>
      <c r="D26" s="539"/>
      <c r="E26" s="539"/>
      <c r="F26" s="539">
        <v>1</v>
      </c>
      <c r="G26" s="539">
        <v>1</v>
      </c>
      <c r="H26" s="539"/>
    </row>
    <row r="29" spans="2:8" x14ac:dyDescent="0.25">
      <c r="B29" s="536" t="s">
        <v>726</v>
      </c>
      <c r="C29" s="539" t="s">
        <v>718</v>
      </c>
      <c r="D29" s="539" t="s">
        <v>716</v>
      </c>
      <c r="E29" s="539" t="s">
        <v>717</v>
      </c>
      <c r="F29" s="539" t="s">
        <v>715</v>
      </c>
      <c r="G29" s="539" t="s">
        <v>713</v>
      </c>
      <c r="H29" s="539" t="s">
        <v>723</v>
      </c>
    </row>
    <row r="30" spans="2:8" x14ac:dyDescent="0.25">
      <c r="B30" s="535" t="s">
        <v>718</v>
      </c>
      <c r="C30" s="535"/>
      <c r="D30" s="535"/>
      <c r="E30" s="535"/>
      <c r="F30" s="535"/>
      <c r="G30" s="535"/>
      <c r="H30" s="535"/>
    </row>
    <row r="31" spans="2:8" x14ac:dyDescent="0.25">
      <c r="B31" s="535" t="s">
        <v>716</v>
      </c>
      <c r="C31" s="535"/>
      <c r="D31" s="535"/>
      <c r="E31" s="535"/>
      <c r="F31" s="535"/>
      <c r="G31" s="535"/>
      <c r="H31" s="535"/>
    </row>
    <row r="32" spans="2:8" x14ac:dyDescent="0.25">
      <c r="B32" s="535" t="s">
        <v>717</v>
      </c>
      <c r="C32" s="535"/>
      <c r="D32" s="535"/>
      <c r="E32" s="535"/>
      <c r="F32" s="535"/>
      <c r="G32" s="535"/>
      <c r="H32" s="535"/>
    </row>
    <row r="33" spans="2:8" x14ac:dyDescent="0.25">
      <c r="B33" s="535" t="s">
        <v>715</v>
      </c>
      <c r="C33" s="535"/>
      <c r="D33" s="535"/>
      <c r="E33" s="535"/>
      <c r="F33" s="535"/>
      <c r="G33" s="535"/>
      <c r="H33" s="535"/>
    </row>
    <row r="34" spans="2:8" x14ac:dyDescent="0.25">
      <c r="B34" s="535" t="s">
        <v>713</v>
      </c>
      <c r="C34" s="535"/>
      <c r="D34" s="535"/>
      <c r="E34" s="535"/>
      <c r="F34" s="535"/>
      <c r="G34" s="535"/>
      <c r="H34" s="535"/>
    </row>
    <row r="35" spans="2:8" x14ac:dyDescent="0.25">
      <c r="B35" s="535" t="s">
        <v>723</v>
      </c>
      <c r="C35" s="535"/>
      <c r="D35" s="535"/>
      <c r="E35" s="535"/>
      <c r="F35" s="535"/>
      <c r="G35" s="535"/>
      <c r="H35" s="53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workbookViewId="0">
      <selection activeCell="E31" sqref="E31"/>
    </sheetView>
  </sheetViews>
  <sheetFormatPr defaultRowHeight="15" x14ac:dyDescent="0.25"/>
  <cols>
    <col min="2" max="2" width="24.42578125" bestFit="1" customWidth="1"/>
  </cols>
  <sheetData>
    <row r="2" spans="2:9" x14ac:dyDescent="0.25">
      <c r="B2" s="509" t="s">
        <v>727</v>
      </c>
      <c r="D2" s="708" t="s">
        <v>65</v>
      </c>
      <c r="E2" s="709"/>
      <c r="F2" s="709"/>
      <c r="G2" s="709"/>
      <c r="H2" s="709"/>
      <c r="I2" s="709"/>
    </row>
    <row r="3" spans="2:9" ht="7.15" customHeight="1" x14ac:dyDescent="0.25"/>
    <row r="4" spans="2:9" x14ac:dyDescent="0.25">
      <c r="B4" s="509" t="s">
        <v>728</v>
      </c>
    </row>
    <row r="5" spans="2:9" ht="7.15" customHeight="1" x14ac:dyDescent="0.25"/>
    <row r="6" spans="2:9" x14ac:dyDescent="0.25">
      <c r="B6" t="s">
        <v>718</v>
      </c>
      <c r="D6" s="540" t="s">
        <v>82</v>
      </c>
    </row>
    <row r="7" spans="2:9" ht="7.15" customHeight="1" x14ac:dyDescent="0.25"/>
    <row r="8" spans="2:9" x14ac:dyDescent="0.25">
      <c r="B8" t="s">
        <v>716</v>
      </c>
      <c r="D8" s="540" t="s">
        <v>82</v>
      </c>
    </row>
    <row r="9" spans="2:9" ht="7.15" customHeight="1" x14ac:dyDescent="0.25"/>
    <row r="10" spans="2:9" x14ac:dyDescent="0.25">
      <c r="B10" t="s">
        <v>717</v>
      </c>
      <c r="D10" s="540" t="s">
        <v>82</v>
      </c>
    </row>
    <row r="11" spans="2:9" ht="7.15" customHeight="1" x14ac:dyDescent="0.25"/>
    <row r="12" spans="2:9" x14ac:dyDescent="0.25">
      <c r="B12" t="s">
        <v>715</v>
      </c>
      <c r="D12" s="540" t="s">
        <v>82</v>
      </c>
    </row>
    <row r="13" spans="2:9" ht="7.15" customHeight="1" x14ac:dyDescent="0.25"/>
    <row r="14" spans="2:9" x14ac:dyDescent="0.25">
      <c r="B14" s="509" t="s">
        <v>729</v>
      </c>
    </row>
    <row r="15" spans="2:9" ht="7.15" customHeight="1" x14ac:dyDescent="0.25"/>
    <row r="16" spans="2:9" x14ac:dyDescent="0.25">
      <c r="B16" t="s">
        <v>713</v>
      </c>
      <c r="D16" s="540" t="s">
        <v>82</v>
      </c>
    </row>
    <row r="17" spans="2:5" ht="7.15" customHeight="1" x14ac:dyDescent="0.25"/>
    <row r="18" spans="2:5" x14ac:dyDescent="0.25">
      <c r="B18" t="s">
        <v>723</v>
      </c>
      <c r="D18" s="540" t="s">
        <v>82</v>
      </c>
    </row>
    <row r="19" spans="2:5" ht="7.15" customHeight="1" x14ac:dyDescent="0.25"/>
    <row r="20" spans="2:5" x14ac:dyDescent="0.25">
      <c r="B20" t="s">
        <v>730</v>
      </c>
      <c r="D20" s="543"/>
    </row>
    <row r="21" spans="2:5" ht="7.15" customHeight="1" x14ac:dyDescent="0.25"/>
    <row r="22" spans="2:5" x14ac:dyDescent="0.25">
      <c r="B22" t="s">
        <v>84</v>
      </c>
      <c r="D22" s="541">
        <v>0.2</v>
      </c>
    </row>
    <row r="23" spans="2:5" ht="7.15" customHeight="1" x14ac:dyDescent="0.25"/>
    <row r="24" spans="2:5" x14ac:dyDescent="0.25">
      <c r="B24" t="s">
        <v>85</v>
      </c>
      <c r="D24" s="542">
        <v>180</v>
      </c>
    </row>
    <row r="25" spans="2:5" ht="7.15" customHeight="1" x14ac:dyDescent="0.25"/>
    <row r="26" spans="2:5" x14ac:dyDescent="0.25">
      <c r="B26" t="s">
        <v>731</v>
      </c>
      <c r="D26" s="708" t="s">
        <v>600</v>
      </c>
      <c r="E26" s="709"/>
    </row>
    <row r="27" spans="2:5" ht="7.15" customHeight="1" x14ac:dyDescent="0.25"/>
    <row r="28" spans="2:5" x14ac:dyDescent="0.25">
      <c r="B28" t="s">
        <v>601</v>
      </c>
    </row>
    <row r="29" spans="2:5" x14ac:dyDescent="0.25">
      <c r="B29" t="s">
        <v>303</v>
      </c>
    </row>
    <row r="30" spans="2:5" x14ac:dyDescent="0.25">
      <c r="B30" t="s">
        <v>629</v>
      </c>
    </row>
    <row r="31" spans="2:5" x14ac:dyDescent="0.25">
      <c r="B31" t="s">
        <v>93</v>
      </c>
    </row>
    <row r="32" spans="2:5" x14ac:dyDescent="0.25">
      <c r="B32" t="s">
        <v>42</v>
      </c>
    </row>
  </sheetData>
  <mergeCells count="2">
    <mergeCell ref="D2:I2"/>
    <mergeCell ref="D26:E26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Лист2!$E$10:$E$11</xm:f>
          </x14:formula1>
          <xm:sqref>D6 D8 D10 D12 D16 D18</xm:sqref>
        </x14:dataValidation>
        <x14:dataValidation type="list" allowBlank="1" showInputMessage="1" showErrorMessage="1">
          <x14:formula1>
            <xm:f>Лист2!$B$3:$B$12</xm:f>
          </x14:formula1>
          <xm:sqref>D2</xm:sqref>
        </x14:dataValidation>
        <x14:dataValidation type="list" allowBlank="1" showInputMessage="1" showErrorMessage="1">
          <x14:formula1>
            <xm:f>Лист2!$H$2:$H$5</xm:f>
          </x14:formula1>
          <xm:sqref>D26:E26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B1:L30"/>
  <sheetViews>
    <sheetView showGridLines="0" showRowColHeaders="0" zoomScaleNormal="100" workbookViewId="0">
      <selection activeCell="E19" sqref="E19"/>
    </sheetView>
  </sheetViews>
  <sheetFormatPr defaultColWidth="9.140625" defaultRowHeight="15" x14ac:dyDescent="0.25"/>
  <cols>
    <col min="1" max="1" width="9.140625" style="433"/>
    <col min="2" max="2" width="3.140625" style="433" customWidth="1"/>
    <col min="3" max="3" width="9.140625" style="433"/>
    <col min="4" max="4" width="28.5703125" style="433" customWidth="1"/>
    <col min="5" max="8" width="18.85546875" style="433" customWidth="1"/>
    <col min="9" max="9" width="23.28515625" style="433" customWidth="1"/>
    <col min="10" max="10" width="18.85546875" style="433" customWidth="1"/>
    <col min="11" max="12" width="17.5703125" style="433" customWidth="1"/>
    <col min="13" max="16384" width="9.140625" style="433"/>
  </cols>
  <sheetData>
    <row r="1" spans="2:10" x14ac:dyDescent="0.25">
      <c r="G1"/>
      <c r="H1"/>
    </row>
    <row r="2" spans="2:10" ht="15" customHeight="1" x14ac:dyDescent="0.25">
      <c r="B2" s="440"/>
      <c r="C2" s="440"/>
      <c r="D2" s="440"/>
      <c r="E2" s="440"/>
      <c r="F2" s="440"/>
      <c r="G2"/>
      <c r="H2"/>
      <c r="I2" s="440"/>
      <c r="J2" s="440"/>
    </row>
    <row r="3" spans="2:10" x14ac:dyDescent="0.25">
      <c r="B3" s="440"/>
      <c r="C3" s="440"/>
      <c r="D3" s="440"/>
      <c r="E3" s="440"/>
      <c r="F3" s="440"/>
      <c r="G3"/>
      <c r="H3"/>
      <c r="I3" s="440"/>
      <c r="J3" s="440"/>
    </row>
    <row r="4" spans="2:10" x14ac:dyDescent="0.25">
      <c r="B4" s="440"/>
      <c r="C4" s="440"/>
      <c r="D4" s="440"/>
      <c r="E4" s="440"/>
      <c r="F4" s="440"/>
      <c r="G4" s="440"/>
      <c r="H4" s="440"/>
      <c r="I4" s="440"/>
      <c r="J4" s="440"/>
    </row>
    <row r="5" spans="2:10" x14ac:dyDescent="0.25">
      <c r="B5" s="440"/>
      <c r="C5" s="440"/>
      <c r="D5" s="440"/>
      <c r="E5" s="440"/>
      <c r="F5" s="440"/>
      <c r="G5" s="440"/>
      <c r="H5" s="440"/>
      <c r="I5" s="440"/>
      <c r="J5" s="440"/>
    </row>
    <row r="6" spans="2:10" x14ac:dyDescent="0.25">
      <c r="B6" s="440"/>
      <c r="C6" s="440"/>
      <c r="D6" s="440"/>
      <c r="E6" s="440"/>
      <c r="F6" s="440"/>
      <c r="G6" s="440"/>
      <c r="H6" s="440"/>
      <c r="I6" s="440"/>
      <c r="J6" s="440"/>
    </row>
    <row r="7" spans="2:10" x14ac:dyDescent="0.25">
      <c r="B7" s="440"/>
      <c r="C7" s="440"/>
      <c r="D7" s="440"/>
      <c r="E7" s="440"/>
      <c r="F7" s="440"/>
      <c r="G7" s="440"/>
      <c r="H7" s="440"/>
      <c r="I7" s="440"/>
      <c r="J7" s="440"/>
    </row>
    <row r="8" spans="2:10" x14ac:dyDescent="0.25">
      <c r="B8" s="440"/>
      <c r="C8" s="440"/>
      <c r="D8" s="440"/>
      <c r="E8" s="440"/>
      <c r="F8" s="440"/>
      <c r="G8" s="440"/>
      <c r="H8" s="440"/>
      <c r="I8" s="440"/>
      <c r="J8" s="440"/>
    </row>
    <row r="9" spans="2:10" x14ac:dyDescent="0.25">
      <c r="B9" s="440"/>
      <c r="C9" s="440"/>
      <c r="D9" s="440"/>
      <c r="E9" s="440"/>
      <c r="F9" s="440"/>
      <c r="G9" s="440"/>
      <c r="H9" s="440"/>
      <c r="I9" s="440"/>
      <c r="J9" s="440"/>
    </row>
    <row r="10" spans="2:10" x14ac:dyDescent="0.25">
      <c r="B10" s="440"/>
      <c r="C10" s="437" t="s">
        <v>737</v>
      </c>
      <c r="D10" s="440"/>
      <c r="E10" s="440"/>
      <c r="F10" s="440"/>
      <c r="G10" s="440"/>
      <c r="H10" s="440"/>
      <c r="I10" s="440"/>
      <c r="J10" s="440"/>
    </row>
    <row r="11" spans="2:10" x14ac:dyDescent="0.25">
      <c r="B11" s="440"/>
      <c r="C11" s="437"/>
      <c r="D11" s="440"/>
      <c r="E11" s="440"/>
      <c r="F11" s="440"/>
      <c r="G11" s="440"/>
      <c r="H11" s="440"/>
      <c r="I11" s="440"/>
      <c r="J11" s="440"/>
    </row>
    <row r="12" spans="2:10" x14ac:dyDescent="0.25">
      <c r="B12" s="440"/>
      <c r="C12" s="437" t="s">
        <v>630</v>
      </c>
      <c r="D12" s="440"/>
      <c r="E12" s="440"/>
      <c r="F12" s="440"/>
      <c r="G12" s="440"/>
      <c r="H12" s="440"/>
      <c r="I12" s="440"/>
      <c r="J12" s="440"/>
    </row>
    <row r="13" spans="2:10" x14ac:dyDescent="0.25">
      <c r="B13" s="440"/>
      <c r="C13" s="437"/>
      <c r="D13" s="440"/>
      <c r="E13" s="440"/>
      <c r="F13" s="440"/>
      <c r="G13" s="440"/>
      <c r="H13" s="440"/>
      <c r="I13" s="440"/>
      <c r="J13" s="440"/>
    </row>
    <row r="14" spans="2:10" x14ac:dyDescent="0.25">
      <c r="B14" s="440"/>
      <c r="C14" s="437" t="s">
        <v>631</v>
      </c>
      <c r="D14" s="440"/>
      <c r="E14" s="440"/>
      <c r="F14" s="440"/>
      <c r="G14" s="440"/>
      <c r="H14" s="440"/>
      <c r="I14" s="440"/>
      <c r="J14" s="440"/>
    </row>
    <row r="15" spans="2:10" x14ac:dyDescent="0.25">
      <c r="B15" s="440"/>
      <c r="C15" s="441"/>
      <c r="D15" s="440"/>
      <c r="E15" s="440"/>
      <c r="F15" s="440"/>
      <c r="G15" s="440"/>
      <c r="H15" s="440"/>
      <c r="I15" s="440"/>
      <c r="J15" s="440"/>
    </row>
    <row r="16" spans="2:10" x14ac:dyDescent="0.25">
      <c r="B16" s="440"/>
      <c r="C16" s="437" t="s">
        <v>734</v>
      </c>
      <c r="D16" s="440"/>
      <c r="E16" s="440"/>
      <c r="F16" s="440"/>
      <c r="G16" s="440"/>
      <c r="H16" s="440"/>
      <c r="I16" s="440"/>
      <c r="J16" s="440"/>
    </row>
    <row r="17" spans="2:12" ht="3.75" customHeight="1" x14ac:dyDescent="0.25">
      <c r="B17" s="440"/>
      <c r="C17" s="442"/>
      <c r="D17" s="442"/>
      <c r="E17" s="442"/>
      <c r="F17" s="437"/>
      <c r="G17" s="437"/>
      <c r="H17" s="437"/>
      <c r="I17" s="437"/>
      <c r="J17" s="437"/>
      <c r="K17" s="434"/>
      <c r="L17" s="434"/>
    </row>
    <row r="18" spans="2:12" x14ac:dyDescent="0.25">
      <c r="B18" s="440"/>
      <c r="C18" s="437"/>
      <c r="D18" s="446" t="s">
        <v>303</v>
      </c>
      <c r="E18" s="447">
        <f>INDEX('Калькулятор_от дохода'!$P$139:$V$143,1,MATCH('Калькулятор_от дохода'!$R$172,'Калькулятор_от дохода'!$P$145:$V$145,0))</f>
        <v>3961359.9586900515</v>
      </c>
      <c r="F18" s="443"/>
      <c r="G18" s="444"/>
      <c r="H18" s="443"/>
      <c r="I18" s="444"/>
      <c r="J18" s="443"/>
      <c r="K18" s="436"/>
      <c r="L18" s="435"/>
    </row>
    <row r="19" spans="2:12" x14ac:dyDescent="0.25">
      <c r="B19" s="440"/>
      <c r="C19" s="440"/>
      <c r="D19" s="448" t="s">
        <v>629</v>
      </c>
      <c r="E19" s="449">
        <f>INDEX('Калькулятор_от дохода'!$P$139:$V$143,2,MATCH('Калькулятор_от дохода'!$R$172,'Калькулятор_от дохода'!$P$145:$V$145,0))</f>
        <v>699611.87174888432</v>
      </c>
      <c r="F19" s="443"/>
      <c r="G19" s="444"/>
      <c r="H19" s="443"/>
      <c r="I19" s="444"/>
      <c r="J19" s="443"/>
      <c r="K19" s="436"/>
      <c r="L19" s="435"/>
    </row>
    <row r="20" spans="2:12" x14ac:dyDescent="0.25">
      <c r="B20" s="440"/>
      <c r="C20" s="440"/>
      <c r="D20" s="448" t="s">
        <v>93</v>
      </c>
      <c r="E20" s="449">
        <f>INDEX('Калькулятор_от дохода'!$P$139:$V$143,3,MATCH('Калькулятор_от дохода'!$R$172,'Калькулятор_от дохода'!$P$145:$V$145,0))</f>
        <v>4660971.8304389361</v>
      </c>
      <c r="F20" s="443"/>
      <c r="G20" s="444"/>
      <c r="H20" s="443"/>
      <c r="I20" s="444"/>
      <c r="J20" s="443"/>
      <c r="K20" s="436"/>
      <c r="L20" s="435"/>
    </row>
    <row r="21" spans="2:12" x14ac:dyDescent="0.25">
      <c r="B21" s="440"/>
      <c r="C21" s="440"/>
      <c r="D21" s="448" t="s">
        <v>42</v>
      </c>
      <c r="E21" s="449">
        <f>INDEX('Калькулятор_от дохода'!$P$139:$V$143,4,MATCH('Калькулятор_от дохода'!$R$172,'Калькулятор_от дохода'!$P$145:$V$145,0))</f>
        <v>60000.000000000007</v>
      </c>
      <c r="F21" s="443"/>
      <c r="G21" s="444"/>
      <c r="H21" s="443"/>
      <c r="I21" s="444"/>
      <c r="J21" s="443"/>
      <c r="K21" s="436"/>
      <c r="L21" s="435"/>
    </row>
    <row r="22" spans="2:12" x14ac:dyDescent="0.25">
      <c r="B22" s="440"/>
      <c r="C22" s="440"/>
      <c r="D22" s="448" t="s">
        <v>213</v>
      </c>
      <c r="E22" s="450">
        <f>INDEX('Калькулятор_от дохода'!$P$139:$V$143,5,MATCH('Калькулятор_от дохода'!$R$172,'Калькулятор_от дохода'!$P$145:$V$145,0))</f>
        <v>0.16600000000000001</v>
      </c>
      <c r="F22" s="443"/>
      <c r="G22" s="444"/>
      <c r="H22" s="443"/>
      <c r="I22" s="444"/>
      <c r="J22" s="443"/>
      <c r="K22" s="436"/>
      <c r="L22" s="435"/>
    </row>
    <row r="23" spans="2:12" x14ac:dyDescent="0.25">
      <c r="B23" s="440"/>
      <c r="C23" s="440"/>
      <c r="D23" s="437" t="s">
        <v>634</v>
      </c>
      <c r="E23" s="432">
        <f>'Калькулятор_от дохода'!$P$111</f>
        <v>180</v>
      </c>
      <c r="F23" s="445"/>
      <c r="G23" s="445"/>
      <c r="H23" s="445"/>
      <c r="I23" s="445"/>
      <c r="J23" s="445"/>
      <c r="K23" s="438"/>
      <c r="L23" s="438"/>
    </row>
    <row r="24" spans="2:12" x14ac:dyDescent="0.25">
      <c r="B24" s="440"/>
      <c r="C24" s="440"/>
      <c r="D24" s="440"/>
      <c r="E24" s="440"/>
      <c r="F24" s="440"/>
      <c r="G24" s="440"/>
      <c r="H24" s="440"/>
      <c r="I24" s="440"/>
      <c r="J24" s="440"/>
    </row>
    <row r="25" spans="2:12" ht="37.9" customHeight="1" x14ac:dyDescent="0.25">
      <c r="B25" s="440"/>
      <c r="C25" s="626" t="s">
        <v>736</v>
      </c>
      <c r="D25" s="626"/>
      <c r="E25" s="626"/>
      <c r="F25" s="626"/>
      <c r="G25" s="626"/>
      <c r="H25" s="626"/>
      <c r="I25" s="626"/>
      <c r="J25" s="440"/>
    </row>
    <row r="26" spans="2:12" x14ac:dyDescent="0.25">
      <c r="B26" s="440"/>
      <c r="C26" s="437" t="s">
        <v>632</v>
      </c>
      <c r="D26" s="440"/>
      <c r="E26" s="440"/>
      <c r="F26" s="440"/>
      <c r="G26" s="440"/>
      <c r="H26" s="440"/>
      <c r="I26" s="440"/>
      <c r="J26" s="440"/>
    </row>
    <row r="27" spans="2:12" ht="29.45" customHeight="1" x14ac:dyDescent="0.25">
      <c r="B27" s="440"/>
      <c r="C27" s="560" t="s">
        <v>735</v>
      </c>
      <c r="D27" s="440"/>
      <c r="E27" s="440"/>
      <c r="F27" s="440"/>
      <c r="G27" s="440"/>
      <c r="H27" s="440"/>
      <c r="I27" s="440"/>
      <c r="J27" s="440"/>
    </row>
    <row r="28" spans="2:12" x14ac:dyDescent="0.25">
      <c r="B28" s="440"/>
      <c r="C28" s="441"/>
      <c r="D28" s="440"/>
      <c r="E28" s="440"/>
      <c r="F28" s="440"/>
      <c r="G28" s="440"/>
      <c r="H28" s="440"/>
      <c r="I28" s="440"/>
      <c r="J28" s="440"/>
    </row>
    <row r="29" spans="2:12" x14ac:dyDescent="0.25">
      <c r="B29" s="440"/>
      <c r="C29" s="437" t="s">
        <v>633</v>
      </c>
      <c r="D29" s="440"/>
      <c r="E29" s="440"/>
      <c r="F29" s="440"/>
      <c r="G29" s="440"/>
      <c r="H29" s="440"/>
      <c r="I29" s="440"/>
      <c r="J29" s="440"/>
    </row>
    <row r="30" spans="2:12" ht="5.25" customHeight="1" x14ac:dyDescent="0.25">
      <c r="B30" s="440"/>
      <c r="C30" s="440"/>
      <c r="D30" s="440"/>
      <c r="E30" s="440"/>
      <c r="F30" s="440"/>
      <c r="G30" s="440"/>
      <c r="H30" s="440"/>
      <c r="I30" s="440"/>
      <c r="J30" s="440"/>
    </row>
  </sheetData>
  <sheetProtection password="EAF9" sheet="1" objects="1" scenarios="1"/>
  <mergeCells count="1">
    <mergeCell ref="C25:I25"/>
  </mergeCells>
  <pageMargins left="0.7" right="0.7" top="0.75" bottom="0.75" header="0.3" footer="0.3"/>
  <pageSetup paperSize="9" scale="4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2:AH374"/>
  <sheetViews>
    <sheetView showGridLines="0" showRowColHeaders="0" topLeftCell="D1" zoomScale="85" zoomScaleNormal="85" workbookViewId="0">
      <selection activeCell="AA8" sqref="AA8:AG8"/>
    </sheetView>
  </sheetViews>
  <sheetFormatPr defaultColWidth="9.140625" defaultRowHeight="12.75" x14ac:dyDescent="0.2"/>
  <cols>
    <col min="1" max="2" width="14.5703125" style="296" hidden="1" customWidth="1"/>
    <col min="3" max="3" width="23.5703125" style="296" hidden="1" customWidth="1"/>
    <col min="4" max="4" width="16.5703125" style="296" customWidth="1"/>
    <col min="5" max="5" width="25.85546875" style="491" hidden="1" customWidth="1"/>
    <col min="6" max="6" width="7.5703125" style="296" customWidth="1"/>
    <col min="7" max="7" width="11.42578125" style="296" hidden="1" customWidth="1"/>
    <col min="8" max="8" width="14.42578125" style="296" hidden="1" customWidth="1"/>
    <col min="9" max="9" width="16.5703125" style="296" customWidth="1"/>
    <col min="10" max="10" width="16.5703125" style="296" hidden="1" customWidth="1"/>
    <col min="11" max="12" width="14.5703125" style="296" hidden="1" customWidth="1"/>
    <col min="13" max="13" width="15.140625" style="296" customWidth="1"/>
    <col min="14" max="14" width="8.5703125" style="296" customWidth="1"/>
    <col min="15" max="16" width="16.42578125" style="296" customWidth="1"/>
    <col min="17" max="17" width="17.42578125" style="296" hidden="1" customWidth="1"/>
    <col min="18" max="18" width="15.42578125" style="296" hidden="1" customWidth="1"/>
    <col min="19" max="19" width="16.140625" style="296" customWidth="1"/>
    <col min="20" max="20" width="29.140625" style="296" customWidth="1"/>
    <col min="21" max="21" width="17.42578125" style="296" customWidth="1"/>
    <col min="22" max="22" width="17.42578125" style="296" hidden="1" customWidth="1"/>
    <col min="23" max="23" width="33.42578125" style="296" hidden="1" customWidth="1"/>
    <col min="24" max="24" width="17.42578125" style="296" hidden="1" customWidth="1"/>
    <col min="25" max="25" width="17.140625" style="310" hidden="1" customWidth="1"/>
    <col min="26" max="26" width="14.5703125" style="310" customWidth="1"/>
    <col min="27" max="27" width="34.42578125" style="296" customWidth="1"/>
    <col min="28" max="28" width="20.7109375" style="296" customWidth="1"/>
    <col min="29" max="29" width="39.42578125" style="296" hidden="1" customWidth="1"/>
    <col min="30" max="34" width="14.42578125" style="296" customWidth="1"/>
    <col min="35" max="16384" width="9.140625" style="296"/>
  </cols>
  <sheetData>
    <row r="2" spans="1:34" s="570" customFormat="1" ht="14.1" customHeight="1" x14ac:dyDescent="0.25">
      <c r="E2" s="571"/>
      <c r="F2" s="572" t="s">
        <v>636</v>
      </c>
      <c r="P2" s="627" t="str">
        <f>IF(U3&lt;U2,"Дата платежа меньше даты выдачи!","")</f>
        <v/>
      </c>
      <c r="Q2" s="573"/>
      <c r="R2" s="573"/>
      <c r="S2" s="627" t="str">
        <f>IF(OR(C19=C20,C19=C21,C19=C22),"Недопустимая дата платежа! Выбрать с 1 по 28 число месяца","")</f>
        <v/>
      </c>
      <c r="T2" s="574" t="s">
        <v>655</v>
      </c>
      <c r="U2" s="575">
        <v>44562</v>
      </c>
      <c r="Y2" s="576"/>
      <c r="Z2" s="576"/>
      <c r="AA2" s="577" t="s">
        <v>683</v>
      </c>
      <c r="AB2" s="577"/>
    </row>
    <row r="3" spans="1:34" s="570" customFormat="1" ht="14.1" customHeight="1" x14ac:dyDescent="0.25">
      <c r="E3" s="571"/>
      <c r="P3" s="627"/>
      <c r="Q3" s="573"/>
      <c r="R3" s="573"/>
      <c r="S3" s="627"/>
      <c r="T3" s="574" t="s">
        <v>697</v>
      </c>
      <c r="U3" s="575">
        <v>44570</v>
      </c>
      <c r="Z3" s="576"/>
      <c r="AA3" s="574" t="s">
        <v>676</v>
      </c>
      <c r="AB3" s="578" t="s">
        <v>677</v>
      </c>
    </row>
    <row r="4" spans="1:34" s="570" customFormat="1" ht="14.1" customHeight="1" x14ac:dyDescent="0.25">
      <c r="E4" s="571"/>
      <c r="J4" s="579"/>
      <c r="P4" s="627"/>
      <c r="Q4" s="573"/>
      <c r="R4" s="573"/>
      <c r="S4" s="627"/>
      <c r="T4" s="574" t="s">
        <v>612</v>
      </c>
      <c r="U4" s="580">
        <v>3500000</v>
      </c>
      <c r="Z4" s="576"/>
      <c r="AA4" s="574" t="s">
        <v>688</v>
      </c>
      <c r="AB4" s="578">
        <v>25</v>
      </c>
      <c r="AC4" s="572"/>
      <c r="AD4" s="572"/>
    </row>
    <row r="5" spans="1:34" s="570" customFormat="1" ht="14.1" customHeight="1" x14ac:dyDescent="0.25">
      <c r="C5" s="581"/>
      <c r="D5" s="573"/>
      <c r="E5" s="582"/>
      <c r="F5" s="573"/>
      <c r="G5" s="573"/>
      <c r="H5" s="573"/>
      <c r="K5" s="573"/>
      <c r="L5" s="573"/>
      <c r="P5" s="627"/>
      <c r="Q5" s="573"/>
      <c r="R5" s="573"/>
      <c r="S5" s="627"/>
      <c r="T5" s="574" t="s">
        <v>657</v>
      </c>
      <c r="U5" s="580">
        <v>180</v>
      </c>
      <c r="Z5" s="576"/>
      <c r="AA5" s="574" t="s">
        <v>684</v>
      </c>
      <c r="AB5" s="578" t="s">
        <v>59</v>
      </c>
      <c r="AD5" s="583"/>
    </row>
    <row r="6" spans="1:34" s="570" customFormat="1" ht="14.1" customHeight="1" x14ac:dyDescent="0.25">
      <c r="C6" s="581" t="s">
        <v>613</v>
      </c>
      <c r="D6" s="573"/>
      <c r="E6" s="582"/>
      <c r="F6" s="573"/>
      <c r="G6" s="573"/>
      <c r="H6" s="573"/>
      <c r="I6" s="584"/>
      <c r="J6" s="573"/>
      <c r="K6" s="584"/>
      <c r="L6" s="573"/>
      <c r="P6" s="627"/>
      <c r="Q6" s="573"/>
      <c r="R6" s="573"/>
      <c r="S6" s="627"/>
      <c r="T6" s="574" t="s">
        <v>615</v>
      </c>
      <c r="U6" s="585">
        <v>0.1</v>
      </c>
      <c r="Z6" s="576"/>
      <c r="AA6" s="574" t="s">
        <v>685</v>
      </c>
      <c r="AB6" s="578" t="s">
        <v>59</v>
      </c>
    </row>
    <row r="7" spans="1:34" s="570" customFormat="1" ht="14.1" customHeight="1" x14ac:dyDescent="0.25">
      <c r="C7" s="581" t="s">
        <v>614</v>
      </c>
      <c r="D7" s="573"/>
      <c r="E7" s="582"/>
      <c r="F7" s="573"/>
      <c r="G7" s="573"/>
      <c r="H7" s="573"/>
      <c r="I7" s="573"/>
      <c r="J7" s="573"/>
      <c r="K7" s="573"/>
      <c r="L7" s="573"/>
      <c r="P7" s="627"/>
      <c r="Q7" s="573"/>
      <c r="R7" s="573"/>
      <c r="S7" s="627"/>
      <c r="T7" s="574" t="s">
        <v>627</v>
      </c>
      <c r="U7" s="586">
        <f>SUM(S16:S374,V16:V374)</f>
        <v>3382005.0941074938</v>
      </c>
      <c r="W7" s="587"/>
      <c r="Z7" s="576"/>
      <c r="AD7" s="588"/>
      <c r="AE7" s="589"/>
    </row>
    <row r="8" spans="1:34" s="570" customFormat="1" ht="14.1" customHeight="1" x14ac:dyDescent="0.25">
      <c r="C8" s="573"/>
      <c r="D8" s="573"/>
      <c r="E8" s="582"/>
      <c r="F8" s="573"/>
      <c r="G8" s="573"/>
      <c r="H8" s="573"/>
      <c r="I8" s="573"/>
      <c r="J8" s="573"/>
      <c r="K8" s="573"/>
      <c r="L8" s="573"/>
      <c r="P8" s="627"/>
      <c r="Q8" s="573"/>
      <c r="R8" s="590"/>
      <c r="S8" s="573"/>
      <c r="T8" s="574" t="s">
        <v>742</v>
      </c>
      <c r="U8" s="591">
        <f>IRR(R15:R374)*12</f>
        <v>0.10495942408658454</v>
      </c>
      <c r="Z8" s="579"/>
      <c r="AA8" s="628" t="s">
        <v>744</v>
      </c>
      <c r="AB8" s="628"/>
      <c r="AC8" s="628"/>
      <c r="AD8" s="628"/>
      <c r="AE8" s="628"/>
      <c r="AF8" s="628"/>
      <c r="AG8" s="628"/>
    </row>
    <row r="9" spans="1:34" s="570" customFormat="1" ht="14.1" hidden="1" customHeight="1" x14ac:dyDescent="0.25">
      <c r="E9" s="571"/>
      <c r="P9" s="627"/>
      <c r="Q9" s="573"/>
      <c r="R9" s="573"/>
      <c r="S9" s="573"/>
      <c r="T9" s="592" t="s">
        <v>690</v>
      </c>
      <c r="U9" s="593">
        <f>XIRR(R15:R374,I15:I374)</f>
        <v>0.11012676358222964</v>
      </c>
      <c r="Z9" s="576"/>
      <c r="AA9" s="594"/>
      <c r="AE9" s="589"/>
    </row>
    <row r="10" spans="1:34" s="570" customFormat="1" ht="14.1" hidden="1" customHeight="1" x14ac:dyDescent="0.25">
      <c r="E10" s="571"/>
      <c r="P10" s="573"/>
      <c r="Q10" s="573"/>
      <c r="R10" s="573"/>
      <c r="S10" s="573"/>
      <c r="T10" s="574" t="s">
        <v>656</v>
      </c>
      <c r="U10" s="580">
        <f>U5-2</f>
        <v>178</v>
      </c>
      <c r="V10" s="587"/>
      <c r="W10" s="587"/>
      <c r="X10" s="587"/>
      <c r="Y10" s="595"/>
      <c r="Z10" s="576"/>
      <c r="AE10" s="589"/>
    </row>
    <row r="11" spans="1:34" s="570" customFormat="1" ht="14.1" customHeight="1" x14ac:dyDescent="0.25">
      <c r="E11" s="571"/>
      <c r="P11" s="573"/>
      <c r="Q11" s="573"/>
      <c r="R11" s="573"/>
      <c r="S11" s="573"/>
      <c r="T11" s="574" t="s">
        <v>743</v>
      </c>
      <c r="U11" s="580">
        <v>5000</v>
      </c>
      <c r="V11" s="587"/>
      <c r="W11" s="587"/>
      <c r="X11" s="587"/>
      <c r="Z11" s="596"/>
      <c r="AA11" s="594"/>
      <c r="AE11" s="589"/>
    </row>
    <row r="12" spans="1:34" ht="12.75" customHeight="1" x14ac:dyDescent="0.2">
      <c r="P12" s="492"/>
      <c r="Q12" s="492"/>
      <c r="R12" s="492"/>
      <c r="S12" s="492"/>
      <c r="T12" s="492"/>
      <c r="U12" s="508"/>
      <c r="V12" s="493"/>
      <c r="W12" s="493"/>
      <c r="X12" s="493"/>
      <c r="Y12" s="296"/>
      <c r="Z12" s="490"/>
      <c r="AA12" s="568" t="str">
        <f>IF(OR(AND(AA8='Справочники и промежут.расчет'!B217,'График платежей'!U8&gt;'Справочники и промежут.расчет'!C217),AND(AA8='Справочники и промежут.расчет'!B218,'График платежей'!U8&gt;'Справочники и промежут.расчет'!C218),AND(AA8='Справочники и промежут.расчет'!B219,'График платежей'!U8&gt;'Справочники и промежут.расчет'!C219)),"Внимание! Превышено предельное значение ПСК (полной стоимости кредита)!!!","")</f>
        <v/>
      </c>
      <c r="AE12" s="301"/>
    </row>
    <row r="13" spans="1:34" ht="12.75" customHeight="1" x14ac:dyDescent="0.2">
      <c r="P13" s="492"/>
      <c r="Q13" s="492"/>
      <c r="R13" s="492"/>
      <c r="S13" s="492"/>
      <c r="Y13" s="296"/>
      <c r="Z13" s="296"/>
      <c r="AE13" s="301"/>
    </row>
    <row r="14" spans="1:34" ht="69.599999999999994" customHeight="1" x14ac:dyDescent="0.2">
      <c r="A14" s="517" t="s">
        <v>699</v>
      </c>
      <c r="B14" s="516">
        <f>DATE(YEAR(I15),MONTH(I15),1)</f>
        <v>44562</v>
      </c>
      <c r="C14" s="517">
        <f>U3-$B$14</f>
        <v>8</v>
      </c>
      <c r="D14" s="489"/>
      <c r="E14" s="504" t="s">
        <v>675</v>
      </c>
      <c r="F14" s="300" t="s">
        <v>658</v>
      </c>
      <c r="G14" s="300" t="s">
        <v>660</v>
      </c>
      <c r="H14" s="300" t="s">
        <v>661</v>
      </c>
      <c r="I14" s="300" t="s">
        <v>700</v>
      </c>
      <c r="J14" s="300" t="s">
        <v>663</v>
      </c>
      <c r="K14" s="300" t="s">
        <v>3</v>
      </c>
      <c r="L14" s="300" t="s">
        <v>698</v>
      </c>
      <c r="M14" s="300" t="s">
        <v>616</v>
      </c>
      <c r="N14" s="300" t="s">
        <v>213</v>
      </c>
      <c r="O14" s="300" t="s">
        <v>617</v>
      </c>
      <c r="P14" s="300" t="s">
        <v>687</v>
      </c>
      <c r="Q14" s="300" t="s">
        <v>662</v>
      </c>
      <c r="R14" s="300" t="s">
        <v>659</v>
      </c>
      <c r="S14" s="300" t="s">
        <v>618</v>
      </c>
      <c r="T14" s="300" t="s">
        <v>619</v>
      </c>
      <c r="U14" s="300" t="s">
        <v>620</v>
      </c>
      <c r="V14" s="300" t="s">
        <v>621</v>
      </c>
      <c r="W14" s="300" t="s">
        <v>679</v>
      </c>
      <c r="X14" s="300" t="s">
        <v>680</v>
      </c>
      <c r="Y14" s="300" t="s">
        <v>622</v>
      </c>
      <c r="Z14" s="300" t="s">
        <v>623</v>
      </c>
      <c r="AA14" s="300" t="s">
        <v>624</v>
      </c>
      <c r="AB14" s="300" t="s">
        <v>625</v>
      </c>
      <c r="AC14" s="300" t="s">
        <v>626</v>
      </c>
      <c r="AD14" s="301"/>
      <c r="AE14" s="301"/>
      <c r="AF14" s="301"/>
      <c r="AG14" s="301"/>
      <c r="AH14" s="301"/>
    </row>
    <row r="15" spans="1:34" ht="16.7" customHeight="1" x14ac:dyDescent="0.2">
      <c r="E15" s="494">
        <f>AB4</f>
        <v>25</v>
      </c>
      <c r="F15" s="494">
        <v>1</v>
      </c>
      <c r="G15" s="297">
        <f>YEAR(I15)</f>
        <v>2022</v>
      </c>
      <c r="H15" s="297">
        <f>IF(MOD(G15,4),365,366)</f>
        <v>365</v>
      </c>
      <c r="I15" s="488">
        <f>$U$3</f>
        <v>44570</v>
      </c>
      <c r="J15" s="488">
        <f t="shared" ref="J15:J32" ca="1" si="0">IF(ISNA(VLOOKUP(I15,Рабочие_дни,1,FALSE)),WORKDAY(I15-1,1,Праздники),I15)</f>
        <v>44571</v>
      </c>
      <c r="K15" s="494">
        <f>I15-U2</f>
        <v>8</v>
      </c>
      <c r="L15" s="488">
        <f>$U$3</f>
        <v>44570</v>
      </c>
      <c r="M15" s="299">
        <f>U4</f>
        <v>3500000</v>
      </c>
      <c r="N15" s="303">
        <f>Y15</f>
        <v>0.1</v>
      </c>
      <c r="O15" s="299">
        <f>M15*N15/H15*K15</f>
        <v>7671.232876712329</v>
      </c>
      <c r="P15" s="299">
        <f>O15</f>
        <v>7671.232876712329</v>
      </c>
      <c r="Q15" s="299">
        <f>IFERROR(IF(M15&lt;0.001,0,PMT(N15/12,#REF!,-M15)),0)</f>
        <v>0</v>
      </c>
      <c r="R15" s="302">
        <f>-U4</f>
        <v>-3500000</v>
      </c>
      <c r="S15" s="302">
        <f t="shared" ref="S15:S79" si="1">O15</f>
        <v>7671.232876712329</v>
      </c>
      <c r="T15" s="299">
        <f t="shared" ref="T15:T79" si="2">MIN(P15-S15+AA15,M15)</f>
        <v>0</v>
      </c>
      <c r="U15" s="299">
        <f>M15</f>
        <v>3500000</v>
      </c>
      <c r="V15" s="304">
        <f>IF(U15=0,0,((U15*10%+U15)*(W15+X15)))+U11</f>
        <v>18783</v>
      </c>
      <c r="W15" s="505">
        <f>INDEX('Тарифы СК'!$B$4:$C$53,MATCH($E$15,'Тарифы СК'!$A$4:$A$53,0),MATCH($AB$3,'Тарифы СК'!$B$3:$C$3,0))</f>
        <v>2.3799999999999997E-3</v>
      </c>
      <c r="X15" s="505">
        <f>'Тарифы СК'!$D$3</f>
        <v>1.1999999999999999E-3</v>
      </c>
      <c r="Y15" s="298">
        <f>IF(Z15="",$U$6,Z15)</f>
        <v>0.1</v>
      </c>
      <c r="Z15" s="305"/>
      <c r="AA15" s="306"/>
      <c r="AB15" s="307"/>
      <c r="AC15" s="300"/>
      <c r="AD15" s="301"/>
      <c r="AE15" s="301"/>
      <c r="AF15" s="301"/>
      <c r="AG15" s="301"/>
      <c r="AH15" s="301"/>
    </row>
    <row r="16" spans="1:34" x14ac:dyDescent="0.2">
      <c r="C16" s="489"/>
      <c r="D16" s="489"/>
      <c r="E16" s="494"/>
      <c r="F16" s="494">
        <v>2</v>
      </c>
      <c r="G16" s="297">
        <f t="shared" ref="G16:G79" si="3">YEAR(I16)</f>
        <v>2022</v>
      </c>
      <c r="H16" s="297">
        <f t="shared" ref="H16:H79" si="4">IF(MOD(G16,4),365,366)</f>
        <v>365</v>
      </c>
      <c r="I16" s="488">
        <f t="shared" ref="I16:I79" si="5">DATE(YEAR(L16),MONTH(L16),1)+$C$14</f>
        <v>44601</v>
      </c>
      <c r="J16" s="488">
        <f t="shared" ca="1" si="0"/>
        <v>44601</v>
      </c>
      <c r="K16" s="494">
        <f t="shared" ref="K16:K79" si="6">I16-I15</f>
        <v>31</v>
      </c>
      <c r="L16" s="488">
        <f>EOMONTH($U$2,F16-1)</f>
        <v>44620</v>
      </c>
      <c r="M16" s="299">
        <f>$U$4</f>
        <v>3500000</v>
      </c>
      <c r="N16" s="303">
        <f>Y16</f>
        <v>0.1</v>
      </c>
      <c r="O16" s="299">
        <f>M16*N16/H16*K16</f>
        <v>29726.027397260274</v>
      </c>
      <c r="P16" s="299">
        <f>IF(M16&lt;INT(Q16),M16+S16,INT(Q16))</f>
        <v>37794</v>
      </c>
      <c r="Q16" s="299">
        <f t="shared" ref="Q16:Q79" si="7">IFERROR(IF(M16&lt;0.001,0,PMT(N16/12,$U$10,-$U$4)),0)</f>
        <v>37794.313038483175</v>
      </c>
      <c r="R16" s="302">
        <f>Q16+V16</f>
        <v>56577.313038483175</v>
      </c>
      <c r="S16" s="302">
        <f t="shared" si="1"/>
        <v>29726.027397260274</v>
      </c>
      <c r="T16" s="299">
        <f>MIN(IF(S16=0,P16-S16+AA16-S15,P16-S16+AA16),M16)</f>
        <v>8067.9726027397264</v>
      </c>
      <c r="U16" s="299">
        <f>M16-T16</f>
        <v>3491932.0273972601</v>
      </c>
      <c r="V16" s="304">
        <f>V15</f>
        <v>18783</v>
      </c>
      <c r="W16" s="505"/>
      <c r="X16" s="507"/>
      <c r="Y16" s="298">
        <f>IF(Z16="",$U$6,Z16)</f>
        <v>0.1</v>
      </c>
      <c r="Z16" s="305"/>
      <c r="AA16" s="306"/>
      <c r="AB16" s="307"/>
      <c r="AC16" s="308" t="str">
        <f>IF(OR(AA16="",AB16=""),"",IF(AB16=$C$7,"Сокращение срока на "&amp;#REF!-#REF!-1&amp;" мес.","Сокращение платежа на "&amp;ROUND(Q16-Q17,2)&amp;" руб."))</f>
        <v/>
      </c>
    </row>
    <row r="17" spans="2:29" x14ac:dyDescent="0.2">
      <c r="C17" s="489"/>
      <c r="D17" s="489"/>
      <c r="E17" s="494"/>
      <c r="F17" s="494">
        <v>3</v>
      </c>
      <c r="G17" s="297">
        <f t="shared" si="3"/>
        <v>2022</v>
      </c>
      <c r="H17" s="297">
        <f t="shared" si="4"/>
        <v>365</v>
      </c>
      <c r="I17" s="488">
        <f t="shared" si="5"/>
        <v>44629</v>
      </c>
      <c r="J17" s="488">
        <f t="shared" ca="1" si="0"/>
        <v>44629</v>
      </c>
      <c r="K17" s="494">
        <f t="shared" si="6"/>
        <v>28</v>
      </c>
      <c r="L17" s="488">
        <f t="shared" ref="L17:L80" si="8">EOMONTH($U$2,F17-1)</f>
        <v>44651</v>
      </c>
      <c r="M17" s="299">
        <f>U16</f>
        <v>3491932.0273972601</v>
      </c>
      <c r="N17" s="303">
        <f t="shared" ref="N17:N80" si="9">Y17</f>
        <v>0.1</v>
      </c>
      <c r="O17" s="299">
        <f t="shared" ref="O17:O48" si="10">M17*N17/H17*K17</f>
        <v>26787.4237718146</v>
      </c>
      <c r="P17" s="299">
        <f t="shared" ref="P17:P80" si="11">IF(M17&lt;INT(Q17),M17+S17,INT(Q17))</f>
        <v>37794</v>
      </c>
      <c r="Q17" s="299">
        <f t="shared" si="7"/>
        <v>37794.313038483175</v>
      </c>
      <c r="R17" s="302">
        <f t="shared" ref="R17:R79" si="12">Q17+V17</f>
        <v>37794.313038483175</v>
      </c>
      <c r="S17" s="302">
        <f t="shared" si="1"/>
        <v>26787.4237718146</v>
      </c>
      <c r="T17" s="299">
        <f t="shared" si="2"/>
        <v>11006.5762281854</v>
      </c>
      <c r="U17" s="299">
        <f t="shared" ref="U17:U80" si="13">ROUND(M17-T17,4)</f>
        <v>3480925.4512</v>
      </c>
      <c r="V17" s="304"/>
      <c r="W17" s="505"/>
      <c r="X17" s="505"/>
      <c r="Y17" s="298">
        <f>IF(Z17="",Y16,Z17)</f>
        <v>0.1</v>
      </c>
      <c r="Z17" s="305"/>
      <c r="AA17" s="306"/>
      <c r="AB17" s="307"/>
      <c r="AC17" s="308" t="str">
        <f>IF(OR(AA17="",AB17=""),"",IF(AB17=$C$7,"Сокращение срока на "&amp;#REF!-#REF!-1&amp;" мес.","Сокращение платежа на "&amp;ROUND(Q17-Q18,2)&amp;" руб."))</f>
        <v/>
      </c>
    </row>
    <row r="18" spans="2:29" x14ac:dyDescent="0.2">
      <c r="C18" s="489"/>
      <c r="D18" s="489"/>
      <c r="E18" s="494"/>
      <c r="F18" s="494">
        <v>4</v>
      </c>
      <c r="G18" s="297">
        <f t="shared" si="3"/>
        <v>2022</v>
      </c>
      <c r="H18" s="297">
        <f t="shared" si="4"/>
        <v>365</v>
      </c>
      <c r="I18" s="488">
        <f t="shared" si="5"/>
        <v>44660</v>
      </c>
      <c r="J18" s="488">
        <f t="shared" ca="1" si="0"/>
        <v>44662</v>
      </c>
      <c r="K18" s="494">
        <f t="shared" si="6"/>
        <v>31</v>
      </c>
      <c r="L18" s="488">
        <f t="shared" si="8"/>
        <v>44681</v>
      </c>
      <c r="M18" s="299">
        <f t="shared" ref="M18:M81" si="14">U17</f>
        <v>3480925.4512</v>
      </c>
      <c r="N18" s="303">
        <f t="shared" si="9"/>
        <v>0.1</v>
      </c>
      <c r="O18" s="299">
        <f t="shared" si="10"/>
        <v>29564.024380054794</v>
      </c>
      <c r="P18" s="299">
        <f t="shared" si="11"/>
        <v>37794</v>
      </c>
      <c r="Q18" s="299">
        <f t="shared" si="7"/>
        <v>37794.313038483175</v>
      </c>
      <c r="R18" s="302">
        <f t="shared" si="12"/>
        <v>37794.313038483175</v>
      </c>
      <c r="S18" s="302">
        <f t="shared" si="1"/>
        <v>29564.024380054794</v>
      </c>
      <c r="T18" s="299">
        <f t="shared" si="2"/>
        <v>8229.9756199452058</v>
      </c>
      <c r="U18" s="299">
        <f t="shared" si="13"/>
        <v>3472695.4756</v>
      </c>
      <c r="V18" s="304"/>
      <c r="W18" s="505"/>
      <c r="X18" s="505"/>
      <c r="Y18" s="298">
        <f t="shared" ref="Y18:Y81" si="15">IF(Z18="",Y17,Z18)</f>
        <v>0.1</v>
      </c>
      <c r="Z18" s="305"/>
      <c r="AA18" s="306"/>
      <c r="AB18" s="307"/>
      <c r="AC18" s="308" t="str">
        <f>IF(OR(AA18="",AB18=""),"",IF(AB18=$C$7,"Сокращение срока на "&amp;#REF!-#REF!-1&amp;" мес.","Сокращение платежа на "&amp;ROUND(Q18-Q19,2)&amp;" руб."))</f>
        <v/>
      </c>
    </row>
    <row r="19" spans="2:29" x14ac:dyDescent="0.2">
      <c r="B19" s="297" t="s">
        <v>701</v>
      </c>
      <c r="C19" s="297">
        <f>DAY(U3)</f>
        <v>9</v>
      </c>
      <c r="D19" s="489"/>
      <c r="E19" s="494"/>
      <c r="F19" s="494">
        <v>5</v>
      </c>
      <c r="G19" s="297">
        <f t="shared" si="3"/>
        <v>2022</v>
      </c>
      <c r="H19" s="297">
        <f t="shared" si="4"/>
        <v>365</v>
      </c>
      <c r="I19" s="488">
        <f t="shared" si="5"/>
        <v>44690</v>
      </c>
      <c r="J19" s="488">
        <f t="shared" ca="1" si="0"/>
        <v>44690</v>
      </c>
      <c r="K19" s="494">
        <f t="shared" si="6"/>
        <v>30</v>
      </c>
      <c r="L19" s="488">
        <f t="shared" si="8"/>
        <v>44712</v>
      </c>
      <c r="M19" s="299">
        <f t="shared" si="14"/>
        <v>3472695.4756</v>
      </c>
      <c r="N19" s="303">
        <f t="shared" si="9"/>
        <v>0.1</v>
      </c>
      <c r="O19" s="299">
        <f t="shared" si="10"/>
        <v>28542.702539178084</v>
      </c>
      <c r="P19" s="299">
        <f t="shared" si="11"/>
        <v>37794</v>
      </c>
      <c r="Q19" s="299">
        <f t="shared" si="7"/>
        <v>37794.313038483175</v>
      </c>
      <c r="R19" s="302">
        <f t="shared" si="12"/>
        <v>37794.313038483175</v>
      </c>
      <c r="S19" s="302">
        <f t="shared" si="1"/>
        <v>28542.702539178084</v>
      </c>
      <c r="T19" s="299">
        <f t="shared" si="2"/>
        <v>9251.2974608219156</v>
      </c>
      <c r="U19" s="299">
        <f t="shared" si="13"/>
        <v>3463444.1781000001</v>
      </c>
      <c r="V19" s="304"/>
      <c r="W19" s="505"/>
      <c r="X19" s="505"/>
      <c r="Y19" s="298">
        <f t="shared" si="15"/>
        <v>0.1</v>
      </c>
      <c r="Z19" s="305"/>
      <c r="AA19" s="306"/>
      <c r="AB19" s="307"/>
      <c r="AC19" s="308" t="str">
        <f>IF(OR(AA19="",AB19=""),"",IF(AB19=$C$7,"Сокращение срока на "&amp;#REF!-#REF!-1&amp;" мес.","Сокращение платежа на "&amp;ROUND(Q19-Q20,2)&amp;" руб."))</f>
        <v/>
      </c>
    </row>
    <row r="20" spans="2:29" x14ac:dyDescent="0.2">
      <c r="B20" s="296" t="s">
        <v>702</v>
      </c>
      <c r="C20" s="297">
        <v>29</v>
      </c>
      <c r="D20" s="489"/>
      <c r="E20" s="494"/>
      <c r="F20" s="494">
        <v>6</v>
      </c>
      <c r="G20" s="297">
        <f t="shared" si="3"/>
        <v>2022</v>
      </c>
      <c r="H20" s="297">
        <f t="shared" si="4"/>
        <v>365</v>
      </c>
      <c r="I20" s="488">
        <f t="shared" si="5"/>
        <v>44721</v>
      </c>
      <c r="J20" s="488">
        <f t="shared" ca="1" si="0"/>
        <v>44721</v>
      </c>
      <c r="K20" s="494">
        <f t="shared" si="6"/>
        <v>31</v>
      </c>
      <c r="L20" s="488">
        <f t="shared" si="8"/>
        <v>44742</v>
      </c>
      <c r="M20" s="299">
        <f t="shared" si="14"/>
        <v>3463444.1781000001</v>
      </c>
      <c r="N20" s="303">
        <f t="shared" si="9"/>
        <v>0.1</v>
      </c>
      <c r="O20" s="299">
        <f t="shared" si="10"/>
        <v>29415.553293452056</v>
      </c>
      <c r="P20" s="299">
        <f t="shared" si="11"/>
        <v>37794</v>
      </c>
      <c r="Q20" s="299">
        <f t="shared" si="7"/>
        <v>37794.313038483175</v>
      </c>
      <c r="R20" s="302">
        <f t="shared" si="12"/>
        <v>37794.313038483175</v>
      </c>
      <c r="S20" s="302">
        <f t="shared" si="1"/>
        <v>29415.553293452056</v>
      </c>
      <c r="T20" s="299">
        <f t="shared" si="2"/>
        <v>8378.4467065479439</v>
      </c>
      <c r="U20" s="299">
        <f t="shared" si="13"/>
        <v>3455065.7313999999</v>
      </c>
      <c r="V20" s="304"/>
      <c r="W20" s="505"/>
      <c r="X20" s="505"/>
      <c r="Y20" s="298">
        <f t="shared" si="15"/>
        <v>0.1</v>
      </c>
      <c r="Z20" s="305"/>
      <c r="AA20" s="306"/>
      <c r="AB20" s="307"/>
      <c r="AC20" s="308" t="str">
        <f>IF(OR(AA20="",AB20=""),"",IF(AB20=$C$7,"Сокращение срока на "&amp;#REF!-#REF!-1&amp;" мес.","Сокращение платежа на "&amp;ROUND(Q20-Q21,2)&amp;" руб."))</f>
        <v/>
      </c>
    </row>
    <row r="21" spans="2:29" x14ac:dyDescent="0.2">
      <c r="B21" s="296" t="s">
        <v>702</v>
      </c>
      <c r="C21" s="297">
        <v>30</v>
      </c>
      <c r="D21" s="489"/>
      <c r="E21" s="494"/>
      <c r="F21" s="494">
        <v>7</v>
      </c>
      <c r="G21" s="297">
        <f t="shared" si="3"/>
        <v>2022</v>
      </c>
      <c r="H21" s="297">
        <f t="shared" si="4"/>
        <v>365</v>
      </c>
      <c r="I21" s="488">
        <f t="shared" si="5"/>
        <v>44751</v>
      </c>
      <c r="J21" s="488">
        <f t="shared" ca="1" si="0"/>
        <v>44753</v>
      </c>
      <c r="K21" s="494">
        <f t="shared" si="6"/>
        <v>30</v>
      </c>
      <c r="L21" s="488">
        <f t="shared" si="8"/>
        <v>44773</v>
      </c>
      <c r="M21" s="299">
        <f t="shared" si="14"/>
        <v>3455065.7313999999</v>
      </c>
      <c r="N21" s="303">
        <f t="shared" si="9"/>
        <v>0.1</v>
      </c>
      <c r="O21" s="299">
        <f t="shared" si="10"/>
        <v>28397.800532054793</v>
      </c>
      <c r="P21" s="299">
        <f t="shared" si="11"/>
        <v>37794</v>
      </c>
      <c r="Q21" s="299">
        <f t="shared" si="7"/>
        <v>37794.313038483175</v>
      </c>
      <c r="R21" s="302">
        <f t="shared" si="12"/>
        <v>37794.313038483175</v>
      </c>
      <c r="S21" s="302">
        <f t="shared" si="1"/>
        <v>28397.800532054793</v>
      </c>
      <c r="T21" s="299">
        <f t="shared" si="2"/>
        <v>9396.1994679452073</v>
      </c>
      <c r="U21" s="299">
        <f t="shared" si="13"/>
        <v>3445669.5318999998</v>
      </c>
      <c r="V21" s="304"/>
      <c r="W21" s="505"/>
      <c r="X21" s="505"/>
      <c r="Y21" s="298">
        <f>IF(Z21="",Y20,Z21)</f>
        <v>0.1</v>
      </c>
      <c r="Z21" s="305"/>
      <c r="AA21" s="306"/>
      <c r="AB21" s="307"/>
      <c r="AC21" s="308" t="str">
        <f>IF(OR(AA21="",AB21=""),"",IF(AB21=$C$7,"Сокращение срока на "&amp;#REF!-#REF!-1&amp;" мес.","Сокращение платежа на "&amp;ROUND(Q21-Q22,2)&amp;" руб."))</f>
        <v/>
      </c>
    </row>
    <row r="22" spans="2:29" x14ac:dyDescent="0.2">
      <c r="B22" s="296" t="s">
        <v>702</v>
      </c>
      <c r="C22" s="297">
        <v>31</v>
      </c>
      <c r="D22" s="489"/>
      <c r="E22" s="494"/>
      <c r="F22" s="494">
        <v>8</v>
      </c>
      <c r="G22" s="297">
        <f t="shared" si="3"/>
        <v>2022</v>
      </c>
      <c r="H22" s="297">
        <f t="shared" si="4"/>
        <v>365</v>
      </c>
      <c r="I22" s="488">
        <f t="shared" si="5"/>
        <v>44782</v>
      </c>
      <c r="J22" s="488">
        <f t="shared" ca="1" si="0"/>
        <v>44782</v>
      </c>
      <c r="K22" s="494">
        <f t="shared" si="6"/>
        <v>31</v>
      </c>
      <c r="L22" s="488">
        <f t="shared" si="8"/>
        <v>44804</v>
      </c>
      <c r="M22" s="299">
        <f t="shared" si="14"/>
        <v>3445669.5318999998</v>
      </c>
      <c r="N22" s="303">
        <f t="shared" si="9"/>
        <v>0.1</v>
      </c>
      <c r="O22" s="299">
        <f t="shared" si="10"/>
        <v>29264.590544904113</v>
      </c>
      <c r="P22" s="299">
        <f t="shared" si="11"/>
        <v>37794</v>
      </c>
      <c r="Q22" s="299">
        <f t="shared" si="7"/>
        <v>37794.313038483175</v>
      </c>
      <c r="R22" s="302">
        <f t="shared" si="12"/>
        <v>37794.313038483175</v>
      </c>
      <c r="S22" s="302">
        <f t="shared" si="1"/>
        <v>29264.590544904113</v>
      </c>
      <c r="T22" s="299">
        <f t="shared" si="2"/>
        <v>8529.4094550958871</v>
      </c>
      <c r="U22" s="299">
        <f t="shared" si="13"/>
        <v>3437140.1224000002</v>
      </c>
      <c r="V22" s="304"/>
      <c r="W22" s="505"/>
      <c r="X22" s="505"/>
      <c r="Y22" s="298">
        <f t="shared" si="15"/>
        <v>0.1</v>
      </c>
      <c r="Z22" s="305"/>
      <c r="AA22" s="306"/>
      <c r="AB22" s="307"/>
      <c r="AC22" s="308" t="str">
        <f>IF(OR(AA22="",AB22=""),"",IF(AB22=$C$7,"Сокращение срока на "&amp;#REF!-#REF!-1&amp;" мес.","Сокращение платежа на "&amp;ROUND(Q22-Q23,2)&amp;" руб."))</f>
        <v/>
      </c>
    </row>
    <row r="23" spans="2:29" x14ac:dyDescent="0.2">
      <c r="C23" s="489"/>
      <c r="D23" s="489"/>
      <c r="E23" s="494"/>
      <c r="F23" s="494">
        <v>9</v>
      </c>
      <c r="G23" s="297">
        <f t="shared" si="3"/>
        <v>2022</v>
      </c>
      <c r="H23" s="297">
        <f t="shared" si="4"/>
        <v>365</v>
      </c>
      <c r="I23" s="488">
        <f t="shared" si="5"/>
        <v>44813</v>
      </c>
      <c r="J23" s="488">
        <f t="shared" ca="1" si="0"/>
        <v>44813</v>
      </c>
      <c r="K23" s="494">
        <f>I23-I22</f>
        <v>31</v>
      </c>
      <c r="L23" s="488">
        <f t="shared" si="8"/>
        <v>44834</v>
      </c>
      <c r="M23" s="299">
        <f t="shared" si="14"/>
        <v>3437140.1224000002</v>
      </c>
      <c r="N23" s="303">
        <f t="shared" si="9"/>
        <v>0.1</v>
      </c>
      <c r="O23" s="299">
        <f t="shared" si="10"/>
        <v>29192.148984767129</v>
      </c>
      <c r="P23" s="299">
        <f t="shared" si="11"/>
        <v>37794</v>
      </c>
      <c r="Q23" s="299">
        <f t="shared" si="7"/>
        <v>37794.313038483175</v>
      </c>
      <c r="R23" s="302">
        <f t="shared" si="12"/>
        <v>37794.313038483175</v>
      </c>
      <c r="S23" s="302">
        <f t="shared" si="1"/>
        <v>29192.148984767129</v>
      </c>
      <c r="T23" s="299">
        <f t="shared" si="2"/>
        <v>8601.8510152328709</v>
      </c>
      <c r="U23" s="299">
        <f t="shared" si="13"/>
        <v>3428538.2714</v>
      </c>
      <c r="V23" s="304"/>
      <c r="W23" s="505"/>
      <c r="X23" s="505"/>
      <c r="Y23" s="298">
        <f t="shared" si="15"/>
        <v>0.1</v>
      </c>
      <c r="Z23" s="305"/>
      <c r="AA23" s="306"/>
      <c r="AB23" s="307"/>
      <c r="AC23" s="308" t="str">
        <f>IF(OR(AA23="",AB23=""),"",IF(AB23=$C$7,"Сокращение срока на "&amp;#REF!-#REF!-1&amp;" мес.","Сокращение платежа на "&amp;ROUND(Q23-Q24,2)&amp;" руб."))</f>
        <v/>
      </c>
    </row>
    <row r="24" spans="2:29" x14ac:dyDescent="0.2">
      <c r="C24" s="489" t="str">
        <f>IF(OR(C19=C20,C19=C21,C19=C22),"Недопустимая дата платежа","")</f>
        <v/>
      </c>
      <c r="D24" s="489"/>
      <c r="E24" s="494"/>
      <c r="F24" s="494">
        <v>10</v>
      </c>
      <c r="G24" s="297">
        <f t="shared" si="3"/>
        <v>2022</v>
      </c>
      <c r="H24" s="297">
        <f t="shared" si="4"/>
        <v>365</v>
      </c>
      <c r="I24" s="488">
        <f t="shared" si="5"/>
        <v>44843</v>
      </c>
      <c r="J24" s="488">
        <f t="shared" ca="1" si="0"/>
        <v>44844</v>
      </c>
      <c r="K24" s="494">
        <f t="shared" si="6"/>
        <v>30</v>
      </c>
      <c r="L24" s="488">
        <f t="shared" si="8"/>
        <v>44865</v>
      </c>
      <c r="M24" s="299">
        <f t="shared" si="14"/>
        <v>3428538.2714</v>
      </c>
      <c r="N24" s="303">
        <f t="shared" si="9"/>
        <v>0.1</v>
      </c>
      <c r="O24" s="299">
        <f t="shared" si="10"/>
        <v>28179.766614246575</v>
      </c>
      <c r="P24" s="299">
        <f t="shared" si="11"/>
        <v>37794</v>
      </c>
      <c r="Q24" s="299">
        <f t="shared" si="7"/>
        <v>37794.313038483175</v>
      </c>
      <c r="R24" s="302">
        <f t="shared" si="12"/>
        <v>37794.313038483175</v>
      </c>
      <c r="S24" s="302">
        <f t="shared" si="1"/>
        <v>28179.766614246575</v>
      </c>
      <c r="T24" s="299">
        <f t="shared" si="2"/>
        <v>9614.233385753425</v>
      </c>
      <c r="U24" s="299">
        <f t="shared" si="13"/>
        <v>3418924.0380000002</v>
      </c>
      <c r="V24" s="304"/>
      <c r="W24" s="505"/>
      <c r="X24" s="505"/>
      <c r="Y24" s="298">
        <f t="shared" si="15"/>
        <v>0.1</v>
      </c>
      <c r="Z24" s="305"/>
      <c r="AA24" s="306"/>
      <c r="AB24" s="307"/>
      <c r="AC24" s="308" t="str">
        <f>IF(OR(AA24="",AB24=""),"",IF(AB24=$C$7,"Сокращение срока на "&amp;#REF!-#REF!-1&amp;" мес.","Сокращение платежа на "&amp;ROUND(Q24-Q25,2)&amp;" руб."))</f>
        <v/>
      </c>
    </row>
    <row r="25" spans="2:29" x14ac:dyDescent="0.2">
      <c r="C25" s="489" t="str">
        <f>IF(OR(C19=C20,C19=C21,C19=C22),"Недопустимая дата платежа","")</f>
        <v/>
      </c>
      <c r="D25" s="489"/>
      <c r="E25" s="494"/>
      <c r="F25" s="494">
        <v>11</v>
      </c>
      <c r="G25" s="297">
        <f t="shared" si="3"/>
        <v>2022</v>
      </c>
      <c r="H25" s="297">
        <f t="shared" si="4"/>
        <v>365</v>
      </c>
      <c r="I25" s="488">
        <f t="shared" si="5"/>
        <v>44874</v>
      </c>
      <c r="J25" s="488">
        <f t="shared" ca="1" si="0"/>
        <v>44874</v>
      </c>
      <c r="K25" s="494">
        <f t="shared" si="6"/>
        <v>31</v>
      </c>
      <c r="L25" s="488">
        <f t="shared" si="8"/>
        <v>44895</v>
      </c>
      <c r="M25" s="299">
        <f t="shared" si="14"/>
        <v>3418924.0380000002</v>
      </c>
      <c r="N25" s="303">
        <f t="shared" si="9"/>
        <v>0.1</v>
      </c>
      <c r="O25" s="299">
        <f t="shared" si="10"/>
        <v>29037.437035068495</v>
      </c>
      <c r="P25" s="299">
        <f t="shared" si="11"/>
        <v>37794</v>
      </c>
      <c r="Q25" s="299">
        <f t="shared" si="7"/>
        <v>37794.313038483175</v>
      </c>
      <c r="R25" s="302">
        <f t="shared" si="12"/>
        <v>37794.313038483175</v>
      </c>
      <c r="S25" s="302">
        <f t="shared" si="1"/>
        <v>29037.437035068495</v>
      </c>
      <c r="T25" s="299">
        <f t="shared" si="2"/>
        <v>8756.5629649315051</v>
      </c>
      <c r="U25" s="299">
        <f t="shared" si="13"/>
        <v>3410167.4750000001</v>
      </c>
      <c r="V25" s="304"/>
      <c r="W25" s="505"/>
      <c r="X25" s="505"/>
      <c r="Y25" s="298">
        <f t="shared" si="15"/>
        <v>0.1</v>
      </c>
      <c r="Z25" s="305"/>
      <c r="AA25" s="306"/>
      <c r="AB25" s="307"/>
      <c r="AC25" s="308" t="str">
        <f>IF(OR(AA25="",AB25=""),"",IF(AB25=$C$7,"Сокращение срока на "&amp;#REF!-#REF!-1&amp;" мес.","Сокращение платежа на "&amp;ROUND(Q25-Q26,2)&amp;" руб."))</f>
        <v/>
      </c>
    </row>
    <row r="26" spans="2:29" x14ac:dyDescent="0.2">
      <c r="C26" s="489"/>
      <c r="D26" s="489"/>
      <c r="E26" s="494"/>
      <c r="F26" s="494">
        <v>12</v>
      </c>
      <c r="G26" s="297">
        <f t="shared" si="3"/>
        <v>2022</v>
      </c>
      <c r="H26" s="297">
        <f t="shared" si="4"/>
        <v>365</v>
      </c>
      <c r="I26" s="488">
        <f t="shared" si="5"/>
        <v>44904</v>
      </c>
      <c r="J26" s="488">
        <f t="shared" ca="1" si="0"/>
        <v>44904</v>
      </c>
      <c r="K26" s="494">
        <f t="shared" si="6"/>
        <v>30</v>
      </c>
      <c r="L26" s="488">
        <f t="shared" si="8"/>
        <v>44926</v>
      </c>
      <c r="M26" s="299">
        <f t="shared" si="14"/>
        <v>3410167.4750000001</v>
      </c>
      <c r="N26" s="303">
        <f t="shared" si="9"/>
        <v>0.1</v>
      </c>
      <c r="O26" s="299">
        <f t="shared" si="10"/>
        <v>28028.77376712329</v>
      </c>
      <c r="P26" s="299">
        <f t="shared" si="11"/>
        <v>37794</v>
      </c>
      <c r="Q26" s="299">
        <f t="shared" si="7"/>
        <v>37794.313038483175</v>
      </c>
      <c r="R26" s="302">
        <f t="shared" si="12"/>
        <v>37794.313038483175</v>
      </c>
      <c r="S26" s="302">
        <f t="shared" si="1"/>
        <v>28028.77376712329</v>
      </c>
      <c r="T26" s="299">
        <f t="shared" si="2"/>
        <v>9765.2262328767101</v>
      </c>
      <c r="U26" s="299">
        <f t="shared" si="13"/>
        <v>3400402.2488000002</v>
      </c>
      <c r="V26" s="304"/>
      <c r="W26" s="505"/>
      <c r="X26" s="505"/>
      <c r="Y26" s="298">
        <f t="shared" si="15"/>
        <v>0.1</v>
      </c>
      <c r="Z26" s="309"/>
      <c r="AA26" s="306"/>
      <c r="AB26" s="307"/>
      <c r="AC26" s="308" t="str">
        <f>IF(OR(AA26="",AB26=""),"",IF(AB26=$C$7,"Сокращение срока на "&amp;#REF!-#REF!-1&amp;" мес.","Сокращение платежа на "&amp;ROUND(Q26-Q27,2)&amp;" руб."))</f>
        <v/>
      </c>
    </row>
    <row r="27" spans="2:29" x14ac:dyDescent="0.2">
      <c r="C27" s="489"/>
      <c r="D27" s="489"/>
      <c r="E27" s="494">
        <f>E15+1</f>
        <v>26</v>
      </c>
      <c r="F27" s="494">
        <v>13</v>
      </c>
      <c r="G27" s="297">
        <f t="shared" si="3"/>
        <v>2023</v>
      </c>
      <c r="H27" s="297">
        <f t="shared" si="4"/>
        <v>365</v>
      </c>
      <c r="I27" s="488">
        <f t="shared" si="5"/>
        <v>44935</v>
      </c>
      <c r="J27" s="488">
        <f t="shared" ca="1" si="0"/>
        <v>44935</v>
      </c>
      <c r="K27" s="494">
        <f t="shared" si="6"/>
        <v>31</v>
      </c>
      <c r="L27" s="488">
        <f t="shared" si="8"/>
        <v>44957</v>
      </c>
      <c r="M27" s="299">
        <f t="shared" si="14"/>
        <v>3400402.2488000002</v>
      </c>
      <c r="N27" s="303">
        <f t="shared" si="9"/>
        <v>0.1</v>
      </c>
      <c r="O27" s="299">
        <f t="shared" si="10"/>
        <v>28880.128688438359</v>
      </c>
      <c r="P27" s="299">
        <f t="shared" si="11"/>
        <v>37794</v>
      </c>
      <c r="Q27" s="299">
        <f t="shared" si="7"/>
        <v>37794.313038483175</v>
      </c>
      <c r="R27" s="302">
        <f t="shared" si="12"/>
        <v>51149.994269078175</v>
      </c>
      <c r="S27" s="302">
        <f t="shared" si="1"/>
        <v>28880.128688438359</v>
      </c>
      <c r="T27" s="299">
        <f t="shared" si="2"/>
        <v>8913.8713115616411</v>
      </c>
      <c r="U27" s="299">
        <f t="shared" si="13"/>
        <v>3391488.3774999999</v>
      </c>
      <c r="V27" s="304">
        <f>IF(U27=0,0,((U27*10%+U27)*(W27+X27)))</f>
        <v>13355.681230594999</v>
      </c>
      <c r="W27" s="505">
        <f>INDEX('Тарифы СК'!$B$4:$C$53,MATCH($E$27,'Тарифы СК'!$A$4:$A$53,0),MATCH($AB$3,'Тарифы СК'!$B$3:$C$3,0))</f>
        <v>2.3799999999999997E-3</v>
      </c>
      <c r="X27" s="505">
        <f>'Тарифы СК'!$D$3</f>
        <v>1.1999999999999999E-3</v>
      </c>
      <c r="Y27" s="298">
        <f t="shared" si="15"/>
        <v>0.1</v>
      </c>
      <c r="Z27" s="309"/>
      <c r="AA27" s="306"/>
      <c r="AB27" s="307"/>
      <c r="AC27" s="308" t="str">
        <f>IF(OR(AA27="",AB27=""),"",IF(AB27=$C$7,"Сокращение срока на "&amp;#REF!-#REF!-1&amp;" мес.","Сокращение платежа на "&amp;ROUND(Q27-Q28,2)&amp;" руб."))</f>
        <v/>
      </c>
    </row>
    <row r="28" spans="2:29" x14ac:dyDescent="0.2">
      <c r="C28" s="489"/>
      <c r="D28" s="489"/>
      <c r="E28" s="494"/>
      <c r="F28" s="494">
        <v>14</v>
      </c>
      <c r="G28" s="297">
        <f t="shared" si="3"/>
        <v>2023</v>
      </c>
      <c r="H28" s="297">
        <f t="shared" si="4"/>
        <v>365</v>
      </c>
      <c r="I28" s="488">
        <f t="shared" si="5"/>
        <v>44966</v>
      </c>
      <c r="J28" s="488">
        <f t="shared" ca="1" si="0"/>
        <v>44966</v>
      </c>
      <c r="K28" s="494">
        <f t="shared" si="6"/>
        <v>31</v>
      </c>
      <c r="L28" s="488">
        <f t="shared" si="8"/>
        <v>44985</v>
      </c>
      <c r="M28" s="299">
        <f>U27</f>
        <v>3391488.3774999999</v>
      </c>
      <c r="N28" s="303">
        <f t="shared" si="9"/>
        <v>0.1</v>
      </c>
      <c r="O28" s="299">
        <f t="shared" si="10"/>
        <v>28804.421836301372</v>
      </c>
      <c r="P28" s="299">
        <f t="shared" si="11"/>
        <v>37794</v>
      </c>
      <c r="Q28" s="299">
        <f t="shared" si="7"/>
        <v>37794.313038483175</v>
      </c>
      <c r="R28" s="302">
        <f t="shared" si="12"/>
        <v>37794.313038483175</v>
      </c>
      <c r="S28" s="302">
        <f t="shared" si="1"/>
        <v>28804.421836301372</v>
      </c>
      <c r="T28" s="299">
        <f t="shared" si="2"/>
        <v>8989.5781636986285</v>
      </c>
      <c r="U28" s="299">
        <f t="shared" si="13"/>
        <v>3382498.7993000001</v>
      </c>
      <c r="V28" s="304"/>
      <c r="W28" s="505"/>
      <c r="X28" s="505"/>
      <c r="Y28" s="298">
        <f>IF(Z28="",Y27,Z28)</f>
        <v>0.1</v>
      </c>
      <c r="Z28" s="309"/>
      <c r="AA28" s="306"/>
      <c r="AB28" s="307"/>
      <c r="AC28" s="308" t="str">
        <f>IF(OR(AA28="",AB28=""),"",IF(AB28=$C$7,"Сокращение срока на "&amp;#REF!-#REF!-1&amp;" мес.","Сокращение платежа на "&amp;ROUND(Q28-Q29,2)&amp;" руб."))</f>
        <v/>
      </c>
    </row>
    <row r="29" spans="2:29" x14ac:dyDescent="0.2">
      <c r="C29" s="489"/>
      <c r="D29" s="489"/>
      <c r="E29" s="494"/>
      <c r="F29" s="494">
        <v>15</v>
      </c>
      <c r="G29" s="297">
        <f t="shared" si="3"/>
        <v>2023</v>
      </c>
      <c r="H29" s="297">
        <f t="shared" si="4"/>
        <v>365</v>
      </c>
      <c r="I29" s="488">
        <f t="shared" si="5"/>
        <v>44994</v>
      </c>
      <c r="J29" s="488">
        <f t="shared" ca="1" si="0"/>
        <v>44994</v>
      </c>
      <c r="K29" s="494">
        <f t="shared" si="6"/>
        <v>28</v>
      </c>
      <c r="L29" s="488">
        <f t="shared" si="8"/>
        <v>45016</v>
      </c>
      <c r="M29" s="299">
        <f t="shared" si="14"/>
        <v>3382498.7993000001</v>
      </c>
      <c r="N29" s="303">
        <f t="shared" si="9"/>
        <v>0.1</v>
      </c>
      <c r="O29" s="299">
        <f t="shared" si="10"/>
        <v>25947.935994630141</v>
      </c>
      <c r="P29" s="299">
        <f t="shared" si="11"/>
        <v>37794</v>
      </c>
      <c r="Q29" s="299">
        <f t="shared" si="7"/>
        <v>37794.313038483175</v>
      </c>
      <c r="R29" s="302">
        <f t="shared" si="12"/>
        <v>37794.313038483175</v>
      </c>
      <c r="S29" s="302">
        <f t="shared" si="1"/>
        <v>25947.935994630141</v>
      </c>
      <c r="T29" s="299">
        <f t="shared" si="2"/>
        <v>11846.064005369859</v>
      </c>
      <c r="U29" s="299">
        <f t="shared" si="13"/>
        <v>3370652.7352999998</v>
      </c>
      <c r="V29" s="304"/>
      <c r="W29" s="505"/>
      <c r="X29" s="505"/>
      <c r="Y29" s="298">
        <f t="shared" si="15"/>
        <v>0.1</v>
      </c>
      <c r="Z29" s="309"/>
      <c r="AA29" s="306"/>
      <c r="AB29" s="307"/>
      <c r="AC29" s="308" t="str">
        <f>IF(OR(AA29="",AB29=""),"",IF(AB29=$C$7,"Сокращение срока на "&amp;#REF!-#REF!-1&amp;" мес.","Сокращение платежа на "&amp;ROUND(Q29-Q30,2)&amp;" руб."))</f>
        <v/>
      </c>
    </row>
    <row r="30" spans="2:29" x14ac:dyDescent="0.2">
      <c r="C30" s="489"/>
      <c r="D30" s="489"/>
      <c r="E30" s="494"/>
      <c r="F30" s="494">
        <v>16</v>
      </c>
      <c r="G30" s="297">
        <f t="shared" si="3"/>
        <v>2023</v>
      </c>
      <c r="H30" s="297">
        <f t="shared" si="4"/>
        <v>365</v>
      </c>
      <c r="I30" s="488">
        <f t="shared" si="5"/>
        <v>45025</v>
      </c>
      <c r="J30" s="488">
        <f t="shared" ca="1" si="0"/>
        <v>45026</v>
      </c>
      <c r="K30" s="494">
        <f t="shared" si="6"/>
        <v>31</v>
      </c>
      <c r="L30" s="488">
        <f t="shared" si="8"/>
        <v>45046</v>
      </c>
      <c r="M30" s="299">
        <f t="shared" si="14"/>
        <v>3370652.7352999998</v>
      </c>
      <c r="N30" s="303">
        <f t="shared" si="9"/>
        <v>0.1</v>
      </c>
      <c r="O30" s="299">
        <f t="shared" si="10"/>
        <v>28627.461587479454</v>
      </c>
      <c r="P30" s="299">
        <f t="shared" si="11"/>
        <v>37794</v>
      </c>
      <c r="Q30" s="299">
        <f t="shared" si="7"/>
        <v>37794.313038483175</v>
      </c>
      <c r="R30" s="302">
        <f>Q30+V30</f>
        <v>37794.313038483175</v>
      </c>
      <c r="S30" s="302">
        <f t="shared" si="1"/>
        <v>28627.461587479454</v>
      </c>
      <c r="T30" s="299">
        <f t="shared" si="2"/>
        <v>9166.5384125205455</v>
      </c>
      <c r="U30" s="299">
        <f t="shared" si="13"/>
        <v>3361486.1968999999</v>
      </c>
      <c r="V30" s="304"/>
      <c r="W30" s="505"/>
      <c r="X30" s="505"/>
      <c r="Y30" s="298">
        <f t="shared" si="15"/>
        <v>0.1</v>
      </c>
      <c r="Z30" s="309"/>
      <c r="AA30" s="306"/>
      <c r="AB30" s="307"/>
      <c r="AC30" s="308" t="str">
        <f>IF(OR(AA30="",AB30=""),"",IF(AB30=$C$7,"Сокращение срока на "&amp;#REF!-#REF!-1&amp;" мес.","Сокращение платежа на "&amp;ROUND(Q30-Q31,2)&amp;" руб."))</f>
        <v/>
      </c>
    </row>
    <row r="31" spans="2:29" x14ac:dyDescent="0.2">
      <c r="C31" s="489"/>
      <c r="D31" s="489"/>
      <c r="E31" s="494"/>
      <c r="F31" s="494">
        <v>17</v>
      </c>
      <c r="G31" s="297">
        <f t="shared" si="3"/>
        <v>2023</v>
      </c>
      <c r="H31" s="297">
        <f t="shared" si="4"/>
        <v>365</v>
      </c>
      <c r="I31" s="488">
        <f t="shared" si="5"/>
        <v>45055</v>
      </c>
      <c r="J31" s="488">
        <f t="shared" ca="1" si="0"/>
        <v>45055</v>
      </c>
      <c r="K31" s="494">
        <f t="shared" si="6"/>
        <v>30</v>
      </c>
      <c r="L31" s="488">
        <f t="shared" si="8"/>
        <v>45077</v>
      </c>
      <c r="M31" s="299">
        <f t="shared" si="14"/>
        <v>3361486.1968999999</v>
      </c>
      <c r="N31" s="303">
        <f t="shared" si="9"/>
        <v>0.1</v>
      </c>
      <c r="O31" s="299">
        <f t="shared" si="10"/>
        <v>27628.653673150686</v>
      </c>
      <c r="P31" s="299">
        <f t="shared" si="11"/>
        <v>37794</v>
      </c>
      <c r="Q31" s="299">
        <f t="shared" si="7"/>
        <v>37794.313038483175</v>
      </c>
      <c r="R31" s="302">
        <f t="shared" si="12"/>
        <v>37794.313038483175</v>
      </c>
      <c r="S31" s="302">
        <f t="shared" si="1"/>
        <v>27628.653673150686</v>
      </c>
      <c r="T31" s="299">
        <f t="shared" si="2"/>
        <v>10165.346326849314</v>
      </c>
      <c r="U31" s="299">
        <f t="shared" si="13"/>
        <v>3351320.8506</v>
      </c>
      <c r="V31" s="304"/>
      <c r="W31" s="505"/>
      <c r="X31" s="505"/>
      <c r="Y31" s="298">
        <f t="shared" si="15"/>
        <v>0.1</v>
      </c>
      <c r="Z31" s="309"/>
      <c r="AA31" s="306"/>
      <c r="AB31" s="307"/>
      <c r="AC31" s="308" t="str">
        <f>IF(OR(AA31="",AB31=""),"",IF(AB31=$C$7,"Сокращение срока на "&amp;#REF!-#REF!-1&amp;" мес.","Сокращение платежа на "&amp;ROUND(Q31-Q32,2)&amp;" руб."))</f>
        <v/>
      </c>
    </row>
    <row r="32" spans="2:29" x14ac:dyDescent="0.2">
      <c r="C32" s="489"/>
      <c r="D32" s="489"/>
      <c r="E32" s="494"/>
      <c r="F32" s="494">
        <v>18</v>
      </c>
      <c r="G32" s="297">
        <f t="shared" si="3"/>
        <v>2023</v>
      </c>
      <c r="H32" s="297">
        <f t="shared" si="4"/>
        <v>365</v>
      </c>
      <c r="I32" s="488">
        <f t="shared" si="5"/>
        <v>45086</v>
      </c>
      <c r="J32" s="488">
        <f t="shared" ca="1" si="0"/>
        <v>45086</v>
      </c>
      <c r="K32" s="494">
        <f t="shared" si="6"/>
        <v>31</v>
      </c>
      <c r="L32" s="488">
        <f t="shared" si="8"/>
        <v>45107</v>
      </c>
      <c r="M32" s="299">
        <f t="shared" si="14"/>
        <v>3351320.8506</v>
      </c>
      <c r="N32" s="303">
        <f t="shared" si="9"/>
        <v>0.1</v>
      </c>
      <c r="O32" s="299">
        <f t="shared" si="10"/>
        <v>28463.272977698631</v>
      </c>
      <c r="P32" s="299">
        <f t="shared" si="11"/>
        <v>37794</v>
      </c>
      <c r="Q32" s="299">
        <f t="shared" si="7"/>
        <v>37794.313038483175</v>
      </c>
      <c r="R32" s="302">
        <f t="shared" si="12"/>
        <v>37794.313038483175</v>
      </c>
      <c r="S32" s="302">
        <f t="shared" si="1"/>
        <v>28463.272977698631</v>
      </c>
      <c r="T32" s="299">
        <f t="shared" si="2"/>
        <v>9330.7270223013693</v>
      </c>
      <c r="U32" s="299">
        <f t="shared" si="13"/>
        <v>3341990.1236</v>
      </c>
      <c r="V32" s="304"/>
      <c r="W32" s="505"/>
      <c r="X32" s="505"/>
      <c r="Y32" s="298">
        <f t="shared" si="15"/>
        <v>0.1</v>
      </c>
      <c r="Z32" s="309"/>
      <c r="AA32" s="306"/>
      <c r="AB32" s="307"/>
      <c r="AC32" s="308" t="str">
        <f>IF(OR(AA32="",AB32=""),"",IF(AB32=$C$7,"Сокращение срока на "&amp;#REF!-#REF!-1&amp;" мес.","Сокращение платежа на "&amp;ROUND(Q32-Q33,2)&amp;" руб."))</f>
        <v/>
      </c>
    </row>
    <row r="33" spans="3:29" x14ac:dyDescent="0.2">
      <c r="C33" s="489"/>
      <c r="D33" s="489"/>
      <c r="E33" s="494"/>
      <c r="F33" s="494">
        <v>19</v>
      </c>
      <c r="G33" s="297">
        <f t="shared" si="3"/>
        <v>2023</v>
      </c>
      <c r="H33" s="297">
        <f t="shared" si="4"/>
        <v>365</v>
      </c>
      <c r="I33" s="488">
        <f t="shared" si="5"/>
        <v>45116</v>
      </c>
      <c r="J33" s="488"/>
      <c r="K33" s="494">
        <f t="shared" si="6"/>
        <v>30</v>
      </c>
      <c r="L33" s="488">
        <f t="shared" si="8"/>
        <v>45138</v>
      </c>
      <c r="M33" s="299">
        <f t="shared" si="14"/>
        <v>3341990.1236</v>
      </c>
      <c r="N33" s="303">
        <f t="shared" si="9"/>
        <v>0.1</v>
      </c>
      <c r="O33" s="299">
        <f t="shared" si="10"/>
        <v>27468.411974794522</v>
      </c>
      <c r="P33" s="299">
        <f t="shared" si="11"/>
        <v>37794</v>
      </c>
      <c r="Q33" s="299">
        <f t="shared" si="7"/>
        <v>37794.313038483175</v>
      </c>
      <c r="R33" s="302">
        <f t="shared" si="12"/>
        <v>37794.313038483175</v>
      </c>
      <c r="S33" s="302">
        <f t="shared" si="1"/>
        <v>27468.411974794522</v>
      </c>
      <c r="T33" s="299">
        <f t="shared" si="2"/>
        <v>10325.588025205478</v>
      </c>
      <c r="U33" s="299">
        <f t="shared" si="13"/>
        <v>3331664.5356000001</v>
      </c>
      <c r="V33" s="304"/>
      <c r="W33" s="505"/>
      <c r="X33" s="505"/>
      <c r="Y33" s="298">
        <f t="shared" si="15"/>
        <v>0.1</v>
      </c>
      <c r="Z33" s="309"/>
      <c r="AA33" s="306"/>
      <c r="AB33" s="307"/>
      <c r="AC33" s="308" t="str">
        <f>IF(OR(AA33="",AB33=""),"",IF(AB33=$C$7,"Сокращение срока на "&amp;#REF!-#REF!-1&amp;" мес.","Сокращение платежа на "&amp;ROUND(Q33-Q34,2)&amp;" руб."))</f>
        <v/>
      </c>
    </row>
    <row r="34" spans="3:29" x14ac:dyDescent="0.2">
      <c r="C34" s="489"/>
      <c r="D34" s="489"/>
      <c r="E34" s="494"/>
      <c r="F34" s="494">
        <v>20</v>
      </c>
      <c r="G34" s="297">
        <f t="shared" si="3"/>
        <v>2023</v>
      </c>
      <c r="H34" s="297">
        <f t="shared" si="4"/>
        <v>365</v>
      </c>
      <c r="I34" s="488">
        <f t="shared" si="5"/>
        <v>45147</v>
      </c>
      <c r="J34" s="488"/>
      <c r="K34" s="494">
        <f t="shared" si="6"/>
        <v>31</v>
      </c>
      <c r="L34" s="488">
        <f t="shared" si="8"/>
        <v>45169</v>
      </c>
      <c r="M34" s="299">
        <f t="shared" si="14"/>
        <v>3331664.5356000001</v>
      </c>
      <c r="N34" s="303">
        <f t="shared" si="9"/>
        <v>0.1</v>
      </c>
      <c r="O34" s="299">
        <f t="shared" si="10"/>
        <v>28296.328932493157</v>
      </c>
      <c r="P34" s="299">
        <f t="shared" si="11"/>
        <v>37794</v>
      </c>
      <c r="Q34" s="299">
        <f t="shared" si="7"/>
        <v>37794.313038483175</v>
      </c>
      <c r="R34" s="302">
        <f t="shared" si="12"/>
        <v>37794.313038483175</v>
      </c>
      <c r="S34" s="302">
        <f t="shared" si="1"/>
        <v>28296.328932493157</v>
      </c>
      <c r="T34" s="299">
        <f t="shared" si="2"/>
        <v>9497.6710675068425</v>
      </c>
      <c r="U34" s="299">
        <f t="shared" si="13"/>
        <v>3322166.8645000001</v>
      </c>
      <c r="V34" s="304"/>
      <c r="W34" s="505"/>
      <c r="X34" s="505"/>
      <c r="Y34" s="298">
        <f t="shared" si="15"/>
        <v>0.1</v>
      </c>
      <c r="Z34" s="309"/>
      <c r="AA34" s="306"/>
      <c r="AB34" s="307"/>
      <c r="AC34" s="308" t="str">
        <f>IF(OR(AA34="",AB34=""),"",IF(AB34=$C$7,"Сокращение срока на "&amp;#REF!-#REF!-1&amp;" мес.","Сокращение платежа на "&amp;ROUND(Q34-Q35,2)&amp;" руб."))</f>
        <v/>
      </c>
    </row>
    <row r="35" spans="3:29" x14ac:dyDescent="0.2">
      <c r="C35" s="489"/>
      <c r="D35" s="489"/>
      <c r="E35" s="494"/>
      <c r="F35" s="494">
        <v>21</v>
      </c>
      <c r="G35" s="297">
        <f t="shared" si="3"/>
        <v>2023</v>
      </c>
      <c r="H35" s="297">
        <f t="shared" si="4"/>
        <v>365</v>
      </c>
      <c r="I35" s="488">
        <f t="shared" si="5"/>
        <v>45178</v>
      </c>
      <c r="J35" s="488"/>
      <c r="K35" s="494">
        <f t="shared" si="6"/>
        <v>31</v>
      </c>
      <c r="L35" s="488">
        <f t="shared" si="8"/>
        <v>45199</v>
      </c>
      <c r="M35" s="299">
        <f t="shared" si="14"/>
        <v>3322166.8645000001</v>
      </c>
      <c r="N35" s="303">
        <f t="shared" si="9"/>
        <v>0.1</v>
      </c>
      <c r="O35" s="299">
        <f t="shared" si="10"/>
        <v>28215.663780684936</v>
      </c>
      <c r="P35" s="299">
        <f t="shared" si="11"/>
        <v>37794</v>
      </c>
      <c r="Q35" s="299">
        <f t="shared" si="7"/>
        <v>37794.313038483175</v>
      </c>
      <c r="R35" s="302">
        <f t="shared" si="12"/>
        <v>37794.313038483175</v>
      </c>
      <c r="S35" s="302">
        <f t="shared" si="1"/>
        <v>28215.663780684936</v>
      </c>
      <c r="T35" s="299">
        <f t="shared" si="2"/>
        <v>9578.3362193150642</v>
      </c>
      <c r="U35" s="299">
        <f t="shared" si="13"/>
        <v>3312588.5282999999</v>
      </c>
      <c r="V35" s="304"/>
      <c r="W35" s="505"/>
      <c r="X35" s="505"/>
      <c r="Y35" s="298">
        <f t="shared" si="15"/>
        <v>0.1</v>
      </c>
      <c r="Z35" s="309"/>
      <c r="AA35" s="306"/>
      <c r="AB35" s="307"/>
      <c r="AC35" s="308" t="str">
        <f>IF(OR(AA35="",AB35=""),"",IF(AB35=$C$7,"Сокращение срока на "&amp;#REF!-#REF!-1&amp;" мес.","Сокращение платежа на "&amp;ROUND(Q35-Q36,2)&amp;" руб."))</f>
        <v/>
      </c>
    </row>
    <row r="36" spans="3:29" x14ac:dyDescent="0.2">
      <c r="C36" s="489"/>
      <c r="D36" s="489"/>
      <c r="E36" s="494"/>
      <c r="F36" s="494">
        <v>22</v>
      </c>
      <c r="G36" s="297">
        <f t="shared" si="3"/>
        <v>2023</v>
      </c>
      <c r="H36" s="297">
        <f t="shared" si="4"/>
        <v>365</v>
      </c>
      <c r="I36" s="488">
        <f t="shared" si="5"/>
        <v>45208</v>
      </c>
      <c r="J36" s="488"/>
      <c r="K36" s="494">
        <f t="shared" si="6"/>
        <v>30</v>
      </c>
      <c r="L36" s="488">
        <f t="shared" si="8"/>
        <v>45230</v>
      </c>
      <c r="M36" s="299">
        <f t="shared" si="14"/>
        <v>3312588.5282999999</v>
      </c>
      <c r="N36" s="303">
        <f t="shared" si="9"/>
        <v>0.1</v>
      </c>
      <c r="O36" s="299">
        <f t="shared" si="10"/>
        <v>27226.755027123287</v>
      </c>
      <c r="P36" s="299">
        <f t="shared" si="11"/>
        <v>37794</v>
      </c>
      <c r="Q36" s="299">
        <f t="shared" si="7"/>
        <v>37794.313038483175</v>
      </c>
      <c r="R36" s="302">
        <f t="shared" si="12"/>
        <v>37794.313038483175</v>
      </c>
      <c r="S36" s="302">
        <f t="shared" si="1"/>
        <v>27226.755027123287</v>
      </c>
      <c r="T36" s="299">
        <f t="shared" si="2"/>
        <v>10567.244972876713</v>
      </c>
      <c r="U36" s="299">
        <f t="shared" si="13"/>
        <v>3302021.2832999998</v>
      </c>
      <c r="V36" s="304"/>
      <c r="W36" s="505"/>
      <c r="X36" s="505"/>
      <c r="Y36" s="298">
        <f t="shared" si="15"/>
        <v>0.1</v>
      </c>
      <c r="Z36" s="309"/>
      <c r="AA36" s="306"/>
      <c r="AB36" s="307"/>
      <c r="AC36" s="308" t="str">
        <f>IF(OR(AA36="",AB36=""),"",IF(AB36=$C$7,"Сокращение срока на "&amp;#REF!-#REF!-1&amp;" мес.","Сокращение платежа на "&amp;ROUND(Q36-Q37,2)&amp;" руб."))</f>
        <v/>
      </c>
    </row>
    <row r="37" spans="3:29" x14ac:dyDescent="0.2">
      <c r="C37" s="489"/>
      <c r="D37" s="489"/>
      <c r="E37" s="494"/>
      <c r="F37" s="494">
        <v>23</v>
      </c>
      <c r="G37" s="297">
        <f t="shared" si="3"/>
        <v>2023</v>
      </c>
      <c r="H37" s="297">
        <f t="shared" si="4"/>
        <v>365</v>
      </c>
      <c r="I37" s="488">
        <f t="shared" si="5"/>
        <v>45239</v>
      </c>
      <c r="J37" s="488"/>
      <c r="K37" s="494">
        <f t="shared" si="6"/>
        <v>31</v>
      </c>
      <c r="L37" s="488">
        <f t="shared" si="8"/>
        <v>45260</v>
      </c>
      <c r="M37" s="299">
        <f t="shared" si="14"/>
        <v>3302021.2832999998</v>
      </c>
      <c r="N37" s="303">
        <f t="shared" si="9"/>
        <v>0.1</v>
      </c>
      <c r="O37" s="299">
        <f t="shared" si="10"/>
        <v>28044.564323917806</v>
      </c>
      <c r="P37" s="299">
        <f t="shared" si="11"/>
        <v>37794</v>
      </c>
      <c r="Q37" s="299">
        <f t="shared" si="7"/>
        <v>37794.313038483175</v>
      </c>
      <c r="R37" s="302">
        <f t="shared" si="12"/>
        <v>37794.313038483175</v>
      </c>
      <c r="S37" s="302">
        <f t="shared" si="1"/>
        <v>28044.564323917806</v>
      </c>
      <c r="T37" s="299">
        <f t="shared" si="2"/>
        <v>9749.4356760821938</v>
      </c>
      <c r="U37" s="299">
        <f t="shared" si="13"/>
        <v>3292271.8476</v>
      </c>
      <c r="V37" s="304"/>
      <c r="W37" s="505"/>
      <c r="X37" s="505"/>
      <c r="Y37" s="298">
        <f t="shared" si="15"/>
        <v>0.1</v>
      </c>
      <c r="Z37" s="309"/>
      <c r="AA37" s="306"/>
      <c r="AB37" s="307"/>
      <c r="AC37" s="308" t="str">
        <f>IF(OR(AA37="",AB37=""),"",IF(AB37=$C$7,"Сокращение срока на "&amp;#REF!-#REF!-1&amp;" мес.","Сокращение платежа на "&amp;ROUND(Q37-Q38,2)&amp;" руб."))</f>
        <v/>
      </c>
    </row>
    <row r="38" spans="3:29" x14ac:dyDescent="0.2">
      <c r="C38" s="489"/>
      <c r="D38" s="489"/>
      <c r="E38" s="494"/>
      <c r="F38" s="494">
        <v>24</v>
      </c>
      <c r="G38" s="297">
        <f t="shared" si="3"/>
        <v>2023</v>
      </c>
      <c r="H38" s="297">
        <f t="shared" si="4"/>
        <v>365</v>
      </c>
      <c r="I38" s="488">
        <f t="shared" si="5"/>
        <v>45269</v>
      </c>
      <c r="J38" s="488"/>
      <c r="K38" s="494">
        <f t="shared" si="6"/>
        <v>30</v>
      </c>
      <c r="L38" s="488">
        <f t="shared" si="8"/>
        <v>45291</v>
      </c>
      <c r="M38" s="299">
        <f t="shared" si="14"/>
        <v>3292271.8476</v>
      </c>
      <c r="N38" s="303">
        <f t="shared" si="9"/>
        <v>0.1</v>
      </c>
      <c r="O38" s="299">
        <f t="shared" si="10"/>
        <v>27059.768610410963</v>
      </c>
      <c r="P38" s="299">
        <f t="shared" si="11"/>
        <v>37794</v>
      </c>
      <c r="Q38" s="299">
        <f t="shared" si="7"/>
        <v>37794.313038483175</v>
      </c>
      <c r="R38" s="302">
        <f t="shared" si="12"/>
        <v>37794.313038483175</v>
      </c>
      <c r="S38" s="302">
        <f t="shared" si="1"/>
        <v>27059.768610410963</v>
      </c>
      <c r="T38" s="299">
        <f t="shared" si="2"/>
        <v>10734.231389589037</v>
      </c>
      <c r="U38" s="299">
        <f t="shared" si="13"/>
        <v>3281537.6162</v>
      </c>
      <c r="V38" s="304"/>
      <c r="W38" s="505"/>
      <c r="X38" s="505"/>
      <c r="Y38" s="298">
        <f t="shared" si="15"/>
        <v>0.1</v>
      </c>
      <c r="Z38" s="309"/>
      <c r="AA38" s="306"/>
      <c r="AB38" s="307"/>
      <c r="AC38" s="308" t="str">
        <f>IF(OR(AA38="",AB38=""),"",IF(AB38=$C$7,"Сокращение срока на "&amp;#REF!-#REF!-1&amp;" мес.","Сокращение платежа на "&amp;ROUND(Q38-Q39,2)&amp;" руб."))</f>
        <v/>
      </c>
    </row>
    <row r="39" spans="3:29" x14ac:dyDescent="0.2">
      <c r="C39" s="489"/>
      <c r="D39" s="489"/>
      <c r="E39" s="494">
        <f>E27+1</f>
        <v>27</v>
      </c>
      <c r="F39" s="494">
        <v>25</v>
      </c>
      <c r="G39" s="297">
        <f t="shared" si="3"/>
        <v>2024</v>
      </c>
      <c r="H39" s="297">
        <f t="shared" si="4"/>
        <v>366</v>
      </c>
      <c r="I39" s="488">
        <f t="shared" si="5"/>
        <v>45300</v>
      </c>
      <c r="J39" s="488"/>
      <c r="K39" s="494">
        <f t="shared" si="6"/>
        <v>31</v>
      </c>
      <c r="L39" s="488">
        <f t="shared" si="8"/>
        <v>45322</v>
      </c>
      <c r="M39" s="299">
        <f t="shared" si="14"/>
        <v>3281537.6162</v>
      </c>
      <c r="N39" s="303">
        <f t="shared" si="9"/>
        <v>0.1</v>
      </c>
      <c r="O39" s="299">
        <f t="shared" si="10"/>
        <v>27794.44429021858</v>
      </c>
      <c r="P39" s="299">
        <f t="shared" si="11"/>
        <v>37794</v>
      </c>
      <c r="Q39" s="299">
        <f t="shared" si="7"/>
        <v>37794.313038483175</v>
      </c>
      <c r="R39" s="302">
        <f t="shared" si="12"/>
        <v>50893.551432725173</v>
      </c>
      <c r="S39" s="302">
        <f t="shared" si="1"/>
        <v>27794.44429021858</v>
      </c>
      <c r="T39" s="299">
        <f t="shared" si="2"/>
        <v>9999.5557097814199</v>
      </c>
      <c r="U39" s="299">
        <f t="shared" si="13"/>
        <v>3271538.0605000001</v>
      </c>
      <c r="V39" s="304">
        <f>IF(U39=0,0,((U39*10%+U39)*(W39+X39)))</f>
        <v>13099.238394242002</v>
      </c>
      <c r="W39" s="505">
        <f>INDEX('Тарифы СК'!$B$4:$C$53,MATCH($E$39,'Тарифы СК'!$A$4:$A$53,0),MATCH($AB$3,'Тарифы СК'!$B$3:$C$3,0))</f>
        <v>2.4399999999999999E-3</v>
      </c>
      <c r="X39" s="505">
        <f>'Тарифы СК'!$D$3</f>
        <v>1.1999999999999999E-3</v>
      </c>
      <c r="Y39" s="298">
        <f t="shared" si="15"/>
        <v>0.1</v>
      </c>
      <c r="Z39" s="309"/>
      <c r="AA39" s="306"/>
      <c r="AB39" s="307"/>
      <c r="AC39" s="308" t="str">
        <f>IF(OR(AA39="",AB39=""),"",IF(AB39=$C$7,"Сокращение срока на "&amp;#REF!-#REF!-1&amp;" мес.","Сокращение платежа на "&amp;ROUND(Q39-Q40,2)&amp;" руб."))</f>
        <v/>
      </c>
    </row>
    <row r="40" spans="3:29" x14ac:dyDescent="0.2">
      <c r="C40" s="489"/>
      <c r="D40" s="489"/>
      <c r="E40" s="494"/>
      <c r="F40" s="494">
        <v>26</v>
      </c>
      <c r="G40" s="297">
        <f t="shared" si="3"/>
        <v>2024</v>
      </c>
      <c r="H40" s="297">
        <f t="shared" si="4"/>
        <v>366</v>
      </c>
      <c r="I40" s="488">
        <f t="shared" si="5"/>
        <v>45331</v>
      </c>
      <c r="J40" s="488"/>
      <c r="K40" s="494">
        <f t="shared" si="6"/>
        <v>31</v>
      </c>
      <c r="L40" s="488">
        <f t="shared" si="8"/>
        <v>45351</v>
      </c>
      <c r="M40" s="299">
        <f>U39</f>
        <v>3271538.0605000001</v>
      </c>
      <c r="N40" s="303">
        <f t="shared" si="9"/>
        <v>0.1</v>
      </c>
      <c r="O40" s="299">
        <f t="shared" si="10"/>
        <v>27709.748599863389</v>
      </c>
      <c r="P40" s="299">
        <f t="shared" si="11"/>
        <v>37794</v>
      </c>
      <c r="Q40" s="299">
        <f t="shared" si="7"/>
        <v>37794.313038483175</v>
      </c>
      <c r="R40" s="302">
        <f t="shared" si="12"/>
        <v>37794.313038483175</v>
      </c>
      <c r="S40" s="302">
        <f t="shared" si="1"/>
        <v>27709.748599863389</v>
      </c>
      <c r="T40" s="299">
        <f t="shared" si="2"/>
        <v>10084.251400136611</v>
      </c>
      <c r="U40" s="299">
        <f t="shared" si="13"/>
        <v>3261453.8091000002</v>
      </c>
      <c r="V40" s="304"/>
      <c r="W40" s="505"/>
      <c r="X40" s="505"/>
      <c r="Y40" s="298">
        <f>IF(Z40="",Y39,Z40)</f>
        <v>0.1</v>
      </c>
      <c r="Z40" s="309"/>
      <c r="AA40" s="306"/>
      <c r="AB40" s="307"/>
      <c r="AC40" s="308" t="str">
        <f>IF(OR(AA40="",AB40=""),"",IF(AB40=$C$7,"Сокращение срока на "&amp;#REF!-#REF!-1&amp;" мес.","Сокращение платежа на "&amp;ROUND(Q40-Q41,2)&amp;" руб."))</f>
        <v/>
      </c>
    </row>
    <row r="41" spans="3:29" x14ac:dyDescent="0.2">
      <c r="C41" s="489"/>
      <c r="D41" s="489"/>
      <c r="E41" s="494"/>
      <c r="F41" s="494">
        <v>27</v>
      </c>
      <c r="G41" s="297">
        <f t="shared" si="3"/>
        <v>2024</v>
      </c>
      <c r="H41" s="297">
        <f t="shared" si="4"/>
        <v>366</v>
      </c>
      <c r="I41" s="488">
        <f t="shared" si="5"/>
        <v>45360</v>
      </c>
      <c r="J41" s="488"/>
      <c r="K41" s="494">
        <f t="shared" si="6"/>
        <v>29</v>
      </c>
      <c r="L41" s="488">
        <f t="shared" si="8"/>
        <v>45382</v>
      </c>
      <c r="M41" s="299">
        <f t="shared" si="14"/>
        <v>3261453.8091000002</v>
      </c>
      <c r="N41" s="303">
        <f t="shared" si="9"/>
        <v>0.1</v>
      </c>
      <c r="O41" s="299">
        <f t="shared" si="10"/>
        <v>25842.120345327876</v>
      </c>
      <c r="P41" s="299">
        <f t="shared" si="11"/>
        <v>37794</v>
      </c>
      <c r="Q41" s="299">
        <f t="shared" si="7"/>
        <v>37794.313038483175</v>
      </c>
      <c r="R41" s="302">
        <f t="shared" si="12"/>
        <v>37794.313038483175</v>
      </c>
      <c r="S41" s="302">
        <f t="shared" si="1"/>
        <v>25842.120345327876</v>
      </c>
      <c r="T41" s="299">
        <f t="shared" si="2"/>
        <v>11951.879654672124</v>
      </c>
      <c r="U41" s="299">
        <f t="shared" si="13"/>
        <v>3249501.9293999998</v>
      </c>
      <c r="V41" s="304"/>
      <c r="W41" s="505"/>
      <c r="X41" s="505"/>
      <c r="Y41" s="298">
        <f t="shared" si="15"/>
        <v>0.1</v>
      </c>
      <c r="Z41" s="309"/>
      <c r="AA41" s="306"/>
      <c r="AB41" s="307"/>
      <c r="AC41" s="308" t="str">
        <f>IF(OR(AA41="",AB41=""),"",IF(AB41=$C$7,"Сокращение срока на "&amp;#REF!-#REF!-1&amp;" мес.","Сокращение платежа на "&amp;ROUND(Q41-Q42,2)&amp;" руб."))</f>
        <v/>
      </c>
    </row>
    <row r="42" spans="3:29" x14ac:dyDescent="0.2">
      <c r="C42" s="489"/>
      <c r="D42" s="489"/>
      <c r="E42" s="494"/>
      <c r="F42" s="494">
        <v>28</v>
      </c>
      <c r="G42" s="297">
        <f t="shared" si="3"/>
        <v>2024</v>
      </c>
      <c r="H42" s="297">
        <f t="shared" si="4"/>
        <v>366</v>
      </c>
      <c r="I42" s="488">
        <f t="shared" si="5"/>
        <v>45391</v>
      </c>
      <c r="J42" s="488"/>
      <c r="K42" s="494">
        <f t="shared" si="6"/>
        <v>31</v>
      </c>
      <c r="L42" s="488">
        <f t="shared" si="8"/>
        <v>45412</v>
      </c>
      <c r="M42" s="299">
        <f t="shared" si="14"/>
        <v>3249501.9293999998</v>
      </c>
      <c r="N42" s="303">
        <f t="shared" si="9"/>
        <v>0.1</v>
      </c>
      <c r="O42" s="299">
        <f t="shared" si="10"/>
        <v>27523.103773606555</v>
      </c>
      <c r="P42" s="299">
        <f t="shared" si="11"/>
        <v>37794</v>
      </c>
      <c r="Q42" s="299">
        <f t="shared" si="7"/>
        <v>37794.313038483175</v>
      </c>
      <c r="R42" s="302">
        <f t="shared" si="12"/>
        <v>37794.313038483175</v>
      </c>
      <c r="S42" s="302">
        <f t="shared" si="1"/>
        <v>27523.103773606555</v>
      </c>
      <c r="T42" s="299">
        <f t="shared" si="2"/>
        <v>10270.896226393445</v>
      </c>
      <c r="U42" s="299">
        <f t="shared" si="13"/>
        <v>3239231.0331999999</v>
      </c>
      <c r="V42" s="304"/>
      <c r="W42" s="505"/>
      <c r="X42" s="505"/>
      <c r="Y42" s="298">
        <f t="shared" si="15"/>
        <v>0.1</v>
      </c>
      <c r="Z42" s="309"/>
      <c r="AA42" s="306"/>
      <c r="AB42" s="307"/>
      <c r="AC42" s="308" t="str">
        <f>IF(OR(AA42="",AB42=""),"",IF(AB42=$C$7,"Сокращение срока на "&amp;#REF!-#REF!-1&amp;" мес.","Сокращение платежа на "&amp;ROUND(Q42-Q43,2)&amp;" руб."))</f>
        <v/>
      </c>
    </row>
    <row r="43" spans="3:29" x14ac:dyDescent="0.2">
      <c r="C43" s="489"/>
      <c r="D43" s="489"/>
      <c r="E43" s="494"/>
      <c r="F43" s="494">
        <v>29</v>
      </c>
      <c r="G43" s="297">
        <f t="shared" si="3"/>
        <v>2024</v>
      </c>
      <c r="H43" s="297">
        <f t="shared" si="4"/>
        <v>366</v>
      </c>
      <c r="I43" s="488">
        <f t="shared" si="5"/>
        <v>45421</v>
      </c>
      <c r="J43" s="488"/>
      <c r="K43" s="494">
        <f t="shared" si="6"/>
        <v>30</v>
      </c>
      <c r="L43" s="488">
        <f t="shared" si="8"/>
        <v>45443</v>
      </c>
      <c r="M43" s="299">
        <f t="shared" si="14"/>
        <v>3239231.0331999999</v>
      </c>
      <c r="N43" s="303">
        <f t="shared" si="9"/>
        <v>0.1</v>
      </c>
      <c r="O43" s="299">
        <f t="shared" si="10"/>
        <v>26551.074042622949</v>
      </c>
      <c r="P43" s="299">
        <f t="shared" si="11"/>
        <v>37794</v>
      </c>
      <c r="Q43" s="299">
        <f t="shared" si="7"/>
        <v>37794.313038483175</v>
      </c>
      <c r="R43" s="302">
        <f t="shared" si="12"/>
        <v>37794.313038483175</v>
      </c>
      <c r="S43" s="302">
        <f t="shared" si="1"/>
        <v>26551.074042622949</v>
      </c>
      <c r="T43" s="299">
        <f t="shared" si="2"/>
        <v>11242.925957377051</v>
      </c>
      <c r="U43" s="299">
        <f t="shared" si="13"/>
        <v>3227988.1072</v>
      </c>
      <c r="V43" s="304"/>
      <c r="W43" s="505"/>
      <c r="X43" s="505"/>
      <c r="Y43" s="298">
        <f t="shared" si="15"/>
        <v>0.1</v>
      </c>
      <c r="Z43" s="309"/>
      <c r="AA43" s="306"/>
      <c r="AB43" s="307"/>
      <c r="AC43" s="308" t="str">
        <f>IF(OR(AA43="",AB43=""),"",IF(AB43=$C$7,"Сокращение срока на "&amp;#REF!-#REF!-1&amp;" мес.","Сокращение платежа на "&amp;ROUND(Q43-Q44,2)&amp;" руб."))</f>
        <v/>
      </c>
    </row>
    <row r="44" spans="3:29" x14ac:dyDescent="0.2">
      <c r="C44" s="489"/>
      <c r="D44" s="489"/>
      <c r="E44" s="494"/>
      <c r="F44" s="494">
        <v>30</v>
      </c>
      <c r="G44" s="297">
        <f t="shared" si="3"/>
        <v>2024</v>
      </c>
      <c r="H44" s="297">
        <f t="shared" si="4"/>
        <v>366</v>
      </c>
      <c r="I44" s="488">
        <f t="shared" si="5"/>
        <v>45452</v>
      </c>
      <c r="J44" s="488"/>
      <c r="K44" s="494">
        <f t="shared" si="6"/>
        <v>31</v>
      </c>
      <c r="L44" s="488">
        <f t="shared" si="8"/>
        <v>45473</v>
      </c>
      <c r="M44" s="299">
        <f t="shared" si="14"/>
        <v>3227988.1072</v>
      </c>
      <c r="N44" s="303">
        <f t="shared" si="9"/>
        <v>0.1</v>
      </c>
      <c r="O44" s="299">
        <f t="shared" si="10"/>
        <v>27340.882875191259</v>
      </c>
      <c r="P44" s="299">
        <f t="shared" si="11"/>
        <v>37794</v>
      </c>
      <c r="Q44" s="299">
        <f t="shared" si="7"/>
        <v>37794.313038483175</v>
      </c>
      <c r="R44" s="302">
        <f t="shared" si="12"/>
        <v>37794.313038483175</v>
      </c>
      <c r="S44" s="302">
        <f t="shared" si="1"/>
        <v>27340.882875191259</v>
      </c>
      <c r="T44" s="299">
        <f t="shared" si="2"/>
        <v>10453.117124808741</v>
      </c>
      <c r="U44" s="299">
        <f t="shared" si="13"/>
        <v>3217534.9901000001</v>
      </c>
      <c r="V44" s="304"/>
      <c r="W44" s="505"/>
      <c r="X44" s="505"/>
      <c r="Y44" s="298">
        <f t="shared" si="15"/>
        <v>0.1</v>
      </c>
      <c r="Z44" s="309"/>
      <c r="AA44" s="306"/>
      <c r="AB44" s="307"/>
      <c r="AC44" s="308" t="str">
        <f>IF(OR(AA44="",AB44=""),"",IF(AB44=$C$7,"Сокращение срока на "&amp;#REF!-#REF!-1&amp;" мес.","Сокращение платежа на "&amp;ROUND(Q44-Q45,2)&amp;" руб."))</f>
        <v/>
      </c>
    </row>
    <row r="45" spans="3:29" x14ac:dyDescent="0.2">
      <c r="C45" s="489"/>
      <c r="D45" s="489"/>
      <c r="E45" s="494"/>
      <c r="F45" s="494">
        <v>31</v>
      </c>
      <c r="G45" s="297">
        <f t="shared" si="3"/>
        <v>2024</v>
      </c>
      <c r="H45" s="297">
        <f t="shared" si="4"/>
        <v>366</v>
      </c>
      <c r="I45" s="488">
        <f t="shared" si="5"/>
        <v>45482</v>
      </c>
      <c r="J45" s="488"/>
      <c r="K45" s="494">
        <f t="shared" si="6"/>
        <v>30</v>
      </c>
      <c r="L45" s="488">
        <f t="shared" si="8"/>
        <v>45504</v>
      </c>
      <c r="M45" s="299">
        <f t="shared" si="14"/>
        <v>3217534.9901000001</v>
      </c>
      <c r="N45" s="303">
        <f t="shared" si="9"/>
        <v>0.1</v>
      </c>
      <c r="O45" s="299">
        <f t="shared" si="10"/>
        <v>26373.237623770492</v>
      </c>
      <c r="P45" s="299">
        <f t="shared" si="11"/>
        <v>37794</v>
      </c>
      <c r="Q45" s="299">
        <f t="shared" si="7"/>
        <v>37794.313038483175</v>
      </c>
      <c r="R45" s="302">
        <f t="shared" si="12"/>
        <v>37794.313038483175</v>
      </c>
      <c r="S45" s="302">
        <f t="shared" si="1"/>
        <v>26373.237623770492</v>
      </c>
      <c r="T45" s="299">
        <f t="shared" si="2"/>
        <v>11420.762376229508</v>
      </c>
      <c r="U45" s="299">
        <f t="shared" si="13"/>
        <v>3206114.2277000002</v>
      </c>
      <c r="V45" s="304"/>
      <c r="W45" s="505"/>
      <c r="X45" s="505"/>
      <c r="Y45" s="298">
        <f t="shared" si="15"/>
        <v>0.1</v>
      </c>
      <c r="Z45" s="309"/>
      <c r="AA45" s="306"/>
      <c r="AB45" s="307"/>
      <c r="AC45" s="308" t="str">
        <f>IF(OR(AA45="",AB45=""),"",IF(AB45=$C$7,"Сокращение срока на "&amp;#REF!-#REF!-1&amp;" мес.","Сокращение платежа на "&amp;ROUND(Q45-Q46,2)&amp;" руб."))</f>
        <v/>
      </c>
    </row>
    <row r="46" spans="3:29" x14ac:dyDescent="0.2">
      <c r="C46" s="489"/>
      <c r="D46" s="489"/>
      <c r="E46" s="494"/>
      <c r="F46" s="494">
        <v>32</v>
      </c>
      <c r="G46" s="297">
        <f t="shared" si="3"/>
        <v>2024</v>
      </c>
      <c r="H46" s="297">
        <f t="shared" si="4"/>
        <v>366</v>
      </c>
      <c r="I46" s="488">
        <f t="shared" si="5"/>
        <v>45513</v>
      </c>
      <c r="J46" s="488"/>
      <c r="K46" s="494">
        <f t="shared" si="6"/>
        <v>31</v>
      </c>
      <c r="L46" s="488">
        <f t="shared" si="8"/>
        <v>45535</v>
      </c>
      <c r="M46" s="299">
        <f t="shared" si="14"/>
        <v>3206114.2277000002</v>
      </c>
      <c r="N46" s="303">
        <f t="shared" si="9"/>
        <v>0.1</v>
      </c>
      <c r="O46" s="299">
        <f t="shared" si="10"/>
        <v>27155.612311120221</v>
      </c>
      <c r="P46" s="299">
        <f t="shared" si="11"/>
        <v>37794</v>
      </c>
      <c r="Q46" s="299">
        <f t="shared" si="7"/>
        <v>37794.313038483175</v>
      </c>
      <c r="R46" s="302">
        <f t="shared" si="12"/>
        <v>37794.313038483175</v>
      </c>
      <c r="S46" s="302">
        <f t="shared" si="1"/>
        <v>27155.612311120221</v>
      </c>
      <c r="T46" s="299">
        <f t="shared" si="2"/>
        <v>10638.387688879779</v>
      </c>
      <c r="U46" s="299">
        <f t="shared" si="13"/>
        <v>3195475.84</v>
      </c>
      <c r="V46" s="304"/>
      <c r="W46" s="505"/>
      <c r="X46" s="505"/>
      <c r="Y46" s="298">
        <f t="shared" si="15"/>
        <v>0.1</v>
      </c>
      <c r="Z46" s="309"/>
      <c r="AA46" s="306"/>
      <c r="AB46" s="307"/>
      <c r="AC46" s="308" t="str">
        <f>IF(OR(AA46="",AB46=""),"",IF(AB46=$C$7,"Сокращение срока на "&amp;#REF!-#REF!-1&amp;" мес.","Сокращение платежа на "&amp;ROUND(Q46-Q47,2)&amp;" руб."))</f>
        <v/>
      </c>
    </row>
    <row r="47" spans="3:29" x14ac:dyDescent="0.2">
      <c r="C47" s="489"/>
      <c r="D47" s="489"/>
      <c r="E47" s="494"/>
      <c r="F47" s="494">
        <v>33</v>
      </c>
      <c r="G47" s="297">
        <f t="shared" si="3"/>
        <v>2024</v>
      </c>
      <c r="H47" s="297">
        <f t="shared" si="4"/>
        <v>366</v>
      </c>
      <c r="I47" s="488">
        <f t="shared" si="5"/>
        <v>45544</v>
      </c>
      <c r="J47" s="488"/>
      <c r="K47" s="494">
        <f t="shared" si="6"/>
        <v>31</v>
      </c>
      <c r="L47" s="488">
        <f t="shared" si="8"/>
        <v>45565</v>
      </c>
      <c r="M47" s="299">
        <f t="shared" si="14"/>
        <v>3195475.84</v>
      </c>
      <c r="N47" s="303">
        <f t="shared" si="9"/>
        <v>0.1</v>
      </c>
      <c r="O47" s="299">
        <f t="shared" si="10"/>
        <v>27065.505748633885</v>
      </c>
      <c r="P47" s="299">
        <f t="shared" si="11"/>
        <v>37794</v>
      </c>
      <c r="Q47" s="299">
        <f t="shared" si="7"/>
        <v>37794.313038483175</v>
      </c>
      <c r="R47" s="302">
        <f t="shared" si="12"/>
        <v>37794.313038483175</v>
      </c>
      <c r="S47" s="302">
        <f t="shared" si="1"/>
        <v>27065.505748633885</v>
      </c>
      <c r="T47" s="299">
        <f t="shared" si="2"/>
        <v>10728.494251366115</v>
      </c>
      <c r="U47" s="299">
        <f t="shared" si="13"/>
        <v>3184747.3456999999</v>
      </c>
      <c r="V47" s="304"/>
      <c r="W47" s="505"/>
      <c r="X47" s="505"/>
      <c r="Y47" s="298">
        <f t="shared" si="15"/>
        <v>0.1</v>
      </c>
      <c r="Z47" s="309"/>
      <c r="AA47" s="306"/>
      <c r="AB47" s="307"/>
      <c r="AC47" s="308" t="str">
        <f>IF(OR(AA47="",AB47=""),"",IF(AB47=$C$7,"Сокращение срока на "&amp;#REF!-#REF!-1&amp;" мес.","Сокращение платежа на "&amp;ROUND(Q47-Q48,2)&amp;" руб."))</f>
        <v/>
      </c>
    </row>
    <row r="48" spans="3:29" x14ac:dyDescent="0.2">
      <c r="C48" s="489"/>
      <c r="D48" s="489"/>
      <c r="E48" s="494"/>
      <c r="F48" s="494">
        <v>34</v>
      </c>
      <c r="G48" s="297">
        <f t="shared" si="3"/>
        <v>2024</v>
      </c>
      <c r="H48" s="297">
        <f t="shared" si="4"/>
        <v>366</v>
      </c>
      <c r="I48" s="488">
        <f t="shared" si="5"/>
        <v>45574</v>
      </c>
      <c r="J48" s="488"/>
      <c r="K48" s="494">
        <f t="shared" si="6"/>
        <v>30</v>
      </c>
      <c r="L48" s="488">
        <f t="shared" si="8"/>
        <v>45596</v>
      </c>
      <c r="M48" s="299">
        <f t="shared" si="14"/>
        <v>3184747.3456999999</v>
      </c>
      <c r="N48" s="303">
        <f t="shared" si="9"/>
        <v>0.1</v>
      </c>
      <c r="O48" s="299">
        <f t="shared" si="10"/>
        <v>26104.486440163935</v>
      </c>
      <c r="P48" s="299">
        <f t="shared" si="11"/>
        <v>37794</v>
      </c>
      <c r="Q48" s="299">
        <f t="shared" si="7"/>
        <v>37794.313038483175</v>
      </c>
      <c r="R48" s="302">
        <f t="shared" si="12"/>
        <v>37794.313038483175</v>
      </c>
      <c r="S48" s="302">
        <f t="shared" si="1"/>
        <v>26104.486440163935</v>
      </c>
      <c r="T48" s="299">
        <f t="shared" si="2"/>
        <v>11689.513559836065</v>
      </c>
      <c r="U48" s="299">
        <f t="shared" si="13"/>
        <v>3173057.8321000002</v>
      </c>
      <c r="V48" s="304"/>
      <c r="W48" s="505"/>
      <c r="X48" s="505"/>
      <c r="Y48" s="298">
        <f t="shared" si="15"/>
        <v>0.1</v>
      </c>
      <c r="Z48" s="309"/>
      <c r="AA48" s="306"/>
      <c r="AB48" s="307"/>
      <c r="AC48" s="308" t="str">
        <f>IF(OR(AA48="",AB48=""),"",IF(AB48=$C$7,"Сокращение срока на "&amp;#REF!-#REF!-1&amp;" мес.","Сокращение платежа на "&amp;ROUND(Q48-Q49,2)&amp;" руб."))</f>
        <v/>
      </c>
    </row>
    <row r="49" spans="3:29" x14ac:dyDescent="0.2">
      <c r="C49" s="489"/>
      <c r="D49" s="489"/>
      <c r="E49" s="494"/>
      <c r="F49" s="494">
        <v>35</v>
      </c>
      <c r="G49" s="297">
        <f t="shared" si="3"/>
        <v>2024</v>
      </c>
      <c r="H49" s="297">
        <f t="shared" si="4"/>
        <v>366</v>
      </c>
      <c r="I49" s="488">
        <f t="shared" si="5"/>
        <v>45605</v>
      </c>
      <c r="J49" s="488"/>
      <c r="K49" s="494">
        <f t="shared" si="6"/>
        <v>31</v>
      </c>
      <c r="L49" s="488">
        <f t="shared" si="8"/>
        <v>45626</v>
      </c>
      <c r="M49" s="299">
        <f t="shared" si="14"/>
        <v>3173057.8321000002</v>
      </c>
      <c r="N49" s="303">
        <f t="shared" si="9"/>
        <v>0.1</v>
      </c>
      <c r="O49" s="299">
        <f t="shared" ref="O49:O80" si="16">M49*N49/H49*K49</f>
        <v>26875.626446748636</v>
      </c>
      <c r="P49" s="299">
        <f t="shared" si="11"/>
        <v>37794</v>
      </c>
      <c r="Q49" s="299">
        <f t="shared" si="7"/>
        <v>37794.313038483175</v>
      </c>
      <c r="R49" s="302">
        <f t="shared" si="12"/>
        <v>37794.313038483175</v>
      </c>
      <c r="S49" s="302">
        <f t="shared" si="1"/>
        <v>26875.626446748636</v>
      </c>
      <c r="T49" s="299">
        <f t="shared" si="2"/>
        <v>10918.373553251364</v>
      </c>
      <c r="U49" s="299">
        <f t="shared" si="13"/>
        <v>3162139.4585000002</v>
      </c>
      <c r="V49" s="304"/>
      <c r="W49" s="505"/>
      <c r="X49" s="505"/>
      <c r="Y49" s="298">
        <f t="shared" si="15"/>
        <v>0.1</v>
      </c>
      <c r="Z49" s="309"/>
      <c r="AA49" s="306"/>
      <c r="AB49" s="307"/>
      <c r="AC49" s="308" t="str">
        <f>IF(OR(AA49="",AB49=""),"",IF(AB49=$C$7,"Сокращение срока на "&amp;#REF!-#REF!-1&amp;" мес.","Сокращение платежа на "&amp;ROUND(Q49-Q50,2)&amp;" руб."))</f>
        <v/>
      </c>
    </row>
    <row r="50" spans="3:29" x14ac:dyDescent="0.2">
      <c r="C50" s="489"/>
      <c r="D50" s="489"/>
      <c r="E50" s="494"/>
      <c r="F50" s="494">
        <v>36</v>
      </c>
      <c r="G50" s="297">
        <f t="shared" si="3"/>
        <v>2024</v>
      </c>
      <c r="H50" s="297">
        <f t="shared" si="4"/>
        <v>366</v>
      </c>
      <c r="I50" s="488">
        <f t="shared" si="5"/>
        <v>45635</v>
      </c>
      <c r="J50" s="488"/>
      <c r="K50" s="494">
        <f t="shared" si="6"/>
        <v>30</v>
      </c>
      <c r="L50" s="488">
        <f t="shared" si="8"/>
        <v>45657</v>
      </c>
      <c r="M50" s="299">
        <f t="shared" si="14"/>
        <v>3162139.4585000002</v>
      </c>
      <c r="N50" s="303">
        <f t="shared" si="9"/>
        <v>0.1</v>
      </c>
      <c r="O50" s="299">
        <f t="shared" si="16"/>
        <v>25919.175889344264</v>
      </c>
      <c r="P50" s="299">
        <f t="shared" si="11"/>
        <v>37794</v>
      </c>
      <c r="Q50" s="299">
        <f t="shared" si="7"/>
        <v>37794.313038483175</v>
      </c>
      <c r="R50" s="302">
        <f t="shared" si="12"/>
        <v>37794.313038483175</v>
      </c>
      <c r="S50" s="302">
        <f t="shared" si="1"/>
        <v>25919.175889344264</v>
      </c>
      <c r="T50" s="299">
        <f t="shared" si="2"/>
        <v>11874.824110655736</v>
      </c>
      <c r="U50" s="299">
        <f t="shared" si="13"/>
        <v>3150264.6343999999</v>
      </c>
      <c r="V50" s="304"/>
      <c r="W50" s="505"/>
      <c r="X50" s="505"/>
      <c r="Y50" s="298">
        <f t="shared" si="15"/>
        <v>0.1</v>
      </c>
      <c r="Z50" s="309"/>
      <c r="AA50" s="306"/>
      <c r="AB50" s="307"/>
      <c r="AC50" s="308" t="str">
        <f>IF(OR(AA50="",AB50=""),"",IF(AB50=$C$7,"Сокращение срока на "&amp;#REF!-#REF!-1&amp;" мес.","Сокращение платежа на "&amp;ROUND(Q50-Q51,2)&amp;" руб."))</f>
        <v/>
      </c>
    </row>
    <row r="51" spans="3:29" x14ac:dyDescent="0.2">
      <c r="C51" s="489"/>
      <c r="D51" s="489"/>
      <c r="E51" s="494">
        <f>E39+1</f>
        <v>28</v>
      </c>
      <c r="F51" s="494">
        <v>37</v>
      </c>
      <c r="G51" s="297">
        <f t="shared" si="3"/>
        <v>2025</v>
      </c>
      <c r="H51" s="297">
        <f t="shared" si="4"/>
        <v>365</v>
      </c>
      <c r="I51" s="488">
        <f t="shared" si="5"/>
        <v>45666</v>
      </c>
      <c r="J51" s="488"/>
      <c r="K51" s="494">
        <f t="shared" si="6"/>
        <v>31</v>
      </c>
      <c r="L51" s="488">
        <f t="shared" si="8"/>
        <v>45688</v>
      </c>
      <c r="M51" s="299">
        <f t="shared" si="14"/>
        <v>3150264.6343999999</v>
      </c>
      <c r="N51" s="303">
        <f t="shared" si="9"/>
        <v>0.1</v>
      </c>
      <c r="O51" s="299">
        <f t="shared" si="16"/>
        <v>26755.672237369865</v>
      </c>
      <c r="P51" s="299">
        <f t="shared" si="11"/>
        <v>37794</v>
      </c>
      <c r="Q51" s="299">
        <f t="shared" si="7"/>
        <v>37794.313038483175</v>
      </c>
      <c r="R51" s="302">
        <f t="shared" si="12"/>
        <v>50363.775170109569</v>
      </c>
      <c r="S51" s="302">
        <f t="shared" si="1"/>
        <v>26755.672237369865</v>
      </c>
      <c r="T51" s="299">
        <f t="shared" si="2"/>
        <v>11038.327762630135</v>
      </c>
      <c r="U51" s="299">
        <f t="shared" si="13"/>
        <v>3139226.3065999998</v>
      </c>
      <c r="V51" s="304">
        <f>IF(U51=0,0,((U51*10%+U51)*(W51+X51)))</f>
        <v>12569.462131626398</v>
      </c>
      <c r="W51" s="505">
        <f>INDEX('Тарифы СК'!$B$4:$C$53,MATCH($E$51,'Тарифы СК'!$A$4:$A$53,0),MATCH($AB$3,'Тарифы СК'!$B$3:$C$3,0))</f>
        <v>2.4399999999999999E-3</v>
      </c>
      <c r="X51" s="505">
        <f>'Тарифы СК'!$D$3</f>
        <v>1.1999999999999999E-3</v>
      </c>
      <c r="Y51" s="298">
        <f t="shared" si="15"/>
        <v>0.1</v>
      </c>
      <c r="Z51" s="309"/>
      <c r="AA51" s="306"/>
      <c r="AB51" s="307"/>
      <c r="AC51" s="308" t="str">
        <f>IF(OR(AA51="",AB51=""),"",IF(AB51=$C$7,"Сокращение срока на "&amp;#REF!-#REF!-1&amp;" мес.","Сокращение платежа на "&amp;ROUND(Q51-Q52,2)&amp;" руб."))</f>
        <v/>
      </c>
    </row>
    <row r="52" spans="3:29" x14ac:dyDescent="0.2">
      <c r="C52" s="489"/>
      <c r="D52" s="489"/>
      <c r="E52" s="494"/>
      <c r="F52" s="494">
        <v>38</v>
      </c>
      <c r="G52" s="297">
        <f t="shared" si="3"/>
        <v>2025</v>
      </c>
      <c r="H52" s="297">
        <f t="shared" si="4"/>
        <v>365</v>
      </c>
      <c r="I52" s="488">
        <f t="shared" si="5"/>
        <v>45697</v>
      </c>
      <c r="J52" s="488"/>
      <c r="K52" s="494">
        <f t="shared" si="6"/>
        <v>31</v>
      </c>
      <c r="L52" s="488">
        <f t="shared" si="8"/>
        <v>45716</v>
      </c>
      <c r="M52" s="299">
        <f t="shared" si="14"/>
        <v>3139226.3065999998</v>
      </c>
      <c r="N52" s="303">
        <f t="shared" si="9"/>
        <v>0.1</v>
      </c>
      <c r="O52" s="299">
        <f t="shared" si="16"/>
        <v>26661.922056054791</v>
      </c>
      <c r="P52" s="299">
        <f t="shared" si="11"/>
        <v>37794</v>
      </c>
      <c r="Q52" s="299">
        <f t="shared" si="7"/>
        <v>37794.313038483175</v>
      </c>
      <c r="R52" s="302">
        <f t="shared" si="12"/>
        <v>37794.313038483175</v>
      </c>
      <c r="S52" s="302">
        <f t="shared" si="1"/>
        <v>26661.922056054791</v>
      </c>
      <c r="T52" s="299">
        <f t="shared" si="2"/>
        <v>11132.077943945209</v>
      </c>
      <c r="U52" s="299">
        <f t="shared" si="13"/>
        <v>3128094.2286999999</v>
      </c>
      <c r="V52" s="304"/>
      <c r="W52" s="505"/>
      <c r="X52" s="505"/>
      <c r="Y52" s="298">
        <f t="shared" si="15"/>
        <v>0.1</v>
      </c>
      <c r="Z52" s="309"/>
      <c r="AA52" s="306"/>
      <c r="AB52" s="307"/>
      <c r="AC52" s="308" t="str">
        <f>IF(OR(AA52="",AB52=""),"",IF(AB52=$C$7,"Сокращение срока на "&amp;#REF!-#REF!-1&amp;" мес.","Сокращение платежа на "&amp;ROUND(Q52-Q53,2)&amp;" руб."))</f>
        <v/>
      </c>
    </row>
    <row r="53" spans="3:29" x14ac:dyDescent="0.2">
      <c r="C53" s="489"/>
      <c r="D53" s="489"/>
      <c r="E53" s="494"/>
      <c r="F53" s="494">
        <v>39</v>
      </c>
      <c r="G53" s="297">
        <f t="shared" si="3"/>
        <v>2025</v>
      </c>
      <c r="H53" s="297">
        <f t="shared" si="4"/>
        <v>365</v>
      </c>
      <c r="I53" s="488">
        <f t="shared" si="5"/>
        <v>45725</v>
      </c>
      <c r="J53" s="488"/>
      <c r="K53" s="494">
        <f t="shared" si="6"/>
        <v>28</v>
      </c>
      <c r="L53" s="488">
        <f t="shared" si="8"/>
        <v>45747</v>
      </c>
      <c r="M53" s="299">
        <f t="shared" si="14"/>
        <v>3128094.2286999999</v>
      </c>
      <c r="N53" s="303">
        <f t="shared" si="9"/>
        <v>0.1</v>
      </c>
      <c r="O53" s="299">
        <f t="shared" si="16"/>
        <v>23996.339288657535</v>
      </c>
      <c r="P53" s="299">
        <f t="shared" si="11"/>
        <v>37794</v>
      </c>
      <c r="Q53" s="299">
        <f t="shared" si="7"/>
        <v>37794.313038483175</v>
      </c>
      <c r="R53" s="302">
        <f t="shared" si="12"/>
        <v>37794.313038483175</v>
      </c>
      <c r="S53" s="302">
        <f t="shared" si="1"/>
        <v>23996.339288657535</v>
      </c>
      <c r="T53" s="299">
        <f t="shared" si="2"/>
        <v>13797.660711342465</v>
      </c>
      <c r="U53" s="299">
        <f t="shared" si="13"/>
        <v>3114296.568</v>
      </c>
      <c r="V53" s="304"/>
      <c r="W53" s="505"/>
      <c r="X53" s="505"/>
      <c r="Y53" s="298">
        <f t="shared" si="15"/>
        <v>0.1</v>
      </c>
      <c r="Z53" s="309"/>
      <c r="AA53" s="306"/>
      <c r="AB53" s="307"/>
      <c r="AC53" s="308" t="str">
        <f>IF(OR(AA53="",AB53=""),"",IF(AB53=$C$7,"Сокращение срока на "&amp;#REF!-#REF!-1&amp;" мес.","Сокращение платежа на "&amp;ROUND(Q53-Q54,2)&amp;" руб."))</f>
        <v/>
      </c>
    </row>
    <row r="54" spans="3:29" x14ac:dyDescent="0.2">
      <c r="C54" s="489"/>
      <c r="D54" s="489"/>
      <c r="E54" s="494"/>
      <c r="F54" s="494">
        <v>40</v>
      </c>
      <c r="G54" s="297">
        <f t="shared" si="3"/>
        <v>2025</v>
      </c>
      <c r="H54" s="297">
        <f t="shared" si="4"/>
        <v>365</v>
      </c>
      <c r="I54" s="488">
        <f t="shared" si="5"/>
        <v>45756</v>
      </c>
      <c r="J54" s="488"/>
      <c r="K54" s="494">
        <f t="shared" si="6"/>
        <v>31</v>
      </c>
      <c r="L54" s="488">
        <f t="shared" si="8"/>
        <v>45777</v>
      </c>
      <c r="M54" s="299">
        <f t="shared" si="14"/>
        <v>3114296.568</v>
      </c>
      <c r="N54" s="303">
        <f t="shared" si="9"/>
        <v>0.1</v>
      </c>
      <c r="O54" s="299">
        <f t="shared" si="16"/>
        <v>26450.190029589041</v>
      </c>
      <c r="P54" s="299">
        <f t="shared" si="11"/>
        <v>37794</v>
      </c>
      <c r="Q54" s="299">
        <f t="shared" si="7"/>
        <v>37794.313038483175</v>
      </c>
      <c r="R54" s="302">
        <f t="shared" si="12"/>
        <v>37794.313038483175</v>
      </c>
      <c r="S54" s="302">
        <f t="shared" si="1"/>
        <v>26450.190029589041</v>
      </c>
      <c r="T54" s="299">
        <f t="shared" si="2"/>
        <v>11343.809970410959</v>
      </c>
      <c r="U54" s="299">
        <f t="shared" si="13"/>
        <v>3102952.7579999999</v>
      </c>
      <c r="V54" s="304"/>
      <c r="W54" s="505"/>
      <c r="X54" s="505"/>
      <c r="Y54" s="298">
        <f t="shared" si="15"/>
        <v>0.1</v>
      </c>
      <c r="Z54" s="309"/>
      <c r="AA54" s="306"/>
      <c r="AB54" s="307"/>
      <c r="AC54" s="308" t="str">
        <f>IF(OR(AA54="",AB54=""),"",IF(AB54=$C$7,"Сокращение срока на "&amp;#REF!-#REF!-1&amp;" мес.","Сокращение платежа на "&amp;ROUND(Q54-Q55,2)&amp;" руб."))</f>
        <v/>
      </c>
    </row>
    <row r="55" spans="3:29" x14ac:dyDescent="0.2">
      <c r="C55" s="489"/>
      <c r="D55" s="489"/>
      <c r="E55" s="494"/>
      <c r="F55" s="494">
        <v>41</v>
      </c>
      <c r="G55" s="297">
        <f t="shared" si="3"/>
        <v>2025</v>
      </c>
      <c r="H55" s="297">
        <f t="shared" si="4"/>
        <v>365</v>
      </c>
      <c r="I55" s="488">
        <f t="shared" si="5"/>
        <v>45786</v>
      </c>
      <c r="J55" s="488"/>
      <c r="K55" s="494">
        <f t="shared" si="6"/>
        <v>30</v>
      </c>
      <c r="L55" s="488">
        <f t="shared" si="8"/>
        <v>45808</v>
      </c>
      <c r="M55" s="299">
        <f t="shared" si="14"/>
        <v>3102952.7579999999</v>
      </c>
      <c r="N55" s="303">
        <f t="shared" si="9"/>
        <v>0.1</v>
      </c>
      <c r="O55" s="299">
        <f t="shared" si="16"/>
        <v>25503.721298630138</v>
      </c>
      <c r="P55" s="299">
        <f t="shared" si="11"/>
        <v>37794</v>
      </c>
      <c r="Q55" s="299">
        <f t="shared" si="7"/>
        <v>37794.313038483175</v>
      </c>
      <c r="R55" s="302">
        <f t="shared" si="12"/>
        <v>37794.313038483175</v>
      </c>
      <c r="S55" s="302">
        <f t="shared" si="1"/>
        <v>25503.721298630138</v>
      </c>
      <c r="T55" s="299">
        <f t="shared" si="2"/>
        <v>12290.278701369862</v>
      </c>
      <c r="U55" s="299">
        <f t="shared" si="13"/>
        <v>3090662.4792999998</v>
      </c>
      <c r="V55" s="304"/>
      <c r="W55" s="505"/>
      <c r="X55" s="505"/>
      <c r="Y55" s="298">
        <f t="shared" si="15"/>
        <v>0.1</v>
      </c>
      <c r="Z55" s="309"/>
      <c r="AA55" s="306"/>
      <c r="AB55" s="307"/>
      <c r="AC55" s="308" t="str">
        <f>IF(OR(AA55="",AB55=""),"",IF(AB55=$C$7,"Сокращение срока на "&amp;#REF!-#REF!-1&amp;" мес.","Сокращение платежа на "&amp;ROUND(Q55-Q56,2)&amp;" руб."))</f>
        <v/>
      </c>
    </row>
    <row r="56" spans="3:29" x14ac:dyDescent="0.2">
      <c r="C56" s="489"/>
      <c r="D56" s="489"/>
      <c r="E56" s="494"/>
      <c r="F56" s="494">
        <v>42</v>
      </c>
      <c r="G56" s="297">
        <f t="shared" si="3"/>
        <v>2025</v>
      </c>
      <c r="H56" s="297">
        <f t="shared" si="4"/>
        <v>365</v>
      </c>
      <c r="I56" s="488">
        <f t="shared" si="5"/>
        <v>45817</v>
      </c>
      <c r="J56" s="488"/>
      <c r="K56" s="494">
        <f t="shared" si="6"/>
        <v>31</v>
      </c>
      <c r="L56" s="488">
        <f t="shared" si="8"/>
        <v>45838</v>
      </c>
      <c r="M56" s="299">
        <f t="shared" si="14"/>
        <v>3090662.4792999998</v>
      </c>
      <c r="N56" s="303">
        <f t="shared" si="9"/>
        <v>0.1</v>
      </c>
      <c r="O56" s="299">
        <f t="shared" si="16"/>
        <v>26249.462152958906</v>
      </c>
      <c r="P56" s="299">
        <f t="shared" si="11"/>
        <v>37794</v>
      </c>
      <c r="Q56" s="299">
        <f t="shared" si="7"/>
        <v>37794.313038483175</v>
      </c>
      <c r="R56" s="302">
        <f t="shared" si="12"/>
        <v>37794.313038483175</v>
      </c>
      <c r="S56" s="302">
        <f t="shared" si="1"/>
        <v>26249.462152958906</v>
      </c>
      <c r="T56" s="299">
        <f t="shared" si="2"/>
        <v>11544.537847041094</v>
      </c>
      <c r="U56" s="299">
        <f t="shared" si="13"/>
        <v>3079117.9415000002</v>
      </c>
      <c r="V56" s="304"/>
      <c r="W56" s="505"/>
      <c r="X56" s="505"/>
      <c r="Y56" s="298">
        <f t="shared" si="15"/>
        <v>0.1</v>
      </c>
      <c r="Z56" s="309"/>
      <c r="AA56" s="306"/>
      <c r="AB56" s="307"/>
      <c r="AC56" s="308" t="str">
        <f>IF(OR(AA56="",AB56=""),"",IF(AB56=$C$7,"Сокращение срока на "&amp;#REF!-#REF!-1&amp;" мес.","Сокращение платежа на "&amp;ROUND(Q56-Q57,2)&amp;" руб."))</f>
        <v/>
      </c>
    </row>
    <row r="57" spans="3:29" x14ac:dyDescent="0.2">
      <c r="C57" s="489"/>
      <c r="D57" s="489"/>
      <c r="E57" s="494"/>
      <c r="F57" s="494">
        <v>43</v>
      </c>
      <c r="G57" s="297">
        <f t="shared" si="3"/>
        <v>2025</v>
      </c>
      <c r="H57" s="297">
        <f t="shared" si="4"/>
        <v>365</v>
      </c>
      <c r="I57" s="488">
        <f t="shared" si="5"/>
        <v>45847</v>
      </c>
      <c r="J57" s="488"/>
      <c r="K57" s="494">
        <f t="shared" si="6"/>
        <v>30</v>
      </c>
      <c r="L57" s="488">
        <f t="shared" si="8"/>
        <v>45869</v>
      </c>
      <c r="M57" s="299">
        <f t="shared" si="14"/>
        <v>3079117.9415000002</v>
      </c>
      <c r="N57" s="303">
        <f t="shared" si="9"/>
        <v>0.1</v>
      </c>
      <c r="O57" s="299">
        <f t="shared" si="16"/>
        <v>25307.818697260274</v>
      </c>
      <c r="P57" s="299">
        <f t="shared" si="11"/>
        <v>37794</v>
      </c>
      <c r="Q57" s="299">
        <f t="shared" si="7"/>
        <v>37794.313038483175</v>
      </c>
      <c r="R57" s="302">
        <f t="shared" si="12"/>
        <v>37794.313038483175</v>
      </c>
      <c r="S57" s="302">
        <f t="shared" si="1"/>
        <v>25307.818697260274</v>
      </c>
      <c r="T57" s="299">
        <f t="shared" si="2"/>
        <v>12486.181302739726</v>
      </c>
      <c r="U57" s="299">
        <f t="shared" si="13"/>
        <v>3066631.7601999999</v>
      </c>
      <c r="V57" s="304"/>
      <c r="W57" s="505"/>
      <c r="X57" s="505"/>
      <c r="Y57" s="298">
        <f t="shared" si="15"/>
        <v>0.1</v>
      </c>
      <c r="Z57" s="309"/>
      <c r="AA57" s="306"/>
      <c r="AB57" s="307"/>
      <c r="AC57" s="308" t="str">
        <f>IF(OR(AA57="",AB57=""),"",IF(AB57=$C$7,"Сокращение срока на "&amp;#REF!-#REF!-1&amp;" мес.","Сокращение платежа на "&amp;ROUND(Q57-Q58,2)&amp;" руб."))</f>
        <v/>
      </c>
    </row>
    <row r="58" spans="3:29" x14ac:dyDescent="0.2">
      <c r="C58" s="489"/>
      <c r="D58" s="489"/>
      <c r="E58" s="494"/>
      <c r="F58" s="494">
        <v>44</v>
      </c>
      <c r="G58" s="297">
        <f t="shared" si="3"/>
        <v>2025</v>
      </c>
      <c r="H58" s="297">
        <f t="shared" si="4"/>
        <v>365</v>
      </c>
      <c r="I58" s="488">
        <f t="shared" si="5"/>
        <v>45878</v>
      </c>
      <c r="J58" s="488"/>
      <c r="K58" s="494">
        <f t="shared" si="6"/>
        <v>31</v>
      </c>
      <c r="L58" s="488">
        <f t="shared" si="8"/>
        <v>45900</v>
      </c>
      <c r="M58" s="299">
        <f t="shared" si="14"/>
        <v>3066631.7601999999</v>
      </c>
      <c r="N58" s="303">
        <f t="shared" si="9"/>
        <v>0.1</v>
      </c>
      <c r="O58" s="299">
        <f t="shared" si="16"/>
        <v>26045.365634575344</v>
      </c>
      <c r="P58" s="299">
        <f t="shared" si="11"/>
        <v>37794</v>
      </c>
      <c r="Q58" s="299">
        <f t="shared" si="7"/>
        <v>37794.313038483175</v>
      </c>
      <c r="R58" s="302">
        <f t="shared" si="12"/>
        <v>37794.313038483175</v>
      </c>
      <c r="S58" s="302">
        <f t="shared" si="1"/>
        <v>26045.365634575344</v>
      </c>
      <c r="T58" s="299">
        <f t="shared" si="2"/>
        <v>11748.634365424656</v>
      </c>
      <c r="U58" s="299">
        <f t="shared" si="13"/>
        <v>3054883.1258</v>
      </c>
      <c r="V58" s="304"/>
      <c r="W58" s="505"/>
      <c r="X58" s="505"/>
      <c r="Y58" s="298">
        <f t="shared" si="15"/>
        <v>0.1</v>
      </c>
      <c r="Z58" s="309"/>
      <c r="AA58" s="306"/>
      <c r="AB58" s="307"/>
      <c r="AC58" s="308" t="str">
        <f>IF(OR(AA58="",AB58=""),"",IF(AB58=$C$7,"Сокращение срока на "&amp;#REF!-#REF!-1&amp;" мес.","Сокращение платежа на "&amp;ROUND(Q58-Q59,2)&amp;" руб."))</f>
        <v/>
      </c>
    </row>
    <row r="59" spans="3:29" x14ac:dyDescent="0.2">
      <c r="C59" s="489"/>
      <c r="D59" s="489"/>
      <c r="E59" s="494"/>
      <c r="F59" s="494">
        <v>45</v>
      </c>
      <c r="G59" s="297">
        <f t="shared" si="3"/>
        <v>2025</v>
      </c>
      <c r="H59" s="297">
        <f t="shared" si="4"/>
        <v>365</v>
      </c>
      <c r="I59" s="488">
        <f t="shared" si="5"/>
        <v>45909</v>
      </c>
      <c r="J59" s="488"/>
      <c r="K59" s="494">
        <f t="shared" si="6"/>
        <v>31</v>
      </c>
      <c r="L59" s="488">
        <f t="shared" si="8"/>
        <v>45930</v>
      </c>
      <c r="M59" s="299">
        <f t="shared" si="14"/>
        <v>3054883.1258</v>
      </c>
      <c r="N59" s="303">
        <f t="shared" si="9"/>
        <v>0.1</v>
      </c>
      <c r="O59" s="299">
        <f t="shared" si="16"/>
        <v>25945.582712273976</v>
      </c>
      <c r="P59" s="299">
        <f t="shared" si="11"/>
        <v>37794</v>
      </c>
      <c r="Q59" s="299">
        <f t="shared" si="7"/>
        <v>37794.313038483175</v>
      </c>
      <c r="R59" s="302">
        <f t="shared" si="12"/>
        <v>37794.313038483175</v>
      </c>
      <c r="S59" s="302">
        <f t="shared" si="1"/>
        <v>25945.582712273976</v>
      </c>
      <c r="T59" s="299">
        <f t="shared" si="2"/>
        <v>11848.417287726024</v>
      </c>
      <c r="U59" s="299">
        <f t="shared" si="13"/>
        <v>3043034.7085000002</v>
      </c>
      <c r="V59" s="304"/>
      <c r="W59" s="505"/>
      <c r="X59" s="505"/>
      <c r="Y59" s="298">
        <f t="shared" si="15"/>
        <v>0.1</v>
      </c>
      <c r="Z59" s="309"/>
      <c r="AA59" s="306"/>
      <c r="AB59" s="307"/>
      <c r="AC59" s="308" t="str">
        <f>IF(OR(AA59="",AB59=""),"",IF(AB59=$C$7,"Сокращение срока на "&amp;#REF!-#REF!-1&amp;" мес.","Сокращение платежа на "&amp;ROUND(Q59-Q60,2)&amp;" руб."))</f>
        <v/>
      </c>
    </row>
    <row r="60" spans="3:29" x14ac:dyDescent="0.2">
      <c r="C60" s="489"/>
      <c r="D60" s="489"/>
      <c r="E60" s="494"/>
      <c r="F60" s="494">
        <v>46</v>
      </c>
      <c r="G60" s="297">
        <f t="shared" si="3"/>
        <v>2025</v>
      </c>
      <c r="H60" s="297">
        <f t="shared" si="4"/>
        <v>365</v>
      </c>
      <c r="I60" s="488">
        <f t="shared" si="5"/>
        <v>45939</v>
      </c>
      <c r="J60" s="488"/>
      <c r="K60" s="494">
        <f t="shared" si="6"/>
        <v>30</v>
      </c>
      <c r="L60" s="488">
        <f t="shared" si="8"/>
        <v>45961</v>
      </c>
      <c r="M60" s="299">
        <f t="shared" si="14"/>
        <v>3043034.7085000002</v>
      </c>
      <c r="N60" s="303">
        <f t="shared" si="9"/>
        <v>0.1</v>
      </c>
      <c r="O60" s="299">
        <f t="shared" si="16"/>
        <v>25011.244179452056</v>
      </c>
      <c r="P60" s="299">
        <f t="shared" si="11"/>
        <v>37794</v>
      </c>
      <c r="Q60" s="299">
        <f t="shared" si="7"/>
        <v>37794.313038483175</v>
      </c>
      <c r="R60" s="302">
        <f t="shared" si="12"/>
        <v>37794.313038483175</v>
      </c>
      <c r="S60" s="302">
        <f t="shared" si="1"/>
        <v>25011.244179452056</v>
      </c>
      <c r="T60" s="299">
        <f t="shared" si="2"/>
        <v>12782.755820547944</v>
      </c>
      <c r="U60" s="299">
        <f t="shared" si="13"/>
        <v>3030251.9526999998</v>
      </c>
      <c r="V60" s="304"/>
      <c r="W60" s="505"/>
      <c r="X60" s="505"/>
      <c r="Y60" s="298">
        <f t="shared" si="15"/>
        <v>0.1</v>
      </c>
      <c r="Z60" s="309"/>
      <c r="AA60" s="306"/>
      <c r="AB60" s="307"/>
      <c r="AC60" s="308" t="str">
        <f>IF(OR(AA60="",AB60=""),"",IF(AB60=$C$7,"Сокращение срока на "&amp;#REF!-#REF!-1&amp;" мес.","Сокращение платежа на "&amp;ROUND(Q60-Q61,2)&amp;" руб."))</f>
        <v/>
      </c>
    </row>
    <row r="61" spans="3:29" x14ac:dyDescent="0.2">
      <c r="C61" s="489"/>
      <c r="D61" s="489"/>
      <c r="E61" s="494"/>
      <c r="F61" s="494">
        <v>47</v>
      </c>
      <c r="G61" s="297">
        <f t="shared" si="3"/>
        <v>2025</v>
      </c>
      <c r="H61" s="297">
        <f t="shared" si="4"/>
        <v>365</v>
      </c>
      <c r="I61" s="488">
        <f t="shared" si="5"/>
        <v>45970</v>
      </c>
      <c r="J61" s="488"/>
      <c r="K61" s="494">
        <f t="shared" si="6"/>
        <v>31</v>
      </c>
      <c r="L61" s="488">
        <f t="shared" si="8"/>
        <v>45991</v>
      </c>
      <c r="M61" s="299">
        <f t="shared" si="14"/>
        <v>3030251.9526999998</v>
      </c>
      <c r="N61" s="303">
        <f t="shared" si="9"/>
        <v>0.1</v>
      </c>
      <c r="O61" s="299">
        <f t="shared" si="16"/>
        <v>25736.386447589037</v>
      </c>
      <c r="P61" s="299">
        <f t="shared" si="11"/>
        <v>37794</v>
      </c>
      <c r="Q61" s="299">
        <f t="shared" si="7"/>
        <v>37794.313038483175</v>
      </c>
      <c r="R61" s="302">
        <f t="shared" si="12"/>
        <v>37794.313038483175</v>
      </c>
      <c r="S61" s="302">
        <f t="shared" si="1"/>
        <v>25736.386447589037</v>
      </c>
      <c r="T61" s="299">
        <f t="shared" si="2"/>
        <v>12057.613552410963</v>
      </c>
      <c r="U61" s="299">
        <f t="shared" si="13"/>
        <v>3018194.3391</v>
      </c>
      <c r="V61" s="304"/>
      <c r="W61" s="505"/>
      <c r="X61" s="505"/>
      <c r="Y61" s="298">
        <f t="shared" si="15"/>
        <v>0.1</v>
      </c>
      <c r="Z61" s="309"/>
      <c r="AA61" s="306"/>
      <c r="AB61" s="307"/>
      <c r="AC61" s="308" t="str">
        <f>IF(OR(AA61="",AB61=""),"",IF(AB61=$C$7,"Сокращение срока на "&amp;#REF!-#REF!-1&amp;" мес.","Сокращение платежа на "&amp;ROUND(Q61-Q62,2)&amp;" руб."))</f>
        <v/>
      </c>
    </row>
    <row r="62" spans="3:29" x14ac:dyDescent="0.2">
      <c r="C62" s="489"/>
      <c r="D62" s="489"/>
      <c r="E62" s="494"/>
      <c r="F62" s="494">
        <v>48</v>
      </c>
      <c r="G62" s="297">
        <f t="shared" si="3"/>
        <v>2025</v>
      </c>
      <c r="H62" s="297">
        <f t="shared" si="4"/>
        <v>365</v>
      </c>
      <c r="I62" s="488">
        <f t="shared" si="5"/>
        <v>46000</v>
      </c>
      <c r="J62" s="488"/>
      <c r="K62" s="494">
        <f t="shared" si="6"/>
        <v>30</v>
      </c>
      <c r="L62" s="488">
        <f t="shared" si="8"/>
        <v>46022</v>
      </c>
      <c r="M62" s="299">
        <f t="shared" si="14"/>
        <v>3018194.3391</v>
      </c>
      <c r="N62" s="303">
        <f t="shared" si="9"/>
        <v>0.1</v>
      </c>
      <c r="O62" s="299">
        <f t="shared" si="16"/>
        <v>24807.076759726031</v>
      </c>
      <c r="P62" s="299">
        <f t="shared" si="11"/>
        <v>37794</v>
      </c>
      <c r="Q62" s="299">
        <f t="shared" si="7"/>
        <v>37794.313038483175</v>
      </c>
      <c r="R62" s="302">
        <f t="shared" si="12"/>
        <v>37794.313038483175</v>
      </c>
      <c r="S62" s="302">
        <f t="shared" si="1"/>
        <v>24807.076759726031</v>
      </c>
      <c r="T62" s="299">
        <f t="shared" si="2"/>
        <v>12986.923240273969</v>
      </c>
      <c r="U62" s="299">
        <f t="shared" si="13"/>
        <v>3005207.4158999999</v>
      </c>
      <c r="V62" s="304"/>
      <c r="W62" s="505"/>
      <c r="X62" s="505"/>
      <c r="Y62" s="298">
        <f t="shared" si="15"/>
        <v>0.1</v>
      </c>
      <c r="Z62" s="309"/>
      <c r="AA62" s="306"/>
      <c r="AB62" s="307"/>
      <c r="AC62" s="308" t="str">
        <f>IF(OR(AA62="",AB62=""),"",IF(AB62=$C$7,"Сокращение срока на "&amp;#REF!-#REF!-1&amp;" мес.","Сокращение платежа на "&amp;ROUND(Q62-Q63,2)&amp;" руб."))</f>
        <v/>
      </c>
    </row>
    <row r="63" spans="3:29" x14ac:dyDescent="0.2">
      <c r="C63" s="489"/>
      <c r="D63" s="489"/>
      <c r="E63" s="494">
        <f>E51+1</f>
        <v>29</v>
      </c>
      <c r="F63" s="494">
        <v>49</v>
      </c>
      <c r="G63" s="297">
        <f t="shared" si="3"/>
        <v>2026</v>
      </c>
      <c r="H63" s="297">
        <f t="shared" si="4"/>
        <v>365</v>
      </c>
      <c r="I63" s="488">
        <f t="shared" si="5"/>
        <v>46031</v>
      </c>
      <c r="J63" s="488"/>
      <c r="K63" s="494">
        <f t="shared" si="6"/>
        <v>31</v>
      </c>
      <c r="L63" s="488">
        <f t="shared" si="8"/>
        <v>46053</v>
      </c>
      <c r="M63" s="299">
        <f t="shared" si="14"/>
        <v>3005207.4158999999</v>
      </c>
      <c r="N63" s="303">
        <f t="shared" si="9"/>
        <v>0.1</v>
      </c>
      <c r="O63" s="299">
        <f t="shared" si="16"/>
        <v>25523.679422712328</v>
      </c>
      <c r="P63" s="299">
        <f t="shared" si="11"/>
        <v>37794</v>
      </c>
      <c r="Q63" s="299">
        <f t="shared" si="7"/>
        <v>37794.313038483175</v>
      </c>
      <c r="R63" s="302">
        <f t="shared" si="12"/>
        <v>50732.780101465076</v>
      </c>
      <c r="S63" s="302">
        <f t="shared" si="1"/>
        <v>25523.679422712328</v>
      </c>
      <c r="T63" s="299">
        <f t="shared" si="2"/>
        <v>12270.320577287672</v>
      </c>
      <c r="U63" s="299">
        <f t="shared" si="13"/>
        <v>2992937.0953000002</v>
      </c>
      <c r="V63" s="304">
        <f>IF(U63=0,0,((U63*10%+U63)*(W63+X63)))</f>
        <v>12938.467062981903</v>
      </c>
      <c r="W63" s="505">
        <f>INDEX('Тарифы СК'!$B$4:$C$53,MATCH($E$63,'Тарифы СК'!$A$4:$A$53,0),MATCH($AB$3,'Тарифы СК'!$B$3:$C$3,0))</f>
        <v>2.7300000000000002E-3</v>
      </c>
      <c r="X63" s="505">
        <f>'Тарифы СК'!$D$3</f>
        <v>1.1999999999999999E-3</v>
      </c>
      <c r="Y63" s="298">
        <f t="shared" si="15"/>
        <v>0.1</v>
      </c>
      <c r="Z63" s="309"/>
      <c r="AA63" s="306"/>
      <c r="AB63" s="307"/>
      <c r="AC63" s="308" t="str">
        <f>IF(OR(AA63="",AB63=""),"",IF(AB63=$C$7,"Сокращение срока на "&amp;#REF!-#REF!-1&amp;" мес.","Сокращение платежа на "&amp;ROUND(Q63-Q64,2)&amp;" руб."))</f>
        <v/>
      </c>
    </row>
    <row r="64" spans="3:29" x14ac:dyDescent="0.2">
      <c r="C64" s="489"/>
      <c r="D64" s="489"/>
      <c r="E64" s="494"/>
      <c r="F64" s="494">
        <v>50</v>
      </c>
      <c r="G64" s="297">
        <f t="shared" si="3"/>
        <v>2026</v>
      </c>
      <c r="H64" s="297">
        <f t="shared" si="4"/>
        <v>365</v>
      </c>
      <c r="I64" s="488">
        <f t="shared" si="5"/>
        <v>46062</v>
      </c>
      <c r="J64" s="488"/>
      <c r="K64" s="494">
        <f t="shared" si="6"/>
        <v>31</v>
      </c>
      <c r="L64" s="488">
        <f t="shared" si="8"/>
        <v>46081</v>
      </c>
      <c r="M64" s="299">
        <f t="shared" si="14"/>
        <v>2992937.0953000002</v>
      </c>
      <c r="N64" s="303">
        <f t="shared" si="9"/>
        <v>0.1</v>
      </c>
      <c r="O64" s="299">
        <f t="shared" si="16"/>
        <v>25419.465740904114</v>
      </c>
      <c r="P64" s="299">
        <f t="shared" si="11"/>
        <v>37794</v>
      </c>
      <c r="Q64" s="299">
        <f t="shared" si="7"/>
        <v>37794.313038483175</v>
      </c>
      <c r="R64" s="302">
        <f t="shared" si="12"/>
        <v>37794.313038483175</v>
      </c>
      <c r="S64" s="302">
        <f t="shared" si="1"/>
        <v>25419.465740904114</v>
      </c>
      <c r="T64" s="299">
        <f t="shared" si="2"/>
        <v>12374.534259095886</v>
      </c>
      <c r="U64" s="299">
        <f t="shared" si="13"/>
        <v>2980562.5610000002</v>
      </c>
      <c r="V64" s="304"/>
      <c r="W64" s="505"/>
      <c r="X64" s="505"/>
      <c r="Y64" s="298">
        <f t="shared" si="15"/>
        <v>0.1</v>
      </c>
      <c r="Z64" s="309"/>
      <c r="AA64" s="306"/>
      <c r="AB64" s="307"/>
      <c r="AC64" s="308" t="str">
        <f>IF(OR(AA64="",AB64=""),"",IF(AB64=$C$7,"Сокращение срока на "&amp;#REF!-#REF!-1&amp;" мес.","Сокращение платежа на "&amp;ROUND(Q64-Q65,2)&amp;" руб."))</f>
        <v/>
      </c>
    </row>
    <row r="65" spans="3:29" x14ac:dyDescent="0.2">
      <c r="C65" s="489"/>
      <c r="D65" s="489"/>
      <c r="E65" s="494"/>
      <c r="F65" s="494">
        <v>51</v>
      </c>
      <c r="G65" s="297">
        <f t="shared" si="3"/>
        <v>2026</v>
      </c>
      <c r="H65" s="297">
        <f t="shared" si="4"/>
        <v>365</v>
      </c>
      <c r="I65" s="488">
        <f t="shared" si="5"/>
        <v>46090</v>
      </c>
      <c r="J65" s="488"/>
      <c r="K65" s="494">
        <f t="shared" si="6"/>
        <v>28</v>
      </c>
      <c r="L65" s="488">
        <f t="shared" si="8"/>
        <v>46112</v>
      </c>
      <c r="M65" s="299">
        <f t="shared" si="14"/>
        <v>2980562.5610000002</v>
      </c>
      <c r="N65" s="303">
        <f t="shared" si="9"/>
        <v>0.1</v>
      </c>
      <c r="O65" s="299">
        <f t="shared" si="16"/>
        <v>22864.5895090411</v>
      </c>
      <c r="P65" s="299">
        <f t="shared" si="11"/>
        <v>37794</v>
      </c>
      <c r="Q65" s="299">
        <f t="shared" si="7"/>
        <v>37794.313038483175</v>
      </c>
      <c r="R65" s="302">
        <f t="shared" si="12"/>
        <v>37794.313038483175</v>
      </c>
      <c r="S65" s="302">
        <f t="shared" si="1"/>
        <v>22864.5895090411</v>
      </c>
      <c r="T65" s="299">
        <f t="shared" si="2"/>
        <v>14929.4104909589</v>
      </c>
      <c r="U65" s="299">
        <f t="shared" si="13"/>
        <v>2965633.1505</v>
      </c>
      <c r="V65" s="304"/>
      <c r="W65" s="505"/>
      <c r="X65" s="505"/>
      <c r="Y65" s="298">
        <f t="shared" si="15"/>
        <v>0.1</v>
      </c>
      <c r="Z65" s="309"/>
      <c r="AA65" s="306"/>
      <c r="AB65" s="307"/>
      <c r="AC65" s="308" t="str">
        <f>IF(OR(AA65="",AB65=""),"",IF(AB65=$C$7,"Сокращение срока на "&amp;#REF!-#REF!-1&amp;" мес.","Сокращение платежа на "&amp;ROUND(Q65-Q66,2)&amp;" руб."))</f>
        <v/>
      </c>
    </row>
    <row r="66" spans="3:29" x14ac:dyDescent="0.2">
      <c r="C66" s="489"/>
      <c r="D66" s="489"/>
      <c r="E66" s="494"/>
      <c r="F66" s="494">
        <v>52</v>
      </c>
      <c r="G66" s="297">
        <f t="shared" si="3"/>
        <v>2026</v>
      </c>
      <c r="H66" s="297">
        <f t="shared" si="4"/>
        <v>365</v>
      </c>
      <c r="I66" s="488">
        <f t="shared" si="5"/>
        <v>46121</v>
      </c>
      <c r="J66" s="488"/>
      <c r="K66" s="494">
        <f t="shared" si="6"/>
        <v>31</v>
      </c>
      <c r="L66" s="488">
        <f t="shared" si="8"/>
        <v>46142</v>
      </c>
      <c r="M66" s="299">
        <f t="shared" si="14"/>
        <v>2965633.1505</v>
      </c>
      <c r="N66" s="303">
        <f t="shared" si="9"/>
        <v>0.1</v>
      </c>
      <c r="O66" s="299">
        <f t="shared" si="16"/>
        <v>25187.56922342466</v>
      </c>
      <c r="P66" s="299">
        <f t="shared" si="11"/>
        <v>37794</v>
      </c>
      <c r="Q66" s="299">
        <f t="shared" si="7"/>
        <v>37794.313038483175</v>
      </c>
      <c r="R66" s="302">
        <f t="shared" si="12"/>
        <v>37794.313038483175</v>
      </c>
      <c r="S66" s="302">
        <f t="shared" si="1"/>
        <v>25187.56922342466</v>
      </c>
      <c r="T66" s="299">
        <f t="shared" si="2"/>
        <v>12606.43077657534</v>
      </c>
      <c r="U66" s="299">
        <f t="shared" si="13"/>
        <v>2953026.7196999998</v>
      </c>
      <c r="V66" s="304"/>
      <c r="W66" s="505"/>
      <c r="X66" s="505"/>
      <c r="Y66" s="298">
        <f t="shared" si="15"/>
        <v>0.1</v>
      </c>
      <c r="Z66" s="309"/>
      <c r="AA66" s="306"/>
      <c r="AB66" s="307"/>
      <c r="AC66" s="308" t="str">
        <f>IF(OR(AA66="",AB66=""),"",IF(AB66=$C$7,"Сокращение срока на "&amp;#REF!-#REF!-1&amp;" мес.","Сокращение платежа на "&amp;ROUND(Q66-Q67,2)&amp;" руб."))</f>
        <v/>
      </c>
    </row>
    <row r="67" spans="3:29" x14ac:dyDescent="0.2">
      <c r="C67" s="489"/>
      <c r="D67" s="489"/>
      <c r="E67" s="494"/>
      <c r="F67" s="494">
        <v>53</v>
      </c>
      <c r="G67" s="297">
        <f t="shared" si="3"/>
        <v>2026</v>
      </c>
      <c r="H67" s="297">
        <f t="shared" si="4"/>
        <v>365</v>
      </c>
      <c r="I67" s="488">
        <f t="shared" si="5"/>
        <v>46151</v>
      </c>
      <c r="J67" s="488"/>
      <c r="K67" s="494">
        <f t="shared" si="6"/>
        <v>30</v>
      </c>
      <c r="L67" s="488">
        <f t="shared" si="8"/>
        <v>46173</v>
      </c>
      <c r="M67" s="299">
        <f t="shared" si="14"/>
        <v>2953026.7196999998</v>
      </c>
      <c r="N67" s="303">
        <f t="shared" si="9"/>
        <v>0.1</v>
      </c>
      <c r="O67" s="299">
        <f t="shared" si="16"/>
        <v>24271.452490684926</v>
      </c>
      <c r="P67" s="299">
        <f t="shared" si="11"/>
        <v>37794</v>
      </c>
      <c r="Q67" s="299">
        <f t="shared" si="7"/>
        <v>37794.313038483175</v>
      </c>
      <c r="R67" s="302">
        <f t="shared" si="12"/>
        <v>37794.313038483175</v>
      </c>
      <c r="S67" s="302">
        <f t="shared" si="1"/>
        <v>24271.452490684926</v>
      </c>
      <c r="T67" s="299">
        <f t="shared" si="2"/>
        <v>13522.547509315074</v>
      </c>
      <c r="U67" s="299">
        <f t="shared" si="13"/>
        <v>2939504.1721999999</v>
      </c>
      <c r="V67" s="304"/>
      <c r="W67" s="505"/>
      <c r="X67" s="505"/>
      <c r="Y67" s="298">
        <f t="shared" si="15"/>
        <v>0.1</v>
      </c>
      <c r="Z67" s="309"/>
      <c r="AA67" s="306"/>
      <c r="AB67" s="307"/>
      <c r="AC67" s="308" t="str">
        <f>IF(OR(AA67="",AB67=""),"",IF(AB67=$C$7,"Сокращение срока на "&amp;#REF!-#REF!-1&amp;" мес.","Сокращение платежа на "&amp;ROUND(Q67-Q68,2)&amp;" руб."))</f>
        <v/>
      </c>
    </row>
    <row r="68" spans="3:29" x14ac:dyDescent="0.2">
      <c r="C68" s="489"/>
      <c r="D68" s="489"/>
      <c r="E68" s="494"/>
      <c r="F68" s="494">
        <v>54</v>
      </c>
      <c r="G68" s="297">
        <f t="shared" si="3"/>
        <v>2026</v>
      </c>
      <c r="H68" s="297">
        <f t="shared" si="4"/>
        <v>365</v>
      </c>
      <c r="I68" s="488">
        <f t="shared" si="5"/>
        <v>46182</v>
      </c>
      <c r="J68" s="488"/>
      <c r="K68" s="494">
        <f t="shared" si="6"/>
        <v>31</v>
      </c>
      <c r="L68" s="488">
        <f t="shared" si="8"/>
        <v>46203</v>
      </c>
      <c r="M68" s="299">
        <f t="shared" si="14"/>
        <v>2939504.1721999999</v>
      </c>
      <c r="N68" s="303">
        <f t="shared" si="9"/>
        <v>0.1</v>
      </c>
      <c r="O68" s="299">
        <f t="shared" si="16"/>
        <v>24965.651873479452</v>
      </c>
      <c r="P68" s="299">
        <f t="shared" si="11"/>
        <v>37794</v>
      </c>
      <c r="Q68" s="299">
        <f t="shared" si="7"/>
        <v>37794.313038483175</v>
      </c>
      <c r="R68" s="302">
        <f t="shared" si="12"/>
        <v>37794.313038483175</v>
      </c>
      <c r="S68" s="302">
        <f t="shared" si="1"/>
        <v>24965.651873479452</v>
      </c>
      <c r="T68" s="299">
        <f t="shared" si="2"/>
        <v>12828.348126520548</v>
      </c>
      <c r="U68" s="299">
        <f t="shared" si="13"/>
        <v>2926675.8240999999</v>
      </c>
      <c r="V68" s="304"/>
      <c r="W68" s="505"/>
      <c r="X68" s="505"/>
      <c r="Y68" s="298">
        <f t="shared" si="15"/>
        <v>0.1</v>
      </c>
      <c r="Z68" s="309"/>
      <c r="AA68" s="306"/>
      <c r="AB68" s="307"/>
      <c r="AC68" s="308" t="str">
        <f>IF(OR(AA68="",AB68=""),"",IF(AB68=$C$7,"Сокращение срока на "&amp;#REF!-#REF!-1&amp;" мес.","Сокращение платежа на "&amp;ROUND(Q68-Q69,2)&amp;" руб."))</f>
        <v/>
      </c>
    </row>
    <row r="69" spans="3:29" x14ac:dyDescent="0.2">
      <c r="C69" s="489"/>
      <c r="D69" s="489"/>
      <c r="E69" s="494"/>
      <c r="F69" s="494">
        <v>55</v>
      </c>
      <c r="G69" s="297">
        <f t="shared" si="3"/>
        <v>2026</v>
      </c>
      <c r="H69" s="297">
        <f t="shared" si="4"/>
        <v>365</v>
      </c>
      <c r="I69" s="488">
        <f t="shared" si="5"/>
        <v>46212</v>
      </c>
      <c r="J69" s="488"/>
      <c r="K69" s="494">
        <f t="shared" si="6"/>
        <v>30</v>
      </c>
      <c r="L69" s="488">
        <f t="shared" si="8"/>
        <v>46234</v>
      </c>
      <c r="M69" s="299">
        <f t="shared" si="14"/>
        <v>2926675.8240999999</v>
      </c>
      <c r="N69" s="303">
        <f t="shared" si="9"/>
        <v>0.1</v>
      </c>
      <c r="O69" s="299">
        <f t="shared" si="16"/>
        <v>24054.869787123287</v>
      </c>
      <c r="P69" s="299">
        <f t="shared" si="11"/>
        <v>37794</v>
      </c>
      <c r="Q69" s="299">
        <f t="shared" si="7"/>
        <v>37794.313038483175</v>
      </c>
      <c r="R69" s="302">
        <f t="shared" si="12"/>
        <v>37794.313038483175</v>
      </c>
      <c r="S69" s="302">
        <f t="shared" si="1"/>
        <v>24054.869787123287</v>
      </c>
      <c r="T69" s="299">
        <f t="shared" si="2"/>
        <v>13739.130212876713</v>
      </c>
      <c r="U69" s="299">
        <f t="shared" si="13"/>
        <v>2912936.6938999998</v>
      </c>
      <c r="V69" s="304"/>
      <c r="W69" s="505"/>
      <c r="X69" s="505"/>
      <c r="Y69" s="298">
        <f t="shared" si="15"/>
        <v>0.1</v>
      </c>
      <c r="Z69" s="309"/>
      <c r="AA69" s="306"/>
      <c r="AB69" s="307"/>
      <c r="AC69" s="308" t="str">
        <f>IF(OR(AA69="",AB69=""),"",IF(AB69=$C$7,"Сокращение срока на "&amp;#REF!-#REF!-1&amp;" мес.","Сокращение платежа на "&amp;ROUND(Q69-Q70,2)&amp;" руб."))</f>
        <v/>
      </c>
    </row>
    <row r="70" spans="3:29" x14ac:dyDescent="0.2">
      <c r="C70" s="489"/>
      <c r="D70" s="489"/>
      <c r="E70" s="494"/>
      <c r="F70" s="494">
        <v>56</v>
      </c>
      <c r="G70" s="297">
        <f t="shared" si="3"/>
        <v>2026</v>
      </c>
      <c r="H70" s="297">
        <f t="shared" si="4"/>
        <v>365</v>
      </c>
      <c r="I70" s="488">
        <f t="shared" si="5"/>
        <v>46243</v>
      </c>
      <c r="J70" s="488"/>
      <c r="K70" s="494">
        <f t="shared" si="6"/>
        <v>31</v>
      </c>
      <c r="L70" s="488">
        <f t="shared" si="8"/>
        <v>46265</v>
      </c>
      <c r="M70" s="299">
        <f t="shared" si="14"/>
        <v>2912936.6938999998</v>
      </c>
      <c r="N70" s="303">
        <f t="shared" si="9"/>
        <v>0.1</v>
      </c>
      <c r="O70" s="299">
        <f t="shared" si="16"/>
        <v>24740.010276958903</v>
      </c>
      <c r="P70" s="299">
        <f t="shared" si="11"/>
        <v>37794</v>
      </c>
      <c r="Q70" s="299">
        <f t="shared" si="7"/>
        <v>37794.313038483175</v>
      </c>
      <c r="R70" s="302">
        <f t="shared" si="12"/>
        <v>37794.313038483175</v>
      </c>
      <c r="S70" s="302">
        <f t="shared" si="1"/>
        <v>24740.010276958903</v>
      </c>
      <c r="T70" s="299">
        <f t="shared" si="2"/>
        <v>13053.989723041097</v>
      </c>
      <c r="U70" s="299">
        <f t="shared" si="13"/>
        <v>2899882.7042</v>
      </c>
      <c r="V70" s="304"/>
      <c r="W70" s="505"/>
      <c r="X70" s="505"/>
      <c r="Y70" s="298">
        <f t="shared" si="15"/>
        <v>0.1</v>
      </c>
      <c r="Z70" s="309"/>
      <c r="AA70" s="306"/>
      <c r="AB70" s="307"/>
      <c r="AC70" s="308" t="str">
        <f>IF(OR(AA70="",AB70=""),"",IF(AB70=$C$7,"Сокращение срока на "&amp;#REF!-#REF!-1&amp;" мес.","Сокращение платежа на "&amp;ROUND(Q70-Q71,2)&amp;" руб."))</f>
        <v/>
      </c>
    </row>
    <row r="71" spans="3:29" x14ac:dyDescent="0.2">
      <c r="C71" s="489"/>
      <c r="D71" s="489"/>
      <c r="E71" s="494"/>
      <c r="F71" s="494">
        <v>57</v>
      </c>
      <c r="G71" s="297">
        <f t="shared" si="3"/>
        <v>2026</v>
      </c>
      <c r="H71" s="297">
        <f t="shared" si="4"/>
        <v>365</v>
      </c>
      <c r="I71" s="488">
        <f t="shared" si="5"/>
        <v>46274</v>
      </c>
      <c r="J71" s="488"/>
      <c r="K71" s="494">
        <f t="shared" si="6"/>
        <v>31</v>
      </c>
      <c r="L71" s="488">
        <f t="shared" si="8"/>
        <v>46295</v>
      </c>
      <c r="M71" s="299">
        <f t="shared" si="14"/>
        <v>2899882.7042</v>
      </c>
      <c r="N71" s="303">
        <f t="shared" si="9"/>
        <v>0.1</v>
      </c>
      <c r="O71" s="299">
        <f t="shared" si="16"/>
        <v>24629.14077539726</v>
      </c>
      <c r="P71" s="299">
        <f t="shared" si="11"/>
        <v>37794</v>
      </c>
      <c r="Q71" s="299">
        <f t="shared" si="7"/>
        <v>37794.313038483175</v>
      </c>
      <c r="R71" s="302">
        <f t="shared" si="12"/>
        <v>37794.313038483175</v>
      </c>
      <c r="S71" s="302">
        <f t="shared" si="1"/>
        <v>24629.14077539726</v>
      </c>
      <c r="T71" s="299">
        <f t="shared" si="2"/>
        <v>13164.85922460274</v>
      </c>
      <c r="U71" s="299">
        <f t="shared" si="13"/>
        <v>2886717.8450000002</v>
      </c>
      <c r="V71" s="304"/>
      <c r="W71" s="505"/>
      <c r="X71" s="505"/>
      <c r="Y71" s="298">
        <f t="shared" si="15"/>
        <v>0.1</v>
      </c>
      <c r="Z71" s="309"/>
      <c r="AA71" s="306"/>
      <c r="AB71" s="307"/>
      <c r="AC71" s="308" t="str">
        <f>IF(OR(AA71="",AB71=""),"",IF(AB71=$C$7,"Сокращение срока на "&amp;#REF!-#REF!-1&amp;" мес.","Сокращение платежа на "&amp;ROUND(Q71-Q72,2)&amp;" руб."))</f>
        <v/>
      </c>
    </row>
    <row r="72" spans="3:29" x14ac:dyDescent="0.2">
      <c r="C72" s="489"/>
      <c r="D72" s="489"/>
      <c r="E72" s="494"/>
      <c r="F72" s="494">
        <v>58</v>
      </c>
      <c r="G72" s="297">
        <f t="shared" si="3"/>
        <v>2026</v>
      </c>
      <c r="H72" s="297">
        <f t="shared" si="4"/>
        <v>365</v>
      </c>
      <c r="I72" s="488">
        <f t="shared" si="5"/>
        <v>46304</v>
      </c>
      <c r="J72" s="488"/>
      <c r="K72" s="494">
        <f t="shared" si="6"/>
        <v>30</v>
      </c>
      <c r="L72" s="488">
        <f t="shared" si="8"/>
        <v>46326</v>
      </c>
      <c r="M72" s="299">
        <f t="shared" si="14"/>
        <v>2886717.8450000002</v>
      </c>
      <c r="N72" s="303">
        <f t="shared" si="9"/>
        <v>0.1</v>
      </c>
      <c r="O72" s="299">
        <f t="shared" si="16"/>
        <v>23726.448041095889</v>
      </c>
      <c r="P72" s="299">
        <f t="shared" si="11"/>
        <v>37794</v>
      </c>
      <c r="Q72" s="299">
        <f t="shared" si="7"/>
        <v>37794.313038483175</v>
      </c>
      <c r="R72" s="302">
        <f t="shared" si="12"/>
        <v>37794.313038483175</v>
      </c>
      <c r="S72" s="302">
        <f t="shared" si="1"/>
        <v>23726.448041095889</v>
      </c>
      <c r="T72" s="299">
        <f t="shared" si="2"/>
        <v>14067.551958904111</v>
      </c>
      <c r="U72" s="299">
        <f t="shared" si="13"/>
        <v>2872650.2930000001</v>
      </c>
      <c r="V72" s="304"/>
      <c r="W72" s="505"/>
      <c r="X72" s="505"/>
      <c r="Y72" s="298">
        <f t="shared" si="15"/>
        <v>0.1</v>
      </c>
      <c r="Z72" s="309"/>
      <c r="AA72" s="306"/>
      <c r="AB72" s="307"/>
      <c r="AC72" s="308" t="str">
        <f>IF(OR(AA72="",AB72=""),"",IF(AB72=$C$7,"Сокращение срока на "&amp;#REF!-#REF!-1&amp;" мес.","Сокращение платежа на "&amp;ROUND(Q72-Q73,2)&amp;" руб."))</f>
        <v/>
      </c>
    </row>
    <row r="73" spans="3:29" x14ac:dyDescent="0.2">
      <c r="C73" s="489"/>
      <c r="D73" s="489"/>
      <c r="E73" s="494"/>
      <c r="F73" s="494">
        <v>59</v>
      </c>
      <c r="G73" s="297">
        <f t="shared" si="3"/>
        <v>2026</v>
      </c>
      <c r="H73" s="297">
        <f t="shared" si="4"/>
        <v>365</v>
      </c>
      <c r="I73" s="488">
        <f t="shared" si="5"/>
        <v>46335</v>
      </c>
      <c r="J73" s="488"/>
      <c r="K73" s="494">
        <f t="shared" si="6"/>
        <v>31</v>
      </c>
      <c r="L73" s="488">
        <f t="shared" si="8"/>
        <v>46356</v>
      </c>
      <c r="M73" s="299">
        <f t="shared" si="14"/>
        <v>2872650.2930000001</v>
      </c>
      <c r="N73" s="303">
        <f t="shared" si="9"/>
        <v>0.1</v>
      </c>
      <c r="O73" s="299">
        <f t="shared" si="16"/>
        <v>24397.851803561643</v>
      </c>
      <c r="P73" s="299">
        <f t="shared" si="11"/>
        <v>37794</v>
      </c>
      <c r="Q73" s="299">
        <f t="shared" si="7"/>
        <v>37794.313038483175</v>
      </c>
      <c r="R73" s="302">
        <f t="shared" si="12"/>
        <v>37794.313038483175</v>
      </c>
      <c r="S73" s="302">
        <f t="shared" si="1"/>
        <v>24397.851803561643</v>
      </c>
      <c r="T73" s="299">
        <f t="shared" si="2"/>
        <v>13396.148196438357</v>
      </c>
      <c r="U73" s="299">
        <f t="shared" si="13"/>
        <v>2859254.1447999999</v>
      </c>
      <c r="V73" s="304"/>
      <c r="W73" s="505"/>
      <c r="X73" s="505"/>
      <c r="Y73" s="298">
        <f t="shared" si="15"/>
        <v>0.1</v>
      </c>
      <c r="Z73" s="309"/>
      <c r="AA73" s="306"/>
      <c r="AB73" s="307"/>
      <c r="AC73" s="308" t="str">
        <f>IF(OR(AA73="",AB73=""),"",IF(AB73=$C$7,"Сокращение срока на "&amp;#REF!-#REF!-1&amp;" мес.","Сокращение платежа на "&amp;ROUND(Q73-Q74,2)&amp;" руб."))</f>
        <v/>
      </c>
    </row>
    <row r="74" spans="3:29" x14ac:dyDescent="0.2">
      <c r="C74" s="489"/>
      <c r="D74" s="489"/>
      <c r="E74" s="494"/>
      <c r="F74" s="494">
        <v>60</v>
      </c>
      <c r="G74" s="297">
        <f t="shared" si="3"/>
        <v>2026</v>
      </c>
      <c r="H74" s="297">
        <f t="shared" si="4"/>
        <v>365</v>
      </c>
      <c r="I74" s="488">
        <f t="shared" si="5"/>
        <v>46365</v>
      </c>
      <c r="J74" s="488"/>
      <c r="K74" s="494">
        <f t="shared" si="6"/>
        <v>30</v>
      </c>
      <c r="L74" s="488">
        <f t="shared" si="8"/>
        <v>46387</v>
      </c>
      <c r="M74" s="299">
        <f t="shared" si="14"/>
        <v>2859254.1447999999</v>
      </c>
      <c r="N74" s="303">
        <f t="shared" si="9"/>
        <v>0.1</v>
      </c>
      <c r="O74" s="299">
        <f t="shared" si="16"/>
        <v>23500.718998356162</v>
      </c>
      <c r="P74" s="299">
        <f t="shared" si="11"/>
        <v>37794</v>
      </c>
      <c r="Q74" s="299">
        <f t="shared" si="7"/>
        <v>37794.313038483175</v>
      </c>
      <c r="R74" s="302">
        <f t="shared" si="12"/>
        <v>37794.313038483175</v>
      </c>
      <c r="S74" s="302">
        <f t="shared" si="1"/>
        <v>23500.718998356162</v>
      </c>
      <c r="T74" s="299">
        <f t="shared" si="2"/>
        <v>14293.281001643838</v>
      </c>
      <c r="U74" s="299">
        <f t="shared" si="13"/>
        <v>2844960.8637999999</v>
      </c>
      <c r="V74" s="304"/>
      <c r="W74" s="505"/>
      <c r="X74" s="505"/>
      <c r="Y74" s="298">
        <f t="shared" si="15"/>
        <v>0.1</v>
      </c>
      <c r="Z74" s="309"/>
      <c r="AA74" s="306"/>
      <c r="AB74" s="307"/>
      <c r="AC74" s="308" t="str">
        <f>IF(OR(AA74="",AB74=""),"",IF(AB74=$C$7,"Сокращение срока на "&amp;#REF!-#REF!-1&amp;" мес.","Сокращение платежа на "&amp;ROUND(Q74-Q75,2)&amp;" руб."))</f>
        <v/>
      </c>
    </row>
    <row r="75" spans="3:29" x14ac:dyDescent="0.2">
      <c r="C75" s="489"/>
      <c r="D75" s="489"/>
      <c r="E75" s="494">
        <f>E63+1</f>
        <v>30</v>
      </c>
      <c r="F75" s="494">
        <v>61</v>
      </c>
      <c r="G75" s="297">
        <f t="shared" si="3"/>
        <v>2027</v>
      </c>
      <c r="H75" s="297">
        <f t="shared" si="4"/>
        <v>365</v>
      </c>
      <c r="I75" s="488">
        <f t="shared" si="5"/>
        <v>46396</v>
      </c>
      <c r="J75" s="488"/>
      <c r="K75" s="494">
        <f t="shared" si="6"/>
        <v>31</v>
      </c>
      <c r="L75" s="488">
        <f t="shared" si="8"/>
        <v>46418</v>
      </c>
      <c r="M75" s="299">
        <f t="shared" si="14"/>
        <v>2844960.8637999999</v>
      </c>
      <c r="N75" s="303">
        <f t="shared" si="9"/>
        <v>0.1</v>
      </c>
      <c r="O75" s="299">
        <f t="shared" si="16"/>
        <v>24162.681308986303</v>
      </c>
      <c r="P75" s="299">
        <f t="shared" si="11"/>
        <v>37794</v>
      </c>
      <c r="Q75" s="299">
        <f t="shared" si="7"/>
        <v>37794.313038483175</v>
      </c>
      <c r="R75" s="302">
        <f t="shared" si="12"/>
        <v>50189.873786930977</v>
      </c>
      <c r="S75" s="302">
        <f t="shared" si="1"/>
        <v>24162.681308986303</v>
      </c>
      <c r="T75" s="299">
        <f t="shared" si="2"/>
        <v>13631.318691013697</v>
      </c>
      <c r="U75" s="299">
        <f t="shared" si="13"/>
        <v>2831329.5451000002</v>
      </c>
      <c r="V75" s="304">
        <f>IF(U75=0,0,((U75*10%+U75)*(W75+X75)))</f>
        <v>12395.560748447801</v>
      </c>
      <c r="W75" s="505">
        <f>INDEX('Тарифы СК'!$B$4:$C$53,MATCH($E$75,'Тарифы СК'!$A$4:$A$53,0),MATCH($AB$3,'Тарифы СК'!$B$3:$C$3,0))</f>
        <v>2.7800000000000004E-3</v>
      </c>
      <c r="X75" s="505">
        <f>'Тарифы СК'!$D$3</f>
        <v>1.1999999999999999E-3</v>
      </c>
      <c r="Y75" s="298">
        <f t="shared" si="15"/>
        <v>0.1</v>
      </c>
      <c r="Z75" s="309"/>
      <c r="AA75" s="306"/>
      <c r="AB75" s="307"/>
      <c r="AC75" s="308" t="str">
        <f>IF(OR(AA75="",AB75=""),"",IF(AB75=$C$7,"Сокращение срока на "&amp;#REF!-#REF!-1&amp;" мес.","Сокращение платежа на "&amp;ROUND(Q75-Q76,2)&amp;" руб."))</f>
        <v/>
      </c>
    </row>
    <row r="76" spans="3:29" x14ac:dyDescent="0.2">
      <c r="C76" s="489"/>
      <c r="D76" s="489"/>
      <c r="E76" s="494"/>
      <c r="F76" s="494">
        <v>62</v>
      </c>
      <c r="G76" s="297">
        <f t="shared" si="3"/>
        <v>2027</v>
      </c>
      <c r="H76" s="297">
        <f t="shared" si="4"/>
        <v>365</v>
      </c>
      <c r="I76" s="488">
        <f t="shared" si="5"/>
        <v>46427</v>
      </c>
      <c r="J76" s="488"/>
      <c r="K76" s="494">
        <f t="shared" si="6"/>
        <v>31</v>
      </c>
      <c r="L76" s="488">
        <f t="shared" si="8"/>
        <v>46446</v>
      </c>
      <c r="M76" s="299">
        <f t="shared" si="14"/>
        <v>2831329.5451000002</v>
      </c>
      <c r="N76" s="303">
        <f t="shared" si="9"/>
        <v>0.1</v>
      </c>
      <c r="O76" s="299">
        <f t="shared" si="16"/>
        <v>24046.908465232875</v>
      </c>
      <c r="P76" s="299">
        <f t="shared" si="11"/>
        <v>37794</v>
      </c>
      <c r="Q76" s="299">
        <f t="shared" si="7"/>
        <v>37794.313038483175</v>
      </c>
      <c r="R76" s="302">
        <f t="shared" si="12"/>
        <v>37794.313038483175</v>
      </c>
      <c r="S76" s="302">
        <f t="shared" si="1"/>
        <v>24046.908465232875</v>
      </c>
      <c r="T76" s="299">
        <f t="shared" si="2"/>
        <v>13747.091534767125</v>
      </c>
      <c r="U76" s="299">
        <f t="shared" si="13"/>
        <v>2817582.4536000001</v>
      </c>
      <c r="V76" s="304"/>
      <c r="W76" s="505"/>
      <c r="X76" s="505"/>
      <c r="Y76" s="298">
        <f t="shared" si="15"/>
        <v>0.1</v>
      </c>
      <c r="Z76" s="309"/>
      <c r="AA76" s="306"/>
      <c r="AB76" s="307"/>
      <c r="AC76" s="308" t="str">
        <f>IF(OR(AA76="",AB76=""),"",IF(AB76=$C$7,"Сокращение срока на "&amp;#REF!-#REF!-1&amp;" мес.","Сокращение платежа на "&amp;ROUND(Q76-Q77,2)&amp;" руб."))</f>
        <v/>
      </c>
    </row>
    <row r="77" spans="3:29" x14ac:dyDescent="0.2">
      <c r="C77" s="489"/>
      <c r="D77" s="489"/>
      <c r="E77" s="494"/>
      <c r="F77" s="494">
        <v>63</v>
      </c>
      <c r="G77" s="297">
        <f t="shared" si="3"/>
        <v>2027</v>
      </c>
      <c r="H77" s="297">
        <f t="shared" si="4"/>
        <v>365</v>
      </c>
      <c r="I77" s="488">
        <f t="shared" si="5"/>
        <v>46455</v>
      </c>
      <c r="J77" s="488"/>
      <c r="K77" s="494">
        <f t="shared" si="6"/>
        <v>28</v>
      </c>
      <c r="L77" s="488">
        <f t="shared" si="8"/>
        <v>46477</v>
      </c>
      <c r="M77" s="299">
        <f t="shared" si="14"/>
        <v>2817582.4536000001</v>
      </c>
      <c r="N77" s="303">
        <f t="shared" si="9"/>
        <v>0.1</v>
      </c>
      <c r="O77" s="299">
        <f t="shared" si="16"/>
        <v>21614.331150904109</v>
      </c>
      <c r="P77" s="299">
        <f t="shared" si="11"/>
        <v>37794</v>
      </c>
      <c r="Q77" s="299">
        <f t="shared" si="7"/>
        <v>37794.313038483175</v>
      </c>
      <c r="R77" s="302">
        <f t="shared" si="12"/>
        <v>37794.313038483175</v>
      </c>
      <c r="S77" s="302">
        <f t="shared" si="1"/>
        <v>21614.331150904109</v>
      </c>
      <c r="T77" s="299">
        <f t="shared" si="2"/>
        <v>16179.668849095891</v>
      </c>
      <c r="U77" s="299">
        <f t="shared" si="13"/>
        <v>2801402.7848</v>
      </c>
      <c r="V77" s="304"/>
      <c r="W77" s="505"/>
      <c r="X77" s="505"/>
      <c r="Y77" s="298">
        <f t="shared" si="15"/>
        <v>0.1</v>
      </c>
      <c r="Z77" s="309"/>
      <c r="AA77" s="306"/>
      <c r="AB77" s="307"/>
      <c r="AC77" s="308" t="str">
        <f>IF(OR(AA77="",AB77=""),"",IF(AB77=$C$7,"Сокращение срока на "&amp;#REF!-#REF!-1&amp;" мес.","Сокращение платежа на "&amp;ROUND(Q77-Q78,2)&amp;" руб."))</f>
        <v/>
      </c>
    </row>
    <row r="78" spans="3:29" x14ac:dyDescent="0.2">
      <c r="C78" s="489"/>
      <c r="D78" s="489"/>
      <c r="E78" s="494"/>
      <c r="F78" s="494">
        <v>64</v>
      </c>
      <c r="G78" s="297">
        <f t="shared" si="3"/>
        <v>2027</v>
      </c>
      <c r="H78" s="297">
        <f t="shared" si="4"/>
        <v>365</v>
      </c>
      <c r="I78" s="488">
        <f t="shared" si="5"/>
        <v>46486</v>
      </c>
      <c r="J78" s="488"/>
      <c r="K78" s="494">
        <f t="shared" si="6"/>
        <v>31</v>
      </c>
      <c r="L78" s="488">
        <f t="shared" si="8"/>
        <v>46507</v>
      </c>
      <c r="M78" s="299">
        <f t="shared" si="14"/>
        <v>2801402.7848</v>
      </c>
      <c r="N78" s="303">
        <f t="shared" si="9"/>
        <v>0.1</v>
      </c>
      <c r="O78" s="299">
        <f t="shared" si="16"/>
        <v>23792.735980493151</v>
      </c>
      <c r="P78" s="299">
        <f t="shared" si="11"/>
        <v>37794</v>
      </c>
      <c r="Q78" s="299">
        <f t="shared" si="7"/>
        <v>37794.313038483175</v>
      </c>
      <c r="R78" s="302">
        <f t="shared" si="12"/>
        <v>37794.313038483175</v>
      </c>
      <c r="S78" s="302">
        <f t="shared" si="1"/>
        <v>23792.735980493151</v>
      </c>
      <c r="T78" s="299">
        <f t="shared" si="2"/>
        <v>14001.264019506849</v>
      </c>
      <c r="U78" s="299">
        <f t="shared" si="13"/>
        <v>2787401.5208000001</v>
      </c>
      <c r="V78" s="304"/>
      <c r="W78" s="505"/>
      <c r="X78" s="505"/>
      <c r="Y78" s="298">
        <f t="shared" si="15"/>
        <v>0.1</v>
      </c>
      <c r="Z78" s="309"/>
      <c r="AA78" s="306"/>
      <c r="AB78" s="307"/>
      <c r="AC78" s="308" t="str">
        <f>IF(OR(AA78="",AB78=""),"",IF(AB78=$C$7,"Сокращение срока на "&amp;#REF!-#REF!-1&amp;" мес.","Сокращение платежа на "&amp;ROUND(Q78-Q79,2)&amp;" руб."))</f>
        <v/>
      </c>
    </row>
    <row r="79" spans="3:29" x14ac:dyDescent="0.2">
      <c r="C79" s="489"/>
      <c r="D79" s="489"/>
      <c r="E79" s="494"/>
      <c r="F79" s="494">
        <v>65</v>
      </c>
      <c r="G79" s="297">
        <f t="shared" si="3"/>
        <v>2027</v>
      </c>
      <c r="H79" s="297">
        <f t="shared" si="4"/>
        <v>365</v>
      </c>
      <c r="I79" s="488">
        <f t="shared" si="5"/>
        <v>46516</v>
      </c>
      <c r="J79" s="488"/>
      <c r="K79" s="494">
        <f t="shared" si="6"/>
        <v>30</v>
      </c>
      <c r="L79" s="488">
        <f t="shared" si="8"/>
        <v>46538</v>
      </c>
      <c r="M79" s="299">
        <f t="shared" si="14"/>
        <v>2787401.5208000001</v>
      </c>
      <c r="N79" s="303">
        <f t="shared" si="9"/>
        <v>0.1</v>
      </c>
      <c r="O79" s="299">
        <f t="shared" si="16"/>
        <v>22910.1494860274</v>
      </c>
      <c r="P79" s="299">
        <f t="shared" si="11"/>
        <v>37794</v>
      </c>
      <c r="Q79" s="299">
        <f t="shared" si="7"/>
        <v>37794.313038483175</v>
      </c>
      <c r="R79" s="302">
        <f t="shared" si="12"/>
        <v>37794.313038483175</v>
      </c>
      <c r="S79" s="302">
        <f t="shared" si="1"/>
        <v>22910.1494860274</v>
      </c>
      <c r="T79" s="299">
        <f t="shared" si="2"/>
        <v>14883.8505139726</v>
      </c>
      <c r="U79" s="299">
        <f t="shared" si="13"/>
        <v>2772517.6702999999</v>
      </c>
      <c r="V79" s="304"/>
      <c r="W79" s="505"/>
      <c r="X79" s="505"/>
      <c r="Y79" s="298">
        <f t="shared" si="15"/>
        <v>0.1</v>
      </c>
      <c r="Z79" s="309"/>
      <c r="AA79" s="306"/>
      <c r="AB79" s="307"/>
      <c r="AC79" s="308" t="str">
        <f>IF(OR(AA79="",AB79=""),"",IF(AB79=$C$7,"Сокращение срока на "&amp;#REF!-#REF!-1&amp;" мес.","Сокращение платежа на "&amp;ROUND(Q79-Q80,2)&amp;" руб."))</f>
        <v/>
      </c>
    </row>
    <row r="80" spans="3:29" x14ac:dyDescent="0.2">
      <c r="C80" s="489"/>
      <c r="D80" s="489"/>
      <c r="E80" s="494"/>
      <c r="F80" s="494">
        <v>66</v>
      </c>
      <c r="G80" s="297">
        <f t="shared" ref="G80:G143" si="17">YEAR(I80)</f>
        <v>2027</v>
      </c>
      <c r="H80" s="297">
        <f t="shared" ref="H80:H143" si="18">IF(MOD(G80,4),365,366)</f>
        <v>365</v>
      </c>
      <c r="I80" s="488">
        <f t="shared" ref="I80:I143" si="19">DATE(YEAR(L80),MONTH(L80),1)+$C$14</f>
        <v>46547</v>
      </c>
      <c r="J80" s="488"/>
      <c r="K80" s="494">
        <f t="shared" ref="K80:K143" si="20">I80-I79</f>
        <v>31</v>
      </c>
      <c r="L80" s="488">
        <f t="shared" si="8"/>
        <v>46568</v>
      </c>
      <c r="M80" s="299">
        <f t="shared" si="14"/>
        <v>2772517.6702999999</v>
      </c>
      <c r="N80" s="303">
        <f t="shared" si="9"/>
        <v>0.1</v>
      </c>
      <c r="O80" s="299">
        <f t="shared" si="16"/>
        <v>23547.410350493148</v>
      </c>
      <c r="P80" s="299">
        <f t="shared" si="11"/>
        <v>37794</v>
      </c>
      <c r="Q80" s="299">
        <f t="shared" ref="Q80:Q143" si="21">IFERROR(IF(M80&lt;0.001,0,PMT(N80/12,$U$10,-$U$4)),0)</f>
        <v>37794.313038483175</v>
      </c>
      <c r="R80" s="302">
        <f t="shared" ref="R80:R143" si="22">Q80+V80</f>
        <v>37794.313038483175</v>
      </c>
      <c r="S80" s="302">
        <f t="shared" ref="S80:S143" si="23">O80</f>
        <v>23547.410350493148</v>
      </c>
      <c r="T80" s="299">
        <f t="shared" ref="T80:T143" si="24">MIN(P80-S80+AA80,M80)</f>
        <v>14246.589649506852</v>
      </c>
      <c r="U80" s="299">
        <f t="shared" si="13"/>
        <v>2758271.0806999998</v>
      </c>
      <c r="V80" s="304"/>
      <c r="W80" s="505"/>
      <c r="X80" s="505"/>
      <c r="Y80" s="298">
        <f t="shared" si="15"/>
        <v>0.1</v>
      </c>
      <c r="Z80" s="309"/>
      <c r="AA80" s="306"/>
      <c r="AB80" s="307"/>
      <c r="AC80" s="308" t="str">
        <f>IF(OR(AA80="",AB80=""),"",IF(AB80=$C$7,"Сокращение срока на "&amp;#REF!-#REF!-1&amp;" мес.","Сокращение платежа на "&amp;ROUND(Q80-Q81,2)&amp;" руб."))</f>
        <v/>
      </c>
    </row>
    <row r="81" spans="3:29" x14ac:dyDescent="0.2">
      <c r="C81" s="489"/>
      <c r="D81" s="489"/>
      <c r="E81" s="494"/>
      <c r="F81" s="494">
        <v>67</v>
      </c>
      <c r="G81" s="297">
        <f t="shared" si="17"/>
        <v>2027</v>
      </c>
      <c r="H81" s="297">
        <f t="shared" si="18"/>
        <v>365</v>
      </c>
      <c r="I81" s="488">
        <f t="shared" si="19"/>
        <v>46577</v>
      </c>
      <c r="J81" s="488"/>
      <c r="K81" s="494">
        <f t="shared" si="20"/>
        <v>30</v>
      </c>
      <c r="L81" s="488">
        <f t="shared" ref="L81:L144" si="25">EOMONTH($U$2,F81-1)</f>
        <v>46599</v>
      </c>
      <c r="M81" s="299">
        <f t="shared" si="14"/>
        <v>2758271.0806999998</v>
      </c>
      <c r="N81" s="303">
        <f t="shared" ref="N81:N144" si="26">Y81</f>
        <v>0.1</v>
      </c>
      <c r="O81" s="299">
        <f t="shared" ref="O81:O112" si="27">M81*N81/H81*K81</f>
        <v>22670.721211232878</v>
      </c>
      <c r="P81" s="299">
        <f t="shared" ref="P81:P144" si="28">IF(M81&lt;INT(Q81),M81+S81,INT(Q81))</f>
        <v>37794</v>
      </c>
      <c r="Q81" s="299">
        <f t="shared" si="21"/>
        <v>37794.313038483175</v>
      </c>
      <c r="R81" s="302">
        <f t="shared" si="22"/>
        <v>37794.313038483175</v>
      </c>
      <c r="S81" s="302">
        <f t="shared" si="23"/>
        <v>22670.721211232878</v>
      </c>
      <c r="T81" s="299">
        <f t="shared" si="24"/>
        <v>15123.278788767122</v>
      </c>
      <c r="U81" s="299">
        <f t="shared" ref="U81:U144" si="29">ROUND(M81-T81,4)</f>
        <v>2743147.8018999998</v>
      </c>
      <c r="V81" s="304"/>
      <c r="W81" s="505"/>
      <c r="X81" s="505"/>
      <c r="Y81" s="298">
        <f t="shared" si="15"/>
        <v>0.1</v>
      </c>
      <c r="Z81" s="309"/>
      <c r="AA81" s="306"/>
      <c r="AB81" s="307"/>
      <c r="AC81" s="308" t="str">
        <f>IF(OR(AA81="",AB81=""),"",IF(AB81=$C$7,"Сокращение срока на "&amp;#REF!-#REF!-1&amp;" мес.","Сокращение платежа на "&amp;ROUND(Q81-Q82,2)&amp;" руб."))</f>
        <v/>
      </c>
    </row>
    <row r="82" spans="3:29" x14ac:dyDescent="0.2">
      <c r="C82" s="489"/>
      <c r="D82" s="489"/>
      <c r="E82" s="494"/>
      <c r="F82" s="494">
        <v>68</v>
      </c>
      <c r="G82" s="297">
        <f t="shared" si="17"/>
        <v>2027</v>
      </c>
      <c r="H82" s="297">
        <f t="shared" si="18"/>
        <v>365</v>
      </c>
      <c r="I82" s="488">
        <f t="shared" si="19"/>
        <v>46608</v>
      </c>
      <c r="J82" s="488"/>
      <c r="K82" s="494">
        <f t="shared" si="20"/>
        <v>31</v>
      </c>
      <c r="L82" s="488">
        <f t="shared" si="25"/>
        <v>46630</v>
      </c>
      <c r="M82" s="299">
        <f t="shared" ref="M82:M145" si="30">U81</f>
        <v>2743147.8018999998</v>
      </c>
      <c r="N82" s="303">
        <f t="shared" si="26"/>
        <v>0.1</v>
      </c>
      <c r="O82" s="299">
        <f t="shared" si="27"/>
        <v>23297.967632575343</v>
      </c>
      <c r="P82" s="299">
        <f t="shared" si="28"/>
        <v>37794</v>
      </c>
      <c r="Q82" s="299">
        <f t="shared" si="21"/>
        <v>37794.313038483175</v>
      </c>
      <c r="R82" s="302">
        <f t="shared" si="22"/>
        <v>37794.313038483175</v>
      </c>
      <c r="S82" s="302">
        <f t="shared" si="23"/>
        <v>23297.967632575343</v>
      </c>
      <c r="T82" s="299">
        <f t="shared" si="24"/>
        <v>14496.032367424657</v>
      </c>
      <c r="U82" s="299">
        <f t="shared" si="29"/>
        <v>2728651.7694999999</v>
      </c>
      <c r="V82" s="304"/>
      <c r="W82" s="505"/>
      <c r="X82" s="505"/>
      <c r="Y82" s="298">
        <f t="shared" ref="Y82:Y145" si="31">IF(Z82="",Y81,Z82)</f>
        <v>0.1</v>
      </c>
      <c r="Z82" s="309"/>
      <c r="AA82" s="306"/>
      <c r="AB82" s="307"/>
      <c r="AC82" s="308" t="str">
        <f>IF(OR(AA82="",AB82=""),"",IF(AB82=$C$7,"Сокращение срока на "&amp;#REF!-#REF!-1&amp;" мес.","Сокращение платежа на "&amp;ROUND(Q82-Q83,2)&amp;" руб."))</f>
        <v/>
      </c>
    </row>
    <row r="83" spans="3:29" x14ac:dyDescent="0.2">
      <c r="C83" s="489"/>
      <c r="D83" s="489"/>
      <c r="E83" s="494"/>
      <c r="F83" s="494">
        <v>69</v>
      </c>
      <c r="G83" s="297">
        <f t="shared" si="17"/>
        <v>2027</v>
      </c>
      <c r="H83" s="297">
        <f t="shared" si="18"/>
        <v>365</v>
      </c>
      <c r="I83" s="488">
        <f t="shared" si="19"/>
        <v>46639</v>
      </c>
      <c r="J83" s="488"/>
      <c r="K83" s="494">
        <f t="shared" si="20"/>
        <v>31</v>
      </c>
      <c r="L83" s="488">
        <f t="shared" si="25"/>
        <v>46660</v>
      </c>
      <c r="M83" s="299">
        <f t="shared" si="30"/>
        <v>2728651.7694999999</v>
      </c>
      <c r="N83" s="303">
        <f t="shared" si="26"/>
        <v>0.1</v>
      </c>
      <c r="O83" s="299">
        <f t="shared" si="27"/>
        <v>23174.850645068494</v>
      </c>
      <c r="P83" s="299">
        <f t="shared" si="28"/>
        <v>37794</v>
      </c>
      <c r="Q83" s="299">
        <f t="shared" si="21"/>
        <v>37794.313038483175</v>
      </c>
      <c r="R83" s="302">
        <f t="shared" si="22"/>
        <v>37794.313038483175</v>
      </c>
      <c r="S83" s="302">
        <f t="shared" si="23"/>
        <v>23174.850645068494</v>
      </c>
      <c r="T83" s="299">
        <f t="shared" si="24"/>
        <v>14619.149354931506</v>
      </c>
      <c r="U83" s="299">
        <f t="shared" si="29"/>
        <v>2714032.6200999999</v>
      </c>
      <c r="V83" s="304"/>
      <c r="W83" s="505"/>
      <c r="X83" s="505"/>
      <c r="Y83" s="298">
        <f t="shared" si="31"/>
        <v>0.1</v>
      </c>
      <c r="Z83" s="309"/>
      <c r="AA83" s="306"/>
      <c r="AB83" s="307"/>
      <c r="AC83" s="308" t="str">
        <f>IF(OR(AA83="",AB83=""),"",IF(AB83=$C$7,"Сокращение срока на "&amp;#REF!-#REF!-1&amp;" мес.","Сокращение платежа на "&amp;ROUND(Q83-Q84,2)&amp;" руб."))</f>
        <v/>
      </c>
    </row>
    <row r="84" spans="3:29" x14ac:dyDescent="0.2">
      <c r="C84" s="489"/>
      <c r="D84" s="489"/>
      <c r="E84" s="494"/>
      <c r="F84" s="494">
        <v>70</v>
      </c>
      <c r="G84" s="297">
        <f t="shared" si="17"/>
        <v>2027</v>
      </c>
      <c r="H84" s="297">
        <f t="shared" si="18"/>
        <v>365</v>
      </c>
      <c r="I84" s="488">
        <f t="shared" si="19"/>
        <v>46669</v>
      </c>
      <c r="J84" s="488"/>
      <c r="K84" s="494">
        <f t="shared" si="20"/>
        <v>30</v>
      </c>
      <c r="L84" s="488">
        <f t="shared" si="25"/>
        <v>46691</v>
      </c>
      <c r="M84" s="299">
        <f t="shared" si="30"/>
        <v>2714032.6200999999</v>
      </c>
      <c r="N84" s="303">
        <f t="shared" si="26"/>
        <v>0.1</v>
      </c>
      <c r="O84" s="299">
        <f t="shared" si="27"/>
        <v>22307.117425479453</v>
      </c>
      <c r="P84" s="299">
        <f t="shared" si="28"/>
        <v>37794</v>
      </c>
      <c r="Q84" s="299">
        <f t="shared" si="21"/>
        <v>37794.313038483175</v>
      </c>
      <c r="R84" s="302">
        <f t="shared" si="22"/>
        <v>37794.313038483175</v>
      </c>
      <c r="S84" s="302">
        <f t="shared" si="23"/>
        <v>22307.117425479453</v>
      </c>
      <c r="T84" s="299">
        <f t="shared" si="24"/>
        <v>15486.882574520547</v>
      </c>
      <c r="U84" s="299">
        <f t="shared" si="29"/>
        <v>2698545.7374999998</v>
      </c>
      <c r="V84" s="304"/>
      <c r="W84" s="505"/>
      <c r="X84" s="505"/>
      <c r="Y84" s="298">
        <f t="shared" si="31"/>
        <v>0.1</v>
      </c>
      <c r="Z84" s="309"/>
      <c r="AA84" s="306"/>
      <c r="AB84" s="307"/>
      <c r="AC84" s="308" t="str">
        <f>IF(OR(AA84="",AB84=""),"",IF(AB84=$C$7,"Сокращение срока на "&amp;#REF!-#REF!-1&amp;" мес.","Сокращение платежа на "&amp;ROUND(Q84-Q85,2)&amp;" руб."))</f>
        <v/>
      </c>
    </row>
    <row r="85" spans="3:29" x14ac:dyDescent="0.2">
      <c r="C85" s="489"/>
      <c r="D85" s="489"/>
      <c r="E85" s="494"/>
      <c r="F85" s="494">
        <v>71</v>
      </c>
      <c r="G85" s="297">
        <f t="shared" si="17"/>
        <v>2027</v>
      </c>
      <c r="H85" s="297">
        <f t="shared" si="18"/>
        <v>365</v>
      </c>
      <c r="I85" s="488">
        <f t="shared" si="19"/>
        <v>46700</v>
      </c>
      <c r="J85" s="488"/>
      <c r="K85" s="494">
        <f t="shared" si="20"/>
        <v>31</v>
      </c>
      <c r="L85" s="488">
        <f t="shared" si="25"/>
        <v>46721</v>
      </c>
      <c r="M85" s="299">
        <f t="shared" si="30"/>
        <v>2698545.7374999998</v>
      </c>
      <c r="N85" s="303">
        <f t="shared" si="26"/>
        <v>0.1</v>
      </c>
      <c r="O85" s="299">
        <f t="shared" si="27"/>
        <v>22919.155578767124</v>
      </c>
      <c r="P85" s="299">
        <f t="shared" si="28"/>
        <v>37794</v>
      </c>
      <c r="Q85" s="299">
        <f t="shared" si="21"/>
        <v>37794.313038483175</v>
      </c>
      <c r="R85" s="302">
        <f t="shared" si="22"/>
        <v>37794.313038483175</v>
      </c>
      <c r="S85" s="302">
        <f t="shared" si="23"/>
        <v>22919.155578767124</v>
      </c>
      <c r="T85" s="299">
        <f t="shared" si="24"/>
        <v>14874.844421232876</v>
      </c>
      <c r="U85" s="299">
        <f t="shared" si="29"/>
        <v>2683670.8931</v>
      </c>
      <c r="V85" s="304"/>
      <c r="W85" s="505"/>
      <c r="X85" s="505"/>
      <c r="Y85" s="298">
        <f t="shared" si="31"/>
        <v>0.1</v>
      </c>
      <c r="Z85" s="309"/>
      <c r="AA85" s="306"/>
      <c r="AB85" s="307"/>
      <c r="AC85" s="308" t="str">
        <f>IF(OR(AA85="",AB85=""),"",IF(AB85=$C$7,"Сокращение срока на "&amp;#REF!-#REF!-1&amp;" мес.","Сокращение платежа на "&amp;ROUND(Q85-Q86,2)&amp;" руб."))</f>
        <v/>
      </c>
    </row>
    <row r="86" spans="3:29" x14ac:dyDescent="0.2">
      <c r="C86" s="489"/>
      <c r="D86" s="489"/>
      <c r="E86" s="494"/>
      <c r="F86" s="494">
        <v>72</v>
      </c>
      <c r="G86" s="297">
        <f t="shared" si="17"/>
        <v>2027</v>
      </c>
      <c r="H86" s="297">
        <f t="shared" si="18"/>
        <v>365</v>
      </c>
      <c r="I86" s="488">
        <f t="shared" si="19"/>
        <v>46730</v>
      </c>
      <c r="J86" s="488"/>
      <c r="K86" s="494">
        <f t="shared" si="20"/>
        <v>30</v>
      </c>
      <c r="L86" s="488">
        <f t="shared" si="25"/>
        <v>46752</v>
      </c>
      <c r="M86" s="299">
        <f t="shared" si="30"/>
        <v>2683670.8931</v>
      </c>
      <c r="N86" s="303">
        <f t="shared" si="26"/>
        <v>0.1</v>
      </c>
      <c r="O86" s="299">
        <f t="shared" si="27"/>
        <v>22057.568984383561</v>
      </c>
      <c r="P86" s="299">
        <f t="shared" si="28"/>
        <v>37794</v>
      </c>
      <c r="Q86" s="299">
        <f t="shared" si="21"/>
        <v>37794.313038483175</v>
      </c>
      <c r="R86" s="302">
        <f t="shared" si="22"/>
        <v>37794.313038483175</v>
      </c>
      <c r="S86" s="302">
        <f t="shared" si="23"/>
        <v>22057.568984383561</v>
      </c>
      <c r="T86" s="299">
        <f t="shared" si="24"/>
        <v>15736.431015616439</v>
      </c>
      <c r="U86" s="299">
        <f t="shared" si="29"/>
        <v>2667934.4621000001</v>
      </c>
      <c r="V86" s="304"/>
      <c r="W86" s="505"/>
      <c r="X86" s="505"/>
      <c r="Y86" s="298">
        <f t="shared" si="31"/>
        <v>0.1</v>
      </c>
      <c r="Z86" s="309"/>
      <c r="AA86" s="306"/>
      <c r="AB86" s="307"/>
      <c r="AC86" s="308" t="str">
        <f>IF(OR(AA86="",AB86=""),"",IF(AB86=$C$7,"Сокращение срока на "&amp;#REF!-#REF!-1&amp;" мес.","Сокращение платежа на "&amp;ROUND(Q86-Q87,2)&amp;" руб."))</f>
        <v/>
      </c>
    </row>
    <row r="87" spans="3:29" x14ac:dyDescent="0.2">
      <c r="C87" s="489"/>
      <c r="D87" s="489"/>
      <c r="E87" s="494"/>
      <c r="F87" s="494">
        <v>73</v>
      </c>
      <c r="G87" s="297">
        <f t="shared" si="17"/>
        <v>2028</v>
      </c>
      <c r="H87" s="297">
        <f t="shared" si="18"/>
        <v>366</v>
      </c>
      <c r="I87" s="488">
        <f t="shared" si="19"/>
        <v>46761</v>
      </c>
      <c r="J87" s="488"/>
      <c r="K87" s="494">
        <f t="shared" si="20"/>
        <v>31</v>
      </c>
      <c r="L87" s="488">
        <f t="shared" si="25"/>
        <v>46783</v>
      </c>
      <c r="M87" s="299">
        <f t="shared" si="30"/>
        <v>2667934.4621000001</v>
      </c>
      <c r="N87" s="303">
        <f t="shared" si="26"/>
        <v>0.1</v>
      </c>
      <c r="O87" s="299">
        <f t="shared" si="27"/>
        <v>22597.259105218582</v>
      </c>
      <c r="P87" s="299">
        <f t="shared" si="28"/>
        <v>37794</v>
      </c>
      <c r="Q87" s="299">
        <f t="shared" si="21"/>
        <v>37794.313038483175</v>
      </c>
      <c r="R87" s="302">
        <f t="shared" si="22"/>
        <v>37794.313038483175</v>
      </c>
      <c r="S87" s="302">
        <f t="shared" si="23"/>
        <v>22597.259105218582</v>
      </c>
      <c r="T87" s="299">
        <f t="shared" si="24"/>
        <v>15196.740894781418</v>
      </c>
      <c r="U87" s="299">
        <f t="shared" si="29"/>
        <v>2652737.7212</v>
      </c>
      <c r="V87" s="304"/>
      <c r="W87" s="505"/>
      <c r="X87" s="505"/>
      <c r="Y87" s="298">
        <f t="shared" si="31"/>
        <v>0.1</v>
      </c>
      <c r="Z87" s="309"/>
      <c r="AA87" s="306"/>
      <c r="AB87" s="307"/>
      <c r="AC87" s="308" t="str">
        <f>IF(OR(AA87="",AB87=""),"",IF(AB87=$C$7,"Сокращение срока на "&amp;#REF!-#REF!-1&amp;" мес.","Сокращение платежа на "&amp;ROUND(Q87-Q88,2)&amp;" руб."))</f>
        <v/>
      </c>
    </row>
    <row r="88" spans="3:29" x14ac:dyDescent="0.2">
      <c r="C88" s="489"/>
      <c r="D88" s="489"/>
      <c r="E88" s="494">
        <f>E75+1</f>
        <v>31</v>
      </c>
      <c r="F88" s="494">
        <v>74</v>
      </c>
      <c r="G88" s="297">
        <f t="shared" si="17"/>
        <v>2028</v>
      </c>
      <c r="H88" s="297">
        <f t="shared" si="18"/>
        <v>366</v>
      </c>
      <c r="I88" s="488">
        <f t="shared" si="19"/>
        <v>46792</v>
      </c>
      <c r="J88" s="488"/>
      <c r="K88" s="494">
        <f t="shared" si="20"/>
        <v>31</v>
      </c>
      <c r="L88" s="488">
        <f t="shared" si="25"/>
        <v>46812</v>
      </c>
      <c r="M88" s="299">
        <f>U87</f>
        <v>2652737.7212</v>
      </c>
      <c r="N88" s="303">
        <f t="shared" si="26"/>
        <v>0.1</v>
      </c>
      <c r="O88" s="299">
        <f t="shared" si="27"/>
        <v>22468.543540218583</v>
      </c>
      <c r="P88" s="299">
        <f t="shared" si="28"/>
        <v>37794</v>
      </c>
      <c r="Q88" s="299">
        <f t="shared" si="21"/>
        <v>37794.313038483175</v>
      </c>
      <c r="R88" s="302">
        <f t="shared" si="22"/>
        <v>49747.065422103573</v>
      </c>
      <c r="S88" s="302">
        <f t="shared" si="23"/>
        <v>22468.543540218583</v>
      </c>
      <c r="T88" s="299">
        <f t="shared" si="24"/>
        <v>15325.456459781417</v>
      </c>
      <c r="U88" s="299">
        <f t="shared" si="29"/>
        <v>2637412.2647000002</v>
      </c>
      <c r="V88" s="304">
        <f>IF(U88=0,0,((U88*10%+U88)*(W88+X88)))</f>
        <v>11952.7523836204</v>
      </c>
      <c r="W88" s="505">
        <f>INDEX('Тарифы СК'!$B$4:$C$53,MATCH($E$88,'Тарифы СК'!$A$4:$A$53,0),MATCH($AB$3,'Тарифы СК'!$B$3:$C$3,0))</f>
        <v>2.9199999999999999E-3</v>
      </c>
      <c r="X88" s="505">
        <f>'Тарифы СК'!$D$3</f>
        <v>1.1999999999999999E-3</v>
      </c>
      <c r="Y88" s="298">
        <f>IF(Z88="",Y87,Z88)</f>
        <v>0.1</v>
      </c>
      <c r="Z88" s="309"/>
      <c r="AA88" s="306"/>
      <c r="AB88" s="307"/>
      <c r="AC88" s="308" t="str">
        <f>IF(OR(AA88="",AB88=""),"",IF(AB88=$C$7,"Сокращение срока на "&amp;#REF!-#REF!-1&amp;" мес.","Сокращение платежа на "&amp;ROUND(Q88-Q89,2)&amp;" руб."))</f>
        <v/>
      </c>
    </row>
    <row r="89" spans="3:29" x14ac:dyDescent="0.2">
      <c r="C89" s="489"/>
      <c r="D89" s="489"/>
      <c r="E89" s="494"/>
      <c r="F89" s="494">
        <v>75</v>
      </c>
      <c r="G89" s="297">
        <f t="shared" si="17"/>
        <v>2028</v>
      </c>
      <c r="H89" s="297">
        <f t="shared" si="18"/>
        <v>366</v>
      </c>
      <c r="I89" s="488">
        <f t="shared" si="19"/>
        <v>46821</v>
      </c>
      <c r="J89" s="488"/>
      <c r="K89" s="494">
        <f t="shared" si="20"/>
        <v>29</v>
      </c>
      <c r="L89" s="488">
        <f t="shared" si="25"/>
        <v>46843</v>
      </c>
      <c r="M89" s="299">
        <f t="shared" si="30"/>
        <v>2637412.2647000002</v>
      </c>
      <c r="N89" s="303">
        <f t="shared" si="26"/>
        <v>0.1</v>
      </c>
      <c r="O89" s="299">
        <f t="shared" si="27"/>
        <v>20897.528873306015</v>
      </c>
      <c r="P89" s="299">
        <f t="shared" si="28"/>
        <v>37794</v>
      </c>
      <c r="Q89" s="299">
        <f t="shared" si="21"/>
        <v>37794.313038483175</v>
      </c>
      <c r="R89" s="302">
        <f t="shared" si="22"/>
        <v>37794.313038483175</v>
      </c>
      <c r="S89" s="302">
        <f t="shared" si="23"/>
        <v>20897.528873306015</v>
      </c>
      <c r="T89" s="299">
        <f t="shared" si="24"/>
        <v>16896.471126693985</v>
      </c>
      <c r="U89" s="299">
        <f t="shared" si="29"/>
        <v>2620515.7936</v>
      </c>
      <c r="V89" s="304"/>
      <c r="W89" s="505"/>
      <c r="X89" s="505"/>
      <c r="Y89" s="298">
        <f t="shared" si="31"/>
        <v>0.1</v>
      </c>
      <c r="Z89" s="309"/>
      <c r="AA89" s="306"/>
      <c r="AB89" s="307"/>
      <c r="AC89" s="308" t="str">
        <f>IF(OR(AA89="",AB89=""),"",IF(AB89=$C$7,"Сокращение срока на "&amp;#REF!-#REF!-1&amp;" мес.","Сокращение платежа на "&amp;ROUND(Q89-Q90,2)&amp;" руб."))</f>
        <v/>
      </c>
    </row>
    <row r="90" spans="3:29" x14ac:dyDescent="0.2">
      <c r="C90" s="489"/>
      <c r="D90" s="489"/>
      <c r="E90" s="494"/>
      <c r="F90" s="494">
        <v>76</v>
      </c>
      <c r="G90" s="297">
        <f t="shared" si="17"/>
        <v>2028</v>
      </c>
      <c r="H90" s="297">
        <f t="shared" si="18"/>
        <v>366</v>
      </c>
      <c r="I90" s="488">
        <f t="shared" si="19"/>
        <v>46852</v>
      </c>
      <c r="J90" s="488"/>
      <c r="K90" s="494">
        <f t="shared" si="20"/>
        <v>31</v>
      </c>
      <c r="L90" s="488">
        <f t="shared" si="25"/>
        <v>46873</v>
      </c>
      <c r="M90" s="299">
        <f t="shared" si="30"/>
        <v>2620515.7936</v>
      </c>
      <c r="N90" s="303">
        <f t="shared" si="26"/>
        <v>0.1</v>
      </c>
      <c r="O90" s="299">
        <f t="shared" si="27"/>
        <v>22195.62557420765</v>
      </c>
      <c r="P90" s="299">
        <f t="shared" si="28"/>
        <v>37794</v>
      </c>
      <c r="Q90" s="299">
        <f t="shared" si="21"/>
        <v>37794.313038483175</v>
      </c>
      <c r="R90" s="302">
        <f t="shared" si="22"/>
        <v>37794.313038483175</v>
      </c>
      <c r="S90" s="302">
        <f t="shared" si="23"/>
        <v>22195.62557420765</v>
      </c>
      <c r="T90" s="299">
        <f t="shared" si="24"/>
        <v>15598.37442579235</v>
      </c>
      <c r="U90" s="299">
        <f t="shared" si="29"/>
        <v>2604917.4191999999</v>
      </c>
      <c r="V90" s="304"/>
      <c r="W90" s="505"/>
      <c r="X90" s="505"/>
      <c r="Y90" s="298">
        <f t="shared" si="31"/>
        <v>0.1</v>
      </c>
      <c r="Z90" s="309"/>
      <c r="AA90" s="306"/>
      <c r="AB90" s="307"/>
      <c r="AC90" s="308" t="str">
        <f>IF(OR(AA90="",AB90=""),"",IF(AB90=$C$7,"Сокращение срока на "&amp;#REF!-#REF!-1&amp;" мес.","Сокращение платежа на "&amp;ROUND(Q90-Q91,2)&amp;" руб."))</f>
        <v/>
      </c>
    </row>
    <row r="91" spans="3:29" x14ac:dyDescent="0.2">
      <c r="C91" s="489"/>
      <c r="D91" s="489"/>
      <c r="E91" s="494"/>
      <c r="F91" s="494">
        <v>77</v>
      </c>
      <c r="G91" s="297">
        <f t="shared" si="17"/>
        <v>2028</v>
      </c>
      <c r="H91" s="297">
        <f t="shared" si="18"/>
        <v>366</v>
      </c>
      <c r="I91" s="488">
        <f t="shared" si="19"/>
        <v>46882</v>
      </c>
      <c r="J91" s="488"/>
      <c r="K91" s="494">
        <f t="shared" si="20"/>
        <v>30</v>
      </c>
      <c r="L91" s="488">
        <f t="shared" si="25"/>
        <v>46904</v>
      </c>
      <c r="M91" s="299">
        <f t="shared" si="30"/>
        <v>2604917.4191999999</v>
      </c>
      <c r="N91" s="303">
        <f t="shared" si="26"/>
        <v>0.1</v>
      </c>
      <c r="O91" s="299">
        <f t="shared" si="27"/>
        <v>21351.782124590165</v>
      </c>
      <c r="P91" s="299">
        <f t="shared" si="28"/>
        <v>37794</v>
      </c>
      <c r="Q91" s="299">
        <f t="shared" si="21"/>
        <v>37794.313038483175</v>
      </c>
      <c r="R91" s="302">
        <f t="shared" si="22"/>
        <v>37794.313038483175</v>
      </c>
      <c r="S91" s="302">
        <f t="shared" si="23"/>
        <v>21351.782124590165</v>
      </c>
      <c r="T91" s="299">
        <f t="shared" si="24"/>
        <v>16442.217875409835</v>
      </c>
      <c r="U91" s="299">
        <f t="shared" si="29"/>
        <v>2588475.2012999998</v>
      </c>
      <c r="V91" s="304"/>
      <c r="W91" s="505"/>
      <c r="X91" s="505"/>
      <c r="Y91" s="298">
        <f t="shared" si="31"/>
        <v>0.1</v>
      </c>
      <c r="Z91" s="309"/>
      <c r="AA91" s="306"/>
      <c r="AB91" s="307"/>
      <c r="AC91" s="308" t="str">
        <f>IF(OR(AA91="",AB91=""),"",IF(AB91=$C$7,"Сокращение срока на "&amp;#REF!-#REF!-1&amp;" мес.","Сокращение платежа на "&amp;ROUND(Q91-Q92,2)&amp;" руб."))</f>
        <v/>
      </c>
    </row>
    <row r="92" spans="3:29" x14ac:dyDescent="0.2">
      <c r="C92" s="489"/>
      <c r="D92" s="489"/>
      <c r="E92" s="494"/>
      <c r="F92" s="494">
        <v>78</v>
      </c>
      <c r="G92" s="297">
        <f t="shared" si="17"/>
        <v>2028</v>
      </c>
      <c r="H92" s="297">
        <f t="shared" si="18"/>
        <v>366</v>
      </c>
      <c r="I92" s="488">
        <f t="shared" si="19"/>
        <v>46913</v>
      </c>
      <c r="J92" s="488"/>
      <c r="K92" s="494">
        <f t="shared" si="20"/>
        <v>31</v>
      </c>
      <c r="L92" s="488">
        <f t="shared" si="25"/>
        <v>46934</v>
      </c>
      <c r="M92" s="299">
        <f t="shared" si="30"/>
        <v>2588475.2012999998</v>
      </c>
      <c r="N92" s="303">
        <f t="shared" si="26"/>
        <v>0.1</v>
      </c>
      <c r="O92" s="299">
        <f t="shared" si="27"/>
        <v>21924.243508278687</v>
      </c>
      <c r="P92" s="299">
        <f t="shared" si="28"/>
        <v>37794</v>
      </c>
      <c r="Q92" s="299">
        <f t="shared" si="21"/>
        <v>37794.313038483175</v>
      </c>
      <c r="R92" s="302">
        <f t="shared" si="22"/>
        <v>37794.313038483175</v>
      </c>
      <c r="S92" s="302">
        <f t="shared" si="23"/>
        <v>21924.243508278687</v>
      </c>
      <c r="T92" s="299">
        <f t="shared" si="24"/>
        <v>15869.756491721313</v>
      </c>
      <c r="U92" s="299">
        <f t="shared" si="29"/>
        <v>2572605.4448000002</v>
      </c>
      <c r="V92" s="304"/>
      <c r="W92" s="505"/>
      <c r="X92" s="505"/>
      <c r="Y92" s="298">
        <f t="shared" si="31"/>
        <v>0.1</v>
      </c>
      <c r="Z92" s="309"/>
      <c r="AA92" s="306"/>
      <c r="AB92" s="307"/>
      <c r="AC92" s="308" t="str">
        <f>IF(OR(AA92="",AB92=""),"",IF(AB92=$C$7,"Сокращение срока на "&amp;#REF!-#REF!-1&amp;" мес.","Сокращение платежа на "&amp;ROUND(Q92-Q93,2)&amp;" руб."))</f>
        <v/>
      </c>
    </row>
    <row r="93" spans="3:29" x14ac:dyDescent="0.2">
      <c r="C93" s="489"/>
      <c r="D93" s="489"/>
      <c r="E93" s="494"/>
      <c r="F93" s="494">
        <v>79</v>
      </c>
      <c r="G93" s="297">
        <f t="shared" si="17"/>
        <v>2028</v>
      </c>
      <c r="H93" s="297">
        <f t="shared" si="18"/>
        <v>366</v>
      </c>
      <c r="I93" s="488">
        <f t="shared" si="19"/>
        <v>46943</v>
      </c>
      <c r="J93" s="488"/>
      <c r="K93" s="494">
        <f t="shared" si="20"/>
        <v>30</v>
      </c>
      <c r="L93" s="488">
        <f t="shared" si="25"/>
        <v>46965</v>
      </c>
      <c r="M93" s="299">
        <f t="shared" si="30"/>
        <v>2572605.4448000002</v>
      </c>
      <c r="N93" s="303">
        <f t="shared" si="26"/>
        <v>0.1</v>
      </c>
      <c r="O93" s="299">
        <f t="shared" si="27"/>
        <v>21086.929875409838</v>
      </c>
      <c r="P93" s="299">
        <f t="shared" si="28"/>
        <v>37794</v>
      </c>
      <c r="Q93" s="299">
        <f t="shared" si="21"/>
        <v>37794.313038483175</v>
      </c>
      <c r="R93" s="302">
        <f t="shared" si="22"/>
        <v>37794.313038483175</v>
      </c>
      <c r="S93" s="302">
        <f t="shared" si="23"/>
        <v>21086.929875409838</v>
      </c>
      <c r="T93" s="299">
        <f t="shared" si="24"/>
        <v>16707.070124590162</v>
      </c>
      <c r="U93" s="299">
        <f t="shared" si="29"/>
        <v>2555898.3747</v>
      </c>
      <c r="V93" s="304"/>
      <c r="W93" s="505"/>
      <c r="X93" s="505"/>
      <c r="Y93" s="298">
        <f t="shared" si="31"/>
        <v>0.1</v>
      </c>
      <c r="Z93" s="309"/>
      <c r="AA93" s="306"/>
      <c r="AB93" s="307"/>
      <c r="AC93" s="308" t="str">
        <f>IF(OR(AA93="",AB93=""),"",IF(AB93=$C$7,"Сокращение срока на "&amp;#REF!-#REF!-1&amp;" мес.","Сокращение платежа на "&amp;ROUND(Q93-Q94,2)&amp;" руб."))</f>
        <v/>
      </c>
    </row>
    <row r="94" spans="3:29" x14ac:dyDescent="0.2">
      <c r="C94" s="489"/>
      <c r="D94" s="489"/>
      <c r="E94" s="494"/>
      <c r="F94" s="494">
        <v>80</v>
      </c>
      <c r="G94" s="297">
        <f t="shared" si="17"/>
        <v>2028</v>
      </c>
      <c r="H94" s="297">
        <f t="shared" si="18"/>
        <v>366</v>
      </c>
      <c r="I94" s="488">
        <f t="shared" si="19"/>
        <v>46974</v>
      </c>
      <c r="J94" s="488"/>
      <c r="K94" s="494">
        <f t="shared" si="20"/>
        <v>31</v>
      </c>
      <c r="L94" s="488">
        <f t="shared" si="25"/>
        <v>46996</v>
      </c>
      <c r="M94" s="299">
        <f t="shared" si="30"/>
        <v>2555898.3747</v>
      </c>
      <c r="N94" s="303">
        <f t="shared" si="26"/>
        <v>0.1</v>
      </c>
      <c r="O94" s="299">
        <f t="shared" si="27"/>
        <v>21648.319567131148</v>
      </c>
      <c r="P94" s="299">
        <f t="shared" si="28"/>
        <v>37794</v>
      </c>
      <c r="Q94" s="299">
        <f t="shared" si="21"/>
        <v>37794.313038483175</v>
      </c>
      <c r="R94" s="302">
        <f t="shared" si="22"/>
        <v>37794.313038483175</v>
      </c>
      <c r="S94" s="302">
        <f t="shared" si="23"/>
        <v>21648.319567131148</v>
      </c>
      <c r="T94" s="299">
        <f t="shared" si="24"/>
        <v>16145.680432868852</v>
      </c>
      <c r="U94" s="299">
        <f t="shared" si="29"/>
        <v>2539752.6943000001</v>
      </c>
      <c r="V94" s="304"/>
      <c r="W94" s="505"/>
      <c r="X94" s="505"/>
      <c r="Y94" s="298">
        <f t="shared" si="31"/>
        <v>0.1</v>
      </c>
      <c r="Z94" s="309"/>
      <c r="AA94" s="306"/>
      <c r="AB94" s="307"/>
      <c r="AC94" s="308" t="str">
        <f>IF(OR(AA94="",AB94=""),"",IF(AB94=$C$7,"Сокращение срока на "&amp;#REF!-#REF!-1&amp;" мес.","Сокращение платежа на "&amp;ROUND(Q94-Q95,2)&amp;" руб."))</f>
        <v/>
      </c>
    </row>
    <row r="95" spans="3:29" x14ac:dyDescent="0.2">
      <c r="C95" s="489"/>
      <c r="D95" s="489"/>
      <c r="E95" s="494"/>
      <c r="F95" s="494">
        <v>81</v>
      </c>
      <c r="G95" s="297">
        <f t="shared" si="17"/>
        <v>2028</v>
      </c>
      <c r="H95" s="297">
        <f t="shared" si="18"/>
        <v>366</v>
      </c>
      <c r="I95" s="488">
        <f t="shared" si="19"/>
        <v>47005</v>
      </c>
      <c r="J95" s="488"/>
      <c r="K95" s="494">
        <f t="shared" si="20"/>
        <v>31</v>
      </c>
      <c r="L95" s="488">
        <f t="shared" si="25"/>
        <v>47026</v>
      </c>
      <c r="M95" s="299">
        <f t="shared" si="30"/>
        <v>2539752.6943000001</v>
      </c>
      <c r="N95" s="303">
        <f t="shared" si="26"/>
        <v>0.1</v>
      </c>
      <c r="O95" s="299">
        <f t="shared" si="27"/>
        <v>21511.566536420767</v>
      </c>
      <c r="P95" s="299">
        <f t="shared" si="28"/>
        <v>37794</v>
      </c>
      <c r="Q95" s="299">
        <f t="shared" si="21"/>
        <v>37794.313038483175</v>
      </c>
      <c r="R95" s="302">
        <f t="shared" si="22"/>
        <v>37794.313038483175</v>
      </c>
      <c r="S95" s="302">
        <f t="shared" si="23"/>
        <v>21511.566536420767</v>
      </c>
      <c r="T95" s="299">
        <f t="shared" si="24"/>
        <v>16282.433463579233</v>
      </c>
      <c r="U95" s="299">
        <f t="shared" si="29"/>
        <v>2523470.2607999998</v>
      </c>
      <c r="V95" s="304"/>
      <c r="W95" s="505"/>
      <c r="X95" s="505"/>
      <c r="Y95" s="298">
        <f t="shared" si="31"/>
        <v>0.1</v>
      </c>
      <c r="Z95" s="309"/>
      <c r="AA95" s="306"/>
      <c r="AB95" s="307"/>
      <c r="AC95" s="308" t="str">
        <f>IF(OR(AA95="",AB95=""),"",IF(AB95=$C$7,"Сокращение срока на "&amp;#REF!-#REF!-1&amp;" мес.","Сокращение платежа на "&amp;ROUND(Q95-Q96,2)&amp;" руб."))</f>
        <v/>
      </c>
    </row>
    <row r="96" spans="3:29" x14ac:dyDescent="0.2">
      <c r="C96" s="489"/>
      <c r="D96" s="489"/>
      <c r="E96" s="494"/>
      <c r="F96" s="494">
        <v>82</v>
      </c>
      <c r="G96" s="297">
        <f t="shared" si="17"/>
        <v>2028</v>
      </c>
      <c r="H96" s="297">
        <f t="shared" si="18"/>
        <v>366</v>
      </c>
      <c r="I96" s="488">
        <f t="shared" si="19"/>
        <v>47035</v>
      </c>
      <c r="J96" s="488"/>
      <c r="K96" s="494">
        <f t="shared" si="20"/>
        <v>30</v>
      </c>
      <c r="L96" s="488">
        <f t="shared" si="25"/>
        <v>47057</v>
      </c>
      <c r="M96" s="299">
        <f t="shared" si="30"/>
        <v>2523470.2607999998</v>
      </c>
      <c r="N96" s="303">
        <f t="shared" si="26"/>
        <v>0.1</v>
      </c>
      <c r="O96" s="299">
        <f t="shared" si="27"/>
        <v>20684.182465573769</v>
      </c>
      <c r="P96" s="299">
        <f t="shared" si="28"/>
        <v>37794</v>
      </c>
      <c r="Q96" s="299">
        <f t="shared" si="21"/>
        <v>37794.313038483175</v>
      </c>
      <c r="R96" s="302">
        <f t="shared" si="22"/>
        <v>37794.313038483175</v>
      </c>
      <c r="S96" s="302">
        <f t="shared" si="23"/>
        <v>20684.182465573769</v>
      </c>
      <c r="T96" s="299">
        <f t="shared" si="24"/>
        <v>17109.817534426231</v>
      </c>
      <c r="U96" s="299">
        <f t="shared" si="29"/>
        <v>2506360.4432999999</v>
      </c>
      <c r="V96" s="304"/>
      <c r="W96" s="505"/>
      <c r="X96" s="505"/>
      <c r="Y96" s="298">
        <f t="shared" si="31"/>
        <v>0.1</v>
      </c>
      <c r="Z96" s="309"/>
      <c r="AA96" s="306"/>
      <c r="AB96" s="307"/>
      <c r="AC96" s="308" t="str">
        <f>IF(OR(AA96="",AB96=""),"",IF(AB96=$C$7,"Сокращение срока на "&amp;#REF!-#REF!-1&amp;" мес.","Сокращение платежа на "&amp;ROUND(Q96-Q97,2)&amp;" руб."))</f>
        <v/>
      </c>
    </row>
    <row r="97" spans="3:29" x14ac:dyDescent="0.2">
      <c r="C97" s="489"/>
      <c r="D97" s="489"/>
      <c r="E97" s="494"/>
      <c r="F97" s="494">
        <v>83</v>
      </c>
      <c r="G97" s="297">
        <f t="shared" si="17"/>
        <v>2028</v>
      </c>
      <c r="H97" s="297">
        <f t="shared" si="18"/>
        <v>366</v>
      </c>
      <c r="I97" s="488">
        <f t="shared" si="19"/>
        <v>47066</v>
      </c>
      <c r="J97" s="488"/>
      <c r="K97" s="494">
        <f t="shared" si="20"/>
        <v>31</v>
      </c>
      <c r="L97" s="488">
        <f t="shared" si="25"/>
        <v>47087</v>
      </c>
      <c r="M97" s="299">
        <f t="shared" si="30"/>
        <v>2506360.4432999999</v>
      </c>
      <c r="N97" s="303">
        <f t="shared" si="26"/>
        <v>0.1</v>
      </c>
      <c r="O97" s="299">
        <f t="shared" si="27"/>
        <v>21228.735995163937</v>
      </c>
      <c r="P97" s="299">
        <f t="shared" si="28"/>
        <v>37794</v>
      </c>
      <c r="Q97" s="299">
        <f t="shared" si="21"/>
        <v>37794.313038483175</v>
      </c>
      <c r="R97" s="302">
        <f t="shared" si="22"/>
        <v>37794.313038483175</v>
      </c>
      <c r="S97" s="302">
        <f t="shared" si="23"/>
        <v>21228.735995163937</v>
      </c>
      <c r="T97" s="299">
        <f t="shared" si="24"/>
        <v>16565.264004836063</v>
      </c>
      <c r="U97" s="299">
        <f t="shared" si="29"/>
        <v>2489795.1793</v>
      </c>
      <c r="V97" s="304"/>
      <c r="W97" s="505"/>
      <c r="X97" s="505"/>
      <c r="Y97" s="298">
        <f t="shared" si="31"/>
        <v>0.1</v>
      </c>
      <c r="Z97" s="309"/>
      <c r="AA97" s="306"/>
      <c r="AB97" s="307"/>
      <c r="AC97" s="308" t="str">
        <f>IF(OR(AA97="",AB97=""),"",IF(AB97=$C$7,"Сокращение срока на "&amp;#REF!-#REF!-1&amp;" мес.","Сокращение платежа на "&amp;ROUND(Q97-Q98,2)&amp;" руб."))</f>
        <v/>
      </c>
    </row>
    <row r="98" spans="3:29" x14ac:dyDescent="0.2">
      <c r="C98" s="489"/>
      <c r="D98" s="489"/>
      <c r="E98" s="494"/>
      <c r="F98" s="494">
        <v>84</v>
      </c>
      <c r="G98" s="297">
        <f t="shared" si="17"/>
        <v>2028</v>
      </c>
      <c r="H98" s="297">
        <f t="shared" si="18"/>
        <v>366</v>
      </c>
      <c r="I98" s="488">
        <f t="shared" si="19"/>
        <v>47096</v>
      </c>
      <c r="J98" s="488"/>
      <c r="K98" s="494">
        <f t="shared" si="20"/>
        <v>30</v>
      </c>
      <c r="L98" s="488">
        <f t="shared" si="25"/>
        <v>47118</v>
      </c>
      <c r="M98" s="299">
        <f t="shared" si="30"/>
        <v>2489795.1793</v>
      </c>
      <c r="N98" s="303">
        <f t="shared" si="26"/>
        <v>0.1</v>
      </c>
      <c r="O98" s="299">
        <f t="shared" si="27"/>
        <v>20408.157207377048</v>
      </c>
      <c r="P98" s="299">
        <f t="shared" si="28"/>
        <v>37794</v>
      </c>
      <c r="Q98" s="299">
        <f t="shared" si="21"/>
        <v>37794.313038483175</v>
      </c>
      <c r="R98" s="302">
        <f t="shared" si="22"/>
        <v>37794.313038483175</v>
      </c>
      <c r="S98" s="302">
        <f t="shared" si="23"/>
        <v>20408.157207377048</v>
      </c>
      <c r="T98" s="299">
        <f t="shared" si="24"/>
        <v>17385.842792622952</v>
      </c>
      <c r="U98" s="299">
        <f t="shared" si="29"/>
        <v>2472409.3365000002</v>
      </c>
      <c r="V98" s="304"/>
      <c r="W98" s="505"/>
      <c r="X98" s="505"/>
      <c r="Y98" s="298">
        <f t="shared" si="31"/>
        <v>0.1</v>
      </c>
      <c r="Z98" s="309"/>
      <c r="AA98" s="306"/>
      <c r="AB98" s="307"/>
      <c r="AC98" s="308" t="str">
        <f>IF(OR(AA98="",AB98=""),"",IF(AB98=$C$7,"Сокращение срока на "&amp;#REF!-#REF!-1&amp;" мес.","Сокращение платежа на "&amp;ROUND(Q98-Q99,2)&amp;" руб."))</f>
        <v/>
      </c>
    </row>
    <row r="99" spans="3:29" x14ac:dyDescent="0.2">
      <c r="C99" s="489"/>
      <c r="D99" s="489"/>
      <c r="E99" s="494">
        <f>E88+1</f>
        <v>32</v>
      </c>
      <c r="F99" s="494">
        <v>85</v>
      </c>
      <c r="G99" s="297">
        <f t="shared" si="17"/>
        <v>2029</v>
      </c>
      <c r="H99" s="297">
        <f t="shared" si="18"/>
        <v>365</v>
      </c>
      <c r="I99" s="488">
        <f t="shared" si="19"/>
        <v>47127</v>
      </c>
      <c r="J99" s="488"/>
      <c r="K99" s="494">
        <f t="shared" si="20"/>
        <v>31</v>
      </c>
      <c r="L99" s="488">
        <f t="shared" si="25"/>
        <v>47149</v>
      </c>
      <c r="M99" s="299">
        <f t="shared" si="30"/>
        <v>2472409.3365000002</v>
      </c>
      <c r="N99" s="303">
        <f t="shared" si="26"/>
        <v>0.1</v>
      </c>
      <c r="O99" s="299">
        <f t="shared" si="27"/>
        <v>20998.545049726028</v>
      </c>
      <c r="P99" s="299">
        <f t="shared" si="28"/>
        <v>37794</v>
      </c>
      <c r="Q99" s="299">
        <f t="shared" si="21"/>
        <v>37794.313038483175</v>
      </c>
      <c r="R99" s="302">
        <f t="shared" si="22"/>
        <v>49274.307934495679</v>
      </c>
      <c r="S99" s="302">
        <f t="shared" si="23"/>
        <v>20998.545049726028</v>
      </c>
      <c r="T99" s="299">
        <f t="shared" si="24"/>
        <v>16795.454950273972</v>
      </c>
      <c r="U99" s="299">
        <f t="shared" si="29"/>
        <v>2455613.8815000001</v>
      </c>
      <c r="V99" s="304">
        <f>IF(U99=0,0,((U99*10%+U99)*(W99+X99)))</f>
        <v>11479.994896012502</v>
      </c>
      <c r="W99" s="505">
        <f>INDEX('Тарифы СК'!$B$4:$C$53,MATCH($E$99,'Тарифы СК'!$A$4:$A$53,0),MATCH($AB$3,'Тарифы СК'!$B$3:$C$3,0))</f>
        <v>3.0500000000000002E-3</v>
      </c>
      <c r="X99" s="505">
        <f>'Тарифы СК'!$D$3</f>
        <v>1.1999999999999999E-3</v>
      </c>
      <c r="Y99" s="298">
        <f t="shared" si="31"/>
        <v>0.1</v>
      </c>
      <c r="Z99" s="309"/>
      <c r="AA99" s="306"/>
      <c r="AB99" s="307"/>
      <c r="AC99" s="308" t="str">
        <f>IF(OR(AA99="",AB99=""),"",IF(AB99=$C$7,"Сокращение срока на "&amp;#REF!-#REF!-1&amp;" мес.","Сокращение платежа на "&amp;ROUND(Q99-Q100,2)&amp;" руб."))</f>
        <v/>
      </c>
    </row>
    <row r="100" spans="3:29" x14ac:dyDescent="0.2">
      <c r="C100" s="489"/>
      <c r="D100" s="489"/>
      <c r="E100" s="494"/>
      <c r="F100" s="494">
        <v>86</v>
      </c>
      <c r="G100" s="297">
        <f t="shared" si="17"/>
        <v>2029</v>
      </c>
      <c r="H100" s="297">
        <f t="shared" si="18"/>
        <v>365</v>
      </c>
      <c r="I100" s="488">
        <f t="shared" si="19"/>
        <v>47158</v>
      </c>
      <c r="J100" s="488"/>
      <c r="K100" s="494">
        <f t="shared" si="20"/>
        <v>31</v>
      </c>
      <c r="L100" s="488">
        <f t="shared" si="25"/>
        <v>47177</v>
      </c>
      <c r="M100" s="299">
        <f>U99</f>
        <v>2455613.8815000001</v>
      </c>
      <c r="N100" s="303">
        <f t="shared" si="26"/>
        <v>0.1</v>
      </c>
      <c r="O100" s="299">
        <f t="shared" si="27"/>
        <v>20855.898719589044</v>
      </c>
      <c r="P100" s="299">
        <f t="shared" si="28"/>
        <v>37794</v>
      </c>
      <c r="Q100" s="299">
        <f t="shared" si="21"/>
        <v>37794.313038483175</v>
      </c>
      <c r="R100" s="302">
        <f t="shared" si="22"/>
        <v>37794.313038483175</v>
      </c>
      <c r="S100" s="302">
        <f t="shared" si="23"/>
        <v>20855.898719589044</v>
      </c>
      <c r="T100" s="299">
        <f t="shared" si="24"/>
        <v>16938.101280410956</v>
      </c>
      <c r="U100" s="299">
        <f t="shared" si="29"/>
        <v>2438675.7801999999</v>
      </c>
      <c r="V100" s="304"/>
      <c r="W100" s="505"/>
      <c r="X100" s="505"/>
      <c r="Y100" s="298">
        <f>IF(Z100="",Y99,Z100)</f>
        <v>0.1</v>
      </c>
      <c r="Z100" s="309"/>
      <c r="AA100" s="306"/>
      <c r="AB100" s="307"/>
      <c r="AC100" s="308" t="str">
        <f>IF(OR(AA100="",AB100=""),"",IF(AB100=$C$7,"Сокращение срока на "&amp;#REF!-#REF!-1&amp;" мес.","Сокращение платежа на "&amp;ROUND(Q100-Q101,2)&amp;" руб."))</f>
        <v/>
      </c>
    </row>
    <row r="101" spans="3:29" x14ac:dyDescent="0.2">
      <c r="C101" s="489"/>
      <c r="D101" s="489"/>
      <c r="E101" s="494"/>
      <c r="F101" s="494">
        <v>87</v>
      </c>
      <c r="G101" s="297">
        <f t="shared" si="17"/>
        <v>2029</v>
      </c>
      <c r="H101" s="297">
        <f t="shared" si="18"/>
        <v>365</v>
      </c>
      <c r="I101" s="488">
        <f t="shared" si="19"/>
        <v>47186</v>
      </c>
      <c r="J101" s="488"/>
      <c r="K101" s="494">
        <f t="shared" si="20"/>
        <v>28</v>
      </c>
      <c r="L101" s="488">
        <f t="shared" si="25"/>
        <v>47208</v>
      </c>
      <c r="M101" s="299">
        <f t="shared" si="30"/>
        <v>2438675.7801999999</v>
      </c>
      <c r="N101" s="303">
        <f t="shared" si="26"/>
        <v>0.1</v>
      </c>
      <c r="O101" s="299">
        <f t="shared" si="27"/>
        <v>18707.64982071233</v>
      </c>
      <c r="P101" s="299">
        <f t="shared" si="28"/>
        <v>37794</v>
      </c>
      <c r="Q101" s="299">
        <f t="shared" si="21"/>
        <v>37794.313038483175</v>
      </c>
      <c r="R101" s="302">
        <f t="shared" si="22"/>
        <v>37794.313038483175</v>
      </c>
      <c r="S101" s="302">
        <f t="shared" si="23"/>
        <v>18707.64982071233</v>
      </c>
      <c r="T101" s="299">
        <f t="shared" si="24"/>
        <v>19086.35017928767</v>
      </c>
      <c r="U101" s="299">
        <f t="shared" si="29"/>
        <v>2419589.4300000002</v>
      </c>
      <c r="V101" s="304"/>
      <c r="W101" s="505"/>
      <c r="X101" s="505"/>
      <c r="Y101" s="298">
        <f t="shared" si="31"/>
        <v>0.1</v>
      </c>
      <c r="Z101" s="309"/>
      <c r="AA101" s="306"/>
      <c r="AB101" s="307"/>
      <c r="AC101" s="308" t="str">
        <f>IF(OR(AA101="",AB101=""),"",IF(AB101=$C$7,"Сокращение срока на "&amp;#REF!-#REF!-1&amp;" мес.","Сокращение платежа на "&amp;ROUND(Q101-Q102,2)&amp;" руб."))</f>
        <v/>
      </c>
    </row>
    <row r="102" spans="3:29" x14ac:dyDescent="0.2">
      <c r="C102" s="489"/>
      <c r="D102" s="489"/>
      <c r="E102" s="494"/>
      <c r="F102" s="494">
        <v>88</v>
      </c>
      <c r="G102" s="297">
        <f t="shared" si="17"/>
        <v>2029</v>
      </c>
      <c r="H102" s="297">
        <f t="shared" si="18"/>
        <v>365</v>
      </c>
      <c r="I102" s="488">
        <f t="shared" si="19"/>
        <v>47217</v>
      </c>
      <c r="J102" s="488"/>
      <c r="K102" s="494">
        <f t="shared" si="20"/>
        <v>31</v>
      </c>
      <c r="L102" s="488">
        <f t="shared" si="25"/>
        <v>47238</v>
      </c>
      <c r="M102" s="299">
        <f t="shared" si="30"/>
        <v>2419589.4300000002</v>
      </c>
      <c r="N102" s="303">
        <f t="shared" si="26"/>
        <v>0.1</v>
      </c>
      <c r="O102" s="299">
        <f t="shared" si="27"/>
        <v>20549.937624657534</v>
      </c>
      <c r="P102" s="299">
        <f t="shared" si="28"/>
        <v>37794</v>
      </c>
      <c r="Q102" s="299">
        <f t="shared" si="21"/>
        <v>37794.313038483175</v>
      </c>
      <c r="R102" s="302">
        <f t="shared" si="22"/>
        <v>37794.313038483175</v>
      </c>
      <c r="S102" s="302">
        <f t="shared" si="23"/>
        <v>20549.937624657534</v>
      </c>
      <c r="T102" s="299">
        <f t="shared" si="24"/>
        <v>17244.062375342466</v>
      </c>
      <c r="U102" s="299">
        <f t="shared" si="29"/>
        <v>2402345.3676</v>
      </c>
      <c r="V102" s="304"/>
      <c r="W102" s="505"/>
      <c r="X102" s="505"/>
      <c r="Y102" s="298">
        <f t="shared" si="31"/>
        <v>0.1</v>
      </c>
      <c r="Z102" s="309"/>
      <c r="AA102" s="306"/>
      <c r="AB102" s="307"/>
      <c r="AC102" s="308" t="str">
        <f>IF(OR(AA102="",AB102=""),"",IF(AB102=$C$7,"Сокращение срока на "&amp;#REF!-#REF!-1&amp;" мес.","Сокращение платежа на "&amp;ROUND(Q102-Q103,2)&amp;" руб."))</f>
        <v/>
      </c>
    </row>
    <row r="103" spans="3:29" x14ac:dyDescent="0.2">
      <c r="C103" s="489"/>
      <c r="D103" s="489"/>
      <c r="E103" s="494"/>
      <c r="F103" s="494">
        <v>89</v>
      </c>
      <c r="G103" s="297">
        <f t="shared" si="17"/>
        <v>2029</v>
      </c>
      <c r="H103" s="297">
        <f t="shared" si="18"/>
        <v>365</v>
      </c>
      <c r="I103" s="488">
        <f t="shared" si="19"/>
        <v>47247</v>
      </c>
      <c r="J103" s="488"/>
      <c r="K103" s="494">
        <f t="shared" si="20"/>
        <v>30</v>
      </c>
      <c r="L103" s="488">
        <f t="shared" si="25"/>
        <v>47269</v>
      </c>
      <c r="M103" s="299">
        <f t="shared" si="30"/>
        <v>2402345.3676</v>
      </c>
      <c r="N103" s="303">
        <f t="shared" si="26"/>
        <v>0.1</v>
      </c>
      <c r="O103" s="299">
        <f t="shared" si="27"/>
        <v>19745.304391232876</v>
      </c>
      <c r="P103" s="299">
        <f t="shared" si="28"/>
        <v>37794</v>
      </c>
      <c r="Q103" s="299">
        <f t="shared" si="21"/>
        <v>37794.313038483175</v>
      </c>
      <c r="R103" s="302">
        <f t="shared" si="22"/>
        <v>37794.313038483175</v>
      </c>
      <c r="S103" s="302">
        <f t="shared" si="23"/>
        <v>19745.304391232876</v>
      </c>
      <c r="T103" s="299">
        <f t="shared" si="24"/>
        <v>18048.695608767124</v>
      </c>
      <c r="U103" s="299">
        <f t="shared" si="29"/>
        <v>2384296.6719999998</v>
      </c>
      <c r="V103" s="304"/>
      <c r="W103" s="505"/>
      <c r="X103" s="505"/>
      <c r="Y103" s="298">
        <f t="shared" si="31"/>
        <v>0.1</v>
      </c>
      <c r="Z103" s="309"/>
      <c r="AA103" s="306"/>
      <c r="AB103" s="307"/>
      <c r="AC103" s="308" t="str">
        <f>IF(OR(AA103="",AB103=""),"",IF(AB103=$C$7,"Сокращение срока на "&amp;#REF!-#REF!-1&amp;" мес.","Сокращение платежа на "&amp;ROUND(Q103-Q104,2)&amp;" руб."))</f>
        <v/>
      </c>
    </row>
    <row r="104" spans="3:29" x14ac:dyDescent="0.2">
      <c r="C104" s="489"/>
      <c r="D104" s="489"/>
      <c r="E104" s="494"/>
      <c r="F104" s="494">
        <v>90</v>
      </c>
      <c r="G104" s="297">
        <f t="shared" si="17"/>
        <v>2029</v>
      </c>
      <c r="H104" s="297">
        <f t="shared" si="18"/>
        <v>365</v>
      </c>
      <c r="I104" s="488">
        <f t="shared" si="19"/>
        <v>47278</v>
      </c>
      <c r="J104" s="488"/>
      <c r="K104" s="494">
        <f t="shared" si="20"/>
        <v>31</v>
      </c>
      <c r="L104" s="488">
        <f t="shared" si="25"/>
        <v>47299</v>
      </c>
      <c r="M104" s="299">
        <f t="shared" si="30"/>
        <v>2384296.6719999998</v>
      </c>
      <c r="N104" s="303">
        <f t="shared" si="26"/>
        <v>0.1</v>
      </c>
      <c r="O104" s="299">
        <f t="shared" si="27"/>
        <v>20250.190912876711</v>
      </c>
      <c r="P104" s="299">
        <f t="shared" si="28"/>
        <v>37794</v>
      </c>
      <c r="Q104" s="299">
        <f t="shared" si="21"/>
        <v>37794.313038483175</v>
      </c>
      <c r="R104" s="302">
        <f t="shared" si="22"/>
        <v>37794.313038483175</v>
      </c>
      <c r="S104" s="302">
        <f t="shared" si="23"/>
        <v>20250.190912876711</v>
      </c>
      <c r="T104" s="299">
        <f t="shared" si="24"/>
        <v>17543.809087123289</v>
      </c>
      <c r="U104" s="299">
        <f t="shared" si="29"/>
        <v>2366752.8629000001</v>
      </c>
      <c r="V104" s="304"/>
      <c r="W104" s="505"/>
      <c r="X104" s="505"/>
      <c r="Y104" s="298">
        <f t="shared" si="31"/>
        <v>0.1</v>
      </c>
      <c r="Z104" s="309"/>
      <c r="AA104" s="306"/>
      <c r="AB104" s="307"/>
      <c r="AC104" s="308" t="str">
        <f>IF(OR(AA104="",AB104=""),"",IF(AB104=$C$7,"Сокращение срока на "&amp;#REF!-#REF!-1&amp;" мес.","Сокращение платежа на "&amp;ROUND(Q104-Q105,2)&amp;" руб."))</f>
        <v/>
      </c>
    </row>
    <row r="105" spans="3:29" x14ac:dyDescent="0.2">
      <c r="C105" s="489"/>
      <c r="D105" s="489"/>
      <c r="E105" s="494"/>
      <c r="F105" s="494">
        <v>91</v>
      </c>
      <c r="G105" s="297">
        <f t="shared" si="17"/>
        <v>2029</v>
      </c>
      <c r="H105" s="297">
        <f t="shared" si="18"/>
        <v>365</v>
      </c>
      <c r="I105" s="488">
        <f t="shared" si="19"/>
        <v>47308</v>
      </c>
      <c r="J105" s="488"/>
      <c r="K105" s="494">
        <f t="shared" si="20"/>
        <v>30</v>
      </c>
      <c r="L105" s="488">
        <f t="shared" si="25"/>
        <v>47330</v>
      </c>
      <c r="M105" s="299">
        <f t="shared" si="30"/>
        <v>2366752.8629000001</v>
      </c>
      <c r="N105" s="303">
        <f t="shared" si="26"/>
        <v>0.1</v>
      </c>
      <c r="O105" s="299">
        <f t="shared" si="27"/>
        <v>19452.763256712329</v>
      </c>
      <c r="P105" s="299">
        <f t="shared" si="28"/>
        <v>37794</v>
      </c>
      <c r="Q105" s="299">
        <f t="shared" si="21"/>
        <v>37794.313038483175</v>
      </c>
      <c r="R105" s="302">
        <f t="shared" si="22"/>
        <v>37794.313038483175</v>
      </c>
      <c r="S105" s="302">
        <f t="shared" si="23"/>
        <v>19452.763256712329</v>
      </c>
      <c r="T105" s="299">
        <f t="shared" si="24"/>
        <v>18341.236743287671</v>
      </c>
      <c r="U105" s="299">
        <f t="shared" si="29"/>
        <v>2348411.6261999998</v>
      </c>
      <c r="V105" s="304"/>
      <c r="W105" s="505"/>
      <c r="X105" s="505"/>
      <c r="Y105" s="298">
        <f t="shared" si="31"/>
        <v>0.1</v>
      </c>
      <c r="Z105" s="309"/>
      <c r="AA105" s="306"/>
      <c r="AB105" s="307"/>
      <c r="AC105" s="308" t="str">
        <f>IF(OR(AA105="",AB105=""),"",IF(AB105=$C$7,"Сокращение срока на "&amp;#REF!-#REF!-1&amp;" мес.","Сокращение платежа на "&amp;ROUND(Q105-Q106,2)&amp;" руб."))</f>
        <v/>
      </c>
    </row>
    <row r="106" spans="3:29" x14ac:dyDescent="0.2">
      <c r="C106" s="489"/>
      <c r="D106" s="489"/>
      <c r="E106" s="494"/>
      <c r="F106" s="494">
        <v>92</v>
      </c>
      <c r="G106" s="297">
        <f t="shared" si="17"/>
        <v>2029</v>
      </c>
      <c r="H106" s="297">
        <f t="shared" si="18"/>
        <v>365</v>
      </c>
      <c r="I106" s="488">
        <f t="shared" si="19"/>
        <v>47339</v>
      </c>
      <c r="J106" s="488"/>
      <c r="K106" s="494">
        <f t="shared" si="20"/>
        <v>31</v>
      </c>
      <c r="L106" s="488">
        <f t="shared" si="25"/>
        <v>47361</v>
      </c>
      <c r="M106" s="299">
        <f t="shared" si="30"/>
        <v>2348411.6261999998</v>
      </c>
      <c r="N106" s="303">
        <f t="shared" si="26"/>
        <v>0.1</v>
      </c>
      <c r="O106" s="299">
        <f t="shared" si="27"/>
        <v>19945.413811561641</v>
      </c>
      <c r="P106" s="299">
        <f t="shared" si="28"/>
        <v>37794</v>
      </c>
      <c r="Q106" s="299">
        <f t="shared" si="21"/>
        <v>37794.313038483175</v>
      </c>
      <c r="R106" s="302">
        <f t="shared" si="22"/>
        <v>37794.313038483175</v>
      </c>
      <c r="S106" s="302">
        <f t="shared" si="23"/>
        <v>19945.413811561641</v>
      </c>
      <c r="T106" s="299">
        <f t="shared" si="24"/>
        <v>17848.586188438359</v>
      </c>
      <c r="U106" s="299">
        <f t="shared" si="29"/>
        <v>2330563.04</v>
      </c>
      <c r="V106" s="304"/>
      <c r="W106" s="505"/>
      <c r="X106" s="505"/>
      <c r="Y106" s="298">
        <f t="shared" si="31"/>
        <v>0.1</v>
      </c>
      <c r="Z106" s="309"/>
      <c r="AA106" s="306"/>
      <c r="AB106" s="307"/>
      <c r="AC106" s="308" t="str">
        <f>IF(OR(AA106="",AB106=""),"",IF(AB106=$C$7,"Сокращение срока на "&amp;#REF!-#REF!-1&amp;" мес.","Сокращение платежа на "&amp;ROUND(Q106-Q107,2)&amp;" руб."))</f>
        <v/>
      </c>
    </row>
    <row r="107" spans="3:29" x14ac:dyDescent="0.2">
      <c r="C107" s="489"/>
      <c r="D107" s="489"/>
      <c r="E107" s="494"/>
      <c r="F107" s="494">
        <v>93</v>
      </c>
      <c r="G107" s="297">
        <f t="shared" si="17"/>
        <v>2029</v>
      </c>
      <c r="H107" s="297">
        <f t="shared" si="18"/>
        <v>365</v>
      </c>
      <c r="I107" s="488">
        <f t="shared" si="19"/>
        <v>47370</v>
      </c>
      <c r="J107" s="488"/>
      <c r="K107" s="494">
        <f t="shared" si="20"/>
        <v>31</v>
      </c>
      <c r="L107" s="488">
        <f t="shared" si="25"/>
        <v>47391</v>
      </c>
      <c r="M107" s="299">
        <f t="shared" si="30"/>
        <v>2330563.04</v>
      </c>
      <c r="N107" s="303">
        <f t="shared" si="26"/>
        <v>0.1</v>
      </c>
      <c r="O107" s="299">
        <f t="shared" si="27"/>
        <v>19793.823079452057</v>
      </c>
      <c r="P107" s="299">
        <f t="shared" si="28"/>
        <v>37794</v>
      </c>
      <c r="Q107" s="299">
        <f t="shared" si="21"/>
        <v>37794.313038483175</v>
      </c>
      <c r="R107" s="302">
        <f t="shared" si="22"/>
        <v>37794.313038483175</v>
      </c>
      <c r="S107" s="302">
        <f t="shared" si="23"/>
        <v>19793.823079452057</v>
      </c>
      <c r="T107" s="299">
        <f t="shared" si="24"/>
        <v>18000.176920547943</v>
      </c>
      <c r="U107" s="299">
        <f t="shared" si="29"/>
        <v>2312562.8631000002</v>
      </c>
      <c r="V107" s="304"/>
      <c r="W107" s="505"/>
      <c r="X107" s="505"/>
      <c r="Y107" s="298">
        <f t="shared" si="31"/>
        <v>0.1</v>
      </c>
      <c r="Z107" s="309"/>
      <c r="AA107" s="306"/>
      <c r="AB107" s="307"/>
      <c r="AC107" s="308" t="str">
        <f>IF(OR(AA107="",AB107=""),"",IF(AB107=$C$7,"Сокращение срока на "&amp;#REF!-#REF!-1&amp;" мес.","Сокращение платежа на "&amp;ROUND(Q107-Q108,2)&amp;" руб."))</f>
        <v/>
      </c>
    </row>
    <row r="108" spans="3:29" x14ac:dyDescent="0.2">
      <c r="C108" s="489"/>
      <c r="D108" s="489"/>
      <c r="E108" s="494"/>
      <c r="F108" s="494">
        <v>94</v>
      </c>
      <c r="G108" s="297">
        <f t="shared" si="17"/>
        <v>2029</v>
      </c>
      <c r="H108" s="297">
        <f t="shared" si="18"/>
        <v>365</v>
      </c>
      <c r="I108" s="488">
        <f t="shared" si="19"/>
        <v>47400</v>
      </c>
      <c r="J108" s="488"/>
      <c r="K108" s="494">
        <f t="shared" si="20"/>
        <v>30</v>
      </c>
      <c r="L108" s="488">
        <f t="shared" si="25"/>
        <v>47422</v>
      </c>
      <c r="M108" s="299">
        <f t="shared" si="30"/>
        <v>2312562.8631000002</v>
      </c>
      <c r="N108" s="303">
        <f t="shared" si="26"/>
        <v>0.1</v>
      </c>
      <c r="O108" s="299">
        <f t="shared" si="27"/>
        <v>19007.365998082194</v>
      </c>
      <c r="P108" s="299">
        <f t="shared" si="28"/>
        <v>37794</v>
      </c>
      <c r="Q108" s="299">
        <f t="shared" si="21"/>
        <v>37794.313038483175</v>
      </c>
      <c r="R108" s="302">
        <f t="shared" si="22"/>
        <v>37794.313038483175</v>
      </c>
      <c r="S108" s="302">
        <f t="shared" si="23"/>
        <v>19007.365998082194</v>
      </c>
      <c r="T108" s="299">
        <f t="shared" si="24"/>
        <v>18786.634001917806</v>
      </c>
      <c r="U108" s="299">
        <f t="shared" si="29"/>
        <v>2293776.2291000001</v>
      </c>
      <c r="V108" s="304"/>
      <c r="W108" s="505"/>
      <c r="X108" s="505"/>
      <c r="Y108" s="298">
        <f t="shared" si="31"/>
        <v>0.1</v>
      </c>
      <c r="Z108" s="309"/>
      <c r="AA108" s="306"/>
      <c r="AB108" s="307"/>
      <c r="AC108" s="308" t="str">
        <f>IF(OR(AA108="",AB108=""),"",IF(AB108=$C$7,"Сокращение срока на "&amp;#REF!-#REF!-1&amp;" мес.","Сокращение платежа на "&amp;ROUND(Q108-Q109,2)&amp;" руб."))</f>
        <v/>
      </c>
    </row>
    <row r="109" spans="3:29" x14ac:dyDescent="0.2">
      <c r="C109" s="489"/>
      <c r="D109" s="489"/>
      <c r="E109" s="494"/>
      <c r="F109" s="494">
        <v>95</v>
      </c>
      <c r="G109" s="297">
        <f t="shared" si="17"/>
        <v>2029</v>
      </c>
      <c r="H109" s="297">
        <f t="shared" si="18"/>
        <v>365</v>
      </c>
      <c r="I109" s="488">
        <f t="shared" si="19"/>
        <v>47431</v>
      </c>
      <c r="J109" s="488"/>
      <c r="K109" s="494">
        <f t="shared" si="20"/>
        <v>31</v>
      </c>
      <c r="L109" s="488">
        <f t="shared" si="25"/>
        <v>47452</v>
      </c>
      <c r="M109" s="299">
        <f t="shared" si="30"/>
        <v>2293776.2291000001</v>
      </c>
      <c r="N109" s="303">
        <f t="shared" si="26"/>
        <v>0.1</v>
      </c>
      <c r="O109" s="299">
        <f t="shared" si="27"/>
        <v>19481.387151260275</v>
      </c>
      <c r="P109" s="299">
        <f t="shared" si="28"/>
        <v>37794</v>
      </c>
      <c r="Q109" s="299">
        <f t="shared" si="21"/>
        <v>37794.313038483175</v>
      </c>
      <c r="R109" s="302">
        <f t="shared" si="22"/>
        <v>37794.313038483175</v>
      </c>
      <c r="S109" s="302">
        <f t="shared" si="23"/>
        <v>19481.387151260275</v>
      </c>
      <c r="T109" s="299">
        <f t="shared" si="24"/>
        <v>18312.612848739725</v>
      </c>
      <c r="U109" s="299">
        <f t="shared" si="29"/>
        <v>2275463.6162999999</v>
      </c>
      <c r="V109" s="304"/>
      <c r="W109" s="505"/>
      <c r="X109" s="505"/>
      <c r="Y109" s="298">
        <f t="shared" si="31"/>
        <v>0.1</v>
      </c>
      <c r="Z109" s="309"/>
      <c r="AA109" s="306"/>
      <c r="AB109" s="307"/>
      <c r="AC109" s="308" t="str">
        <f>IF(OR(AA109="",AB109=""),"",IF(AB109=$C$7,"Сокращение срока на "&amp;#REF!-#REF!-1&amp;" мес.","Сокращение платежа на "&amp;ROUND(Q109-Q110,2)&amp;" руб."))</f>
        <v/>
      </c>
    </row>
    <row r="110" spans="3:29" x14ac:dyDescent="0.2">
      <c r="C110" s="489"/>
      <c r="D110" s="489"/>
      <c r="E110" s="494"/>
      <c r="F110" s="494">
        <v>96</v>
      </c>
      <c r="G110" s="297">
        <f t="shared" si="17"/>
        <v>2029</v>
      </c>
      <c r="H110" s="297">
        <f t="shared" si="18"/>
        <v>365</v>
      </c>
      <c r="I110" s="488">
        <f t="shared" si="19"/>
        <v>47461</v>
      </c>
      <c r="J110" s="488"/>
      <c r="K110" s="494">
        <f t="shared" si="20"/>
        <v>30</v>
      </c>
      <c r="L110" s="488">
        <f t="shared" si="25"/>
        <v>47483</v>
      </c>
      <c r="M110" s="299">
        <f t="shared" si="30"/>
        <v>2275463.6162999999</v>
      </c>
      <c r="N110" s="303">
        <f t="shared" si="26"/>
        <v>0.1</v>
      </c>
      <c r="O110" s="299">
        <f t="shared" si="27"/>
        <v>18702.440681917808</v>
      </c>
      <c r="P110" s="299">
        <f t="shared" si="28"/>
        <v>37794</v>
      </c>
      <c r="Q110" s="299">
        <f t="shared" si="21"/>
        <v>37794.313038483175</v>
      </c>
      <c r="R110" s="302">
        <f t="shared" si="22"/>
        <v>37794.313038483175</v>
      </c>
      <c r="S110" s="302">
        <f t="shared" si="23"/>
        <v>18702.440681917808</v>
      </c>
      <c r="T110" s="299">
        <f t="shared" si="24"/>
        <v>19091.559318082192</v>
      </c>
      <c r="U110" s="299">
        <f t="shared" si="29"/>
        <v>2256372.057</v>
      </c>
      <c r="V110" s="304"/>
      <c r="W110" s="505"/>
      <c r="X110" s="505"/>
      <c r="Y110" s="298">
        <f t="shared" si="31"/>
        <v>0.1</v>
      </c>
      <c r="Z110" s="309"/>
      <c r="AA110" s="306"/>
      <c r="AB110" s="307"/>
      <c r="AC110" s="308" t="str">
        <f>IF(OR(AA110="",AB110=""),"",IF(AB110=$C$7,"Сокращение срока на "&amp;#REF!-#REF!-1&amp;" мес.","Сокращение платежа на "&amp;ROUND(Q110-Q111,2)&amp;" руб."))</f>
        <v/>
      </c>
    </row>
    <row r="111" spans="3:29" x14ac:dyDescent="0.2">
      <c r="C111" s="489"/>
      <c r="D111" s="489"/>
      <c r="E111" s="494">
        <f>E99+1</f>
        <v>33</v>
      </c>
      <c r="F111" s="494">
        <v>97</v>
      </c>
      <c r="G111" s="297">
        <f t="shared" si="17"/>
        <v>2030</v>
      </c>
      <c r="H111" s="297">
        <f t="shared" si="18"/>
        <v>365</v>
      </c>
      <c r="I111" s="488">
        <f t="shared" si="19"/>
        <v>47492</v>
      </c>
      <c r="J111" s="488"/>
      <c r="K111" s="494">
        <f t="shared" si="20"/>
        <v>31</v>
      </c>
      <c r="L111" s="488">
        <f t="shared" si="25"/>
        <v>47514</v>
      </c>
      <c r="M111" s="299">
        <f t="shared" si="30"/>
        <v>2256372.057</v>
      </c>
      <c r="N111" s="303">
        <f t="shared" si="26"/>
        <v>0.1</v>
      </c>
      <c r="O111" s="299">
        <f t="shared" si="27"/>
        <v>19163.707881369864</v>
      </c>
      <c r="P111" s="299">
        <f t="shared" si="28"/>
        <v>37794</v>
      </c>
      <c r="Q111" s="299">
        <f t="shared" si="21"/>
        <v>37794.313038483175</v>
      </c>
      <c r="R111" s="302">
        <f t="shared" si="22"/>
        <v>48452.677064701871</v>
      </c>
      <c r="S111" s="302">
        <f t="shared" si="23"/>
        <v>19163.707881369864</v>
      </c>
      <c r="T111" s="299">
        <f t="shared" si="24"/>
        <v>18630.292118630136</v>
      </c>
      <c r="U111" s="299">
        <f t="shared" si="29"/>
        <v>2237741.7648999998</v>
      </c>
      <c r="V111" s="304">
        <f>IF(U111=0,0,((U111*10%+U111)*(W111+X111)))</f>
        <v>10658.364026218698</v>
      </c>
      <c r="W111" s="505">
        <f>INDEX('Тарифы СК'!$B$4:$C$53,MATCH($E$111,'Тарифы СК'!$A$4:$A$53,0),MATCH($AB$3,'Тарифы СК'!$B$3:$C$3,0))</f>
        <v>3.13E-3</v>
      </c>
      <c r="X111" s="505">
        <f>'Тарифы СК'!$D$3</f>
        <v>1.1999999999999999E-3</v>
      </c>
      <c r="Y111" s="298">
        <f t="shared" si="31"/>
        <v>0.1</v>
      </c>
      <c r="Z111" s="309"/>
      <c r="AA111" s="306"/>
      <c r="AB111" s="307"/>
      <c r="AC111" s="308" t="str">
        <f>IF(OR(AA111="",AB111=""),"",IF(AB111=$C$7,"Сокращение срока на "&amp;#REF!-#REF!-1&amp;" мес.","Сокращение платежа на "&amp;ROUND(Q111-Q112,2)&amp;" руб."))</f>
        <v/>
      </c>
    </row>
    <row r="112" spans="3:29" x14ac:dyDescent="0.2">
      <c r="C112" s="489"/>
      <c r="D112" s="489"/>
      <c r="E112" s="494"/>
      <c r="F112" s="494">
        <v>98</v>
      </c>
      <c r="G112" s="297">
        <f t="shared" si="17"/>
        <v>2030</v>
      </c>
      <c r="H112" s="297">
        <f t="shared" si="18"/>
        <v>365</v>
      </c>
      <c r="I112" s="488">
        <f t="shared" si="19"/>
        <v>47523</v>
      </c>
      <c r="J112" s="488"/>
      <c r="K112" s="494">
        <f t="shared" si="20"/>
        <v>31</v>
      </c>
      <c r="L112" s="488">
        <f t="shared" si="25"/>
        <v>47542</v>
      </c>
      <c r="M112" s="299">
        <f>U111</f>
        <v>2237741.7648999998</v>
      </c>
      <c r="N112" s="303">
        <f t="shared" si="26"/>
        <v>0.1</v>
      </c>
      <c r="O112" s="299">
        <f t="shared" si="27"/>
        <v>19005.478003260272</v>
      </c>
      <c r="P112" s="299">
        <f t="shared" si="28"/>
        <v>37794</v>
      </c>
      <c r="Q112" s="299">
        <f t="shared" si="21"/>
        <v>37794.313038483175</v>
      </c>
      <c r="R112" s="302">
        <f t="shared" si="22"/>
        <v>37794.313038483175</v>
      </c>
      <c r="S112" s="302">
        <f t="shared" si="23"/>
        <v>19005.478003260272</v>
      </c>
      <c r="T112" s="299">
        <f t="shared" si="24"/>
        <v>18788.521996739728</v>
      </c>
      <c r="U112" s="299">
        <f t="shared" si="29"/>
        <v>2218953.2429</v>
      </c>
      <c r="V112" s="304"/>
      <c r="W112" s="505"/>
      <c r="X112" s="505"/>
      <c r="Y112" s="298">
        <f>IF(Z112="",Y111,Z112)</f>
        <v>0.1</v>
      </c>
      <c r="Z112" s="309"/>
      <c r="AA112" s="306"/>
      <c r="AB112" s="307"/>
      <c r="AC112" s="308" t="str">
        <f>IF(OR(AA112="",AB112=""),"",IF(AB112=$C$7,"Сокращение срока на "&amp;#REF!-#REF!-1&amp;" мес.","Сокращение платежа на "&amp;ROUND(Q112-Q113,2)&amp;" руб."))</f>
        <v/>
      </c>
    </row>
    <row r="113" spans="3:29" x14ac:dyDescent="0.2">
      <c r="C113" s="489"/>
      <c r="D113" s="489"/>
      <c r="E113" s="494"/>
      <c r="F113" s="494">
        <v>99</v>
      </c>
      <c r="G113" s="297">
        <f t="shared" si="17"/>
        <v>2030</v>
      </c>
      <c r="H113" s="297">
        <f t="shared" si="18"/>
        <v>365</v>
      </c>
      <c r="I113" s="488">
        <f t="shared" si="19"/>
        <v>47551</v>
      </c>
      <c r="J113" s="488"/>
      <c r="K113" s="494">
        <f t="shared" si="20"/>
        <v>28</v>
      </c>
      <c r="L113" s="488">
        <f t="shared" si="25"/>
        <v>47573</v>
      </c>
      <c r="M113" s="299">
        <f t="shared" si="30"/>
        <v>2218953.2429</v>
      </c>
      <c r="N113" s="303">
        <f t="shared" si="26"/>
        <v>0.1</v>
      </c>
      <c r="O113" s="299">
        <f t="shared" ref="O113:O144" si="32">M113*N113/H113*K113</f>
        <v>17022.107068821919</v>
      </c>
      <c r="P113" s="299">
        <f t="shared" si="28"/>
        <v>37794</v>
      </c>
      <c r="Q113" s="299">
        <f t="shared" si="21"/>
        <v>37794.313038483175</v>
      </c>
      <c r="R113" s="302">
        <f t="shared" si="22"/>
        <v>37794.313038483175</v>
      </c>
      <c r="S113" s="302">
        <f t="shared" si="23"/>
        <v>17022.107068821919</v>
      </c>
      <c r="T113" s="299">
        <f t="shared" si="24"/>
        <v>20771.892931178081</v>
      </c>
      <c r="U113" s="299">
        <f t="shared" si="29"/>
        <v>2198181.35</v>
      </c>
      <c r="V113" s="304"/>
      <c r="W113" s="505"/>
      <c r="X113" s="505"/>
      <c r="Y113" s="298">
        <f t="shared" si="31"/>
        <v>0.1</v>
      </c>
      <c r="Z113" s="309"/>
      <c r="AA113" s="306"/>
      <c r="AB113" s="307"/>
      <c r="AC113" s="308" t="str">
        <f>IF(OR(AA113="",AB113=""),"",IF(AB113=$C$7,"Сокращение срока на "&amp;#REF!-#REF!-1&amp;" мес.","Сокращение платежа на "&amp;ROUND(Q113-Q114,2)&amp;" руб."))</f>
        <v/>
      </c>
    </row>
    <row r="114" spans="3:29" x14ac:dyDescent="0.2">
      <c r="C114" s="489"/>
      <c r="D114" s="489"/>
      <c r="E114" s="494"/>
      <c r="F114" s="494">
        <v>100</v>
      </c>
      <c r="G114" s="297">
        <f t="shared" si="17"/>
        <v>2030</v>
      </c>
      <c r="H114" s="297">
        <f t="shared" si="18"/>
        <v>365</v>
      </c>
      <c r="I114" s="488">
        <f t="shared" si="19"/>
        <v>47582</v>
      </c>
      <c r="J114" s="488"/>
      <c r="K114" s="494">
        <f t="shared" si="20"/>
        <v>31</v>
      </c>
      <c r="L114" s="488">
        <f t="shared" si="25"/>
        <v>47603</v>
      </c>
      <c r="M114" s="299">
        <f t="shared" si="30"/>
        <v>2198181.35</v>
      </c>
      <c r="N114" s="303">
        <f t="shared" si="26"/>
        <v>0.1</v>
      </c>
      <c r="O114" s="299">
        <f t="shared" si="32"/>
        <v>18669.485438356165</v>
      </c>
      <c r="P114" s="299">
        <f t="shared" si="28"/>
        <v>37794</v>
      </c>
      <c r="Q114" s="299">
        <f t="shared" si="21"/>
        <v>37794.313038483175</v>
      </c>
      <c r="R114" s="302">
        <f t="shared" si="22"/>
        <v>37794.313038483175</v>
      </c>
      <c r="S114" s="302">
        <f t="shared" si="23"/>
        <v>18669.485438356165</v>
      </c>
      <c r="T114" s="299">
        <f t="shared" si="24"/>
        <v>19124.514561643835</v>
      </c>
      <c r="U114" s="299">
        <f t="shared" si="29"/>
        <v>2179056.8354000002</v>
      </c>
      <c r="V114" s="304"/>
      <c r="W114" s="505"/>
      <c r="X114" s="505"/>
      <c r="Y114" s="298">
        <f t="shared" si="31"/>
        <v>0.1</v>
      </c>
      <c r="Z114" s="309"/>
      <c r="AA114" s="306"/>
      <c r="AB114" s="307"/>
      <c r="AC114" s="308" t="str">
        <f>IF(OR(AA114="",AB114=""),"",IF(AB114=$C$7,"Сокращение срока на "&amp;#REF!-#REF!-1&amp;" мес.","Сокращение платежа на "&amp;ROUND(Q114-Q115,2)&amp;" руб."))</f>
        <v/>
      </c>
    </row>
    <row r="115" spans="3:29" x14ac:dyDescent="0.2">
      <c r="C115" s="489"/>
      <c r="D115" s="489"/>
      <c r="E115" s="494"/>
      <c r="F115" s="494">
        <v>101</v>
      </c>
      <c r="G115" s="297">
        <f t="shared" si="17"/>
        <v>2030</v>
      </c>
      <c r="H115" s="297">
        <f t="shared" si="18"/>
        <v>365</v>
      </c>
      <c r="I115" s="488">
        <f t="shared" si="19"/>
        <v>47612</v>
      </c>
      <c r="J115" s="488"/>
      <c r="K115" s="494">
        <f t="shared" si="20"/>
        <v>30</v>
      </c>
      <c r="L115" s="488">
        <f t="shared" si="25"/>
        <v>47634</v>
      </c>
      <c r="M115" s="299">
        <f t="shared" si="30"/>
        <v>2179056.8354000002</v>
      </c>
      <c r="N115" s="303">
        <f t="shared" si="26"/>
        <v>0.1</v>
      </c>
      <c r="O115" s="299">
        <f t="shared" si="32"/>
        <v>17910.056181369866</v>
      </c>
      <c r="P115" s="299">
        <f t="shared" si="28"/>
        <v>37794</v>
      </c>
      <c r="Q115" s="299">
        <f t="shared" si="21"/>
        <v>37794.313038483175</v>
      </c>
      <c r="R115" s="302">
        <f t="shared" si="22"/>
        <v>37794.313038483175</v>
      </c>
      <c r="S115" s="302">
        <f t="shared" si="23"/>
        <v>17910.056181369866</v>
      </c>
      <c r="T115" s="299">
        <f t="shared" si="24"/>
        <v>19883.943818630134</v>
      </c>
      <c r="U115" s="299">
        <f t="shared" si="29"/>
        <v>2159172.8916000002</v>
      </c>
      <c r="V115" s="304"/>
      <c r="W115" s="505"/>
      <c r="X115" s="505"/>
      <c r="Y115" s="298">
        <f t="shared" si="31"/>
        <v>0.1</v>
      </c>
      <c r="Z115" s="309"/>
      <c r="AA115" s="306"/>
      <c r="AB115" s="307"/>
      <c r="AC115" s="308" t="str">
        <f>IF(OR(AA115="",AB115=""),"",IF(AB115=$C$7,"Сокращение срока на "&amp;#REF!-#REF!-1&amp;" мес.","Сокращение платежа на "&amp;ROUND(Q115-Q116,2)&amp;" руб."))</f>
        <v/>
      </c>
    </row>
    <row r="116" spans="3:29" x14ac:dyDescent="0.2">
      <c r="C116" s="489"/>
      <c r="D116" s="489"/>
      <c r="E116" s="494"/>
      <c r="F116" s="494">
        <v>102</v>
      </c>
      <c r="G116" s="297">
        <f t="shared" si="17"/>
        <v>2030</v>
      </c>
      <c r="H116" s="297">
        <f t="shared" si="18"/>
        <v>365</v>
      </c>
      <c r="I116" s="488">
        <f t="shared" si="19"/>
        <v>47643</v>
      </c>
      <c r="J116" s="488"/>
      <c r="K116" s="494">
        <f t="shared" si="20"/>
        <v>31</v>
      </c>
      <c r="L116" s="488">
        <f t="shared" si="25"/>
        <v>47664</v>
      </c>
      <c r="M116" s="299">
        <f t="shared" si="30"/>
        <v>2159172.8916000002</v>
      </c>
      <c r="N116" s="303">
        <f t="shared" si="26"/>
        <v>0.1</v>
      </c>
      <c r="O116" s="299">
        <f t="shared" si="32"/>
        <v>18338.180723178084</v>
      </c>
      <c r="P116" s="299">
        <f t="shared" si="28"/>
        <v>37794</v>
      </c>
      <c r="Q116" s="299">
        <f t="shared" si="21"/>
        <v>37794.313038483175</v>
      </c>
      <c r="R116" s="302">
        <f t="shared" si="22"/>
        <v>37794.313038483175</v>
      </c>
      <c r="S116" s="302">
        <f t="shared" si="23"/>
        <v>18338.180723178084</v>
      </c>
      <c r="T116" s="299">
        <f t="shared" si="24"/>
        <v>19455.819276821916</v>
      </c>
      <c r="U116" s="299">
        <f t="shared" si="29"/>
        <v>2139717.0723000001</v>
      </c>
      <c r="V116" s="304"/>
      <c r="W116" s="505"/>
      <c r="X116" s="505"/>
      <c r="Y116" s="298">
        <f t="shared" si="31"/>
        <v>0.1</v>
      </c>
      <c r="Z116" s="309"/>
      <c r="AA116" s="306"/>
      <c r="AB116" s="307"/>
      <c r="AC116" s="308" t="str">
        <f>IF(OR(AA116="",AB116=""),"",IF(AB116=$C$7,"Сокращение срока на "&amp;#REF!-#REF!-1&amp;" мес.","Сокращение платежа на "&amp;ROUND(Q116-Q117,2)&amp;" руб."))</f>
        <v/>
      </c>
    </row>
    <row r="117" spans="3:29" x14ac:dyDescent="0.2">
      <c r="C117" s="489"/>
      <c r="D117" s="489"/>
      <c r="E117" s="494"/>
      <c r="F117" s="494">
        <v>103</v>
      </c>
      <c r="G117" s="297">
        <f t="shared" si="17"/>
        <v>2030</v>
      </c>
      <c r="H117" s="297">
        <f t="shared" si="18"/>
        <v>365</v>
      </c>
      <c r="I117" s="488">
        <f t="shared" si="19"/>
        <v>47673</v>
      </c>
      <c r="J117" s="488"/>
      <c r="K117" s="494">
        <f t="shared" si="20"/>
        <v>30</v>
      </c>
      <c r="L117" s="488">
        <f t="shared" si="25"/>
        <v>47695</v>
      </c>
      <c r="M117" s="299">
        <f t="shared" si="30"/>
        <v>2139717.0723000001</v>
      </c>
      <c r="N117" s="303">
        <f t="shared" si="26"/>
        <v>0.1</v>
      </c>
      <c r="O117" s="299">
        <f t="shared" si="32"/>
        <v>17586.715662739727</v>
      </c>
      <c r="P117" s="299">
        <f t="shared" si="28"/>
        <v>37794</v>
      </c>
      <c r="Q117" s="299">
        <f t="shared" si="21"/>
        <v>37794.313038483175</v>
      </c>
      <c r="R117" s="302">
        <f t="shared" si="22"/>
        <v>37794.313038483175</v>
      </c>
      <c r="S117" s="302">
        <f t="shared" si="23"/>
        <v>17586.715662739727</v>
      </c>
      <c r="T117" s="299">
        <f t="shared" si="24"/>
        <v>20207.284337260273</v>
      </c>
      <c r="U117" s="299">
        <f t="shared" si="29"/>
        <v>2119509.7880000002</v>
      </c>
      <c r="V117" s="304"/>
      <c r="W117" s="505"/>
      <c r="X117" s="505"/>
      <c r="Y117" s="298">
        <f t="shared" si="31"/>
        <v>0.1</v>
      </c>
      <c r="Z117" s="309"/>
      <c r="AA117" s="306"/>
      <c r="AB117" s="307"/>
      <c r="AC117" s="308" t="str">
        <f>IF(OR(AA117="",AB117=""),"",IF(AB117=$C$7,"Сокращение срока на "&amp;#REF!-#REF!-1&amp;" мес.","Сокращение платежа на "&amp;ROUND(Q117-Q118,2)&amp;" руб."))</f>
        <v/>
      </c>
    </row>
    <row r="118" spans="3:29" x14ac:dyDescent="0.2">
      <c r="C118" s="489"/>
      <c r="D118" s="489"/>
      <c r="E118" s="494"/>
      <c r="F118" s="494">
        <v>104</v>
      </c>
      <c r="G118" s="297">
        <f t="shared" si="17"/>
        <v>2030</v>
      </c>
      <c r="H118" s="297">
        <f t="shared" si="18"/>
        <v>365</v>
      </c>
      <c r="I118" s="488">
        <f t="shared" si="19"/>
        <v>47704</v>
      </c>
      <c r="J118" s="488"/>
      <c r="K118" s="494">
        <f t="shared" si="20"/>
        <v>31</v>
      </c>
      <c r="L118" s="488">
        <f t="shared" si="25"/>
        <v>47726</v>
      </c>
      <c r="M118" s="299">
        <f t="shared" si="30"/>
        <v>2119509.7880000002</v>
      </c>
      <c r="N118" s="303">
        <f t="shared" si="26"/>
        <v>0.1</v>
      </c>
      <c r="O118" s="299">
        <f t="shared" si="32"/>
        <v>18001.316007671237</v>
      </c>
      <c r="P118" s="299">
        <f t="shared" si="28"/>
        <v>37794</v>
      </c>
      <c r="Q118" s="299">
        <f t="shared" si="21"/>
        <v>37794.313038483175</v>
      </c>
      <c r="R118" s="302">
        <f t="shared" si="22"/>
        <v>37794.313038483175</v>
      </c>
      <c r="S118" s="302">
        <f t="shared" si="23"/>
        <v>18001.316007671237</v>
      </c>
      <c r="T118" s="299">
        <f t="shared" si="24"/>
        <v>19792.683992328763</v>
      </c>
      <c r="U118" s="299">
        <f t="shared" si="29"/>
        <v>2099717.1039999998</v>
      </c>
      <c r="V118" s="304"/>
      <c r="W118" s="505"/>
      <c r="X118" s="505"/>
      <c r="Y118" s="298">
        <f t="shared" si="31"/>
        <v>0.1</v>
      </c>
      <c r="Z118" s="309"/>
      <c r="AA118" s="306"/>
      <c r="AB118" s="307"/>
      <c r="AC118" s="308" t="str">
        <f>IF(OR(AA118="",AB118=""),"",IF(AB118=$C$7,"Сокращение срока на "&amp;#REF!-#REF!-1&amp;" мес.","Сокращение платежа на "&amp;ROUND(Q118-Q119,2)&amp;" руб."))</f>
        <v/>
      </c>
    </row>
    <row r="119" spans="3:29" x14ac:dyDescent="0.2">
      <c r="C119" s="489"/>
      <c r="D119" s="489"/>
      <c r="E119" s="494"/>
      <c r="F119" s="494">
        <v>105</v>
      </c>
      <c r="G119" s="297">
        <f t="shared" si="17"/>
        <v>2030</v>
      </c>
      <c r="H119" s="297">
        <f t="shared" si="18"/>
        <v>365</v>
      </c>
      <c r="I119" s="488">
        <f t="shared" si="19"/>
        <v>47735</v>
      </c>
      <c r="J119" s="488"/>
      <c r="K119" s="494">
        <f t="shared" si="20"/>
        <v>31</v>
      </c>
      <c r="L119" s="488">
        <f t="shared" si="25"/>
        <v>47756</v>
      </c>
      <c r="M119" s="299">
        <f t="shared" si="30"/>
        <v>2099717.1039999998</v>
      </c>
      <c r="N119" s="303">
        <f t="shared" si="26"/>
        <v>0.1</v>
      </c>
      <c r="O119" s="299">
        <f t="shared" si="32"/>
        <v>17833.213759999999</v>
      </c>
      <c r="P119" s="299">
        <f t="shared" si="28"/>
        <v>37794</v>
      </c>
      <c r="Q119" s="299">
        <f t="shared" si="21"/>
        <v>37794.313038483175</v>
      </c>
      <c r="R119" s="302">
        <f t="shared" si="22"/>
        <v>37794.313038483175</v>
      </c>
      <c r="S119" s="302">
        <f t="shared" si="23"/>
        <v>17833.213759999999</v>
      </c>
      <c r="T119" s="299">
        <f t="shared" si="24"/>
        <v>19960.786240000001</v>
      </c>
      <c r="U119" s="299">
        <f t="shared" si="29"/>
        <v>2079756.3178000001</v>
      </c>
      <c r="V119" s="304"/>
      <c r="W119" s="505"/>
      <c r="X119" s="505"/>
      <c r="Y119" s="298">
        <f t="shared" si="31"/>
        <v>0.1</v>
      </c>
      <c r="Z119" s="309"/>
      <c r="AA119" s="306"/>
      <c r="AB119" s="307"/>
      <c r="AC119" s="308" t="str">
        <f>IF(OR(AA119="",AB119=""),"",IF(AB119=$C$7,"Сокращение срока на "&amp;#REF!-#REF!-1&amp;" мес.","Сокращение платежа на "&amp;ROUND(Q119-Q120,2)&amp;" руб."))</f>
        <v/>
      </c>
    </row>
    <row r="120" spans="3:29" x14ac:dyDescent="0.2">
      <c r="C120" s="489"/>
      <c r="D120" s="489"/>
      <c r="E120" s="494"/>
      <c r="F120" s="494">
        <v>106</v>
      </c>
      <c r="G120" s="297">
        <f t="shared" si="17"/>
        <v>2030</v>
      </c>
      <c r="H120" s="297">
        <f t="shared" si="18"/>
        <v>365</v>
      </c>
      <c r="I120" s="488">
        <f t="shared" si="19"/>
        <v>47765</v>
      </c>
      <c r="J120" s="488"/>
      <c r="K120" s="494">
        <f t="shared" si="20"/>
        <v>30</v>
      </c>
      <c r="L120" s="488">
        <f t="shared" si="25"/>
        <v>47787</v>
      </c>
      <c r="M120" s="299">
        <f t="shared" si="30"/>
        <v>2079756.3178000001</v>
      </c>
      <c r="N120" s="303">
        <f t="shared" si="26"/>
        <v>0.1</v>
      </c>
      <c r="O120" s="299">
        <f t="shared" si="32"/>
        <v>17093.887543561646</v>
      </c>
      <c r="P120" s="299">
        <f t="shared" si="28"/>
        <v>37794</v>
      </c>
      <c r="Q120" s="299">
        <f t="shared" si="21"/>
        <v>37794.313038483175</v>
      </c>
      <c r="R120" s="302">
        <f t="shared" si="22"/>
        <v>37794.313038483175</v>
      </c>
      <c r="S120" s="302">
        <f t="shared" si="23"/>
        <v>17093.887543561646</v>
      </c>
      <c r="T120" s="299">
        <f t="shared" si="24"/>
        <v>20700.112456438354</v>
      </c>
      <c r="U120" s="299">
        <f t="shared" si="29"/>
        <v>2059056.2053</v>
      </c>
      <c r="V120" s="304"/>
      <c r="W120" s="505"/>
      <c r="X120" s="505"/>
      <c r="Y120" s="298">
        <f t="shared" si="31"/>
        <v>0.1</v>
      </c>
      <c r="Z120" s="309"/>
      <c r="AA120" s="306"/>
      <c r="AB120" s="307"/>
      <c r="AC120" s="308" t="str">
        <f>IF(OR(AA120="",AB120=""),"",IF(AB120=$C$7,"Сокращение срока на "&amp;#REF!-#REF!-1&amp;" мес.","Сокращение платежа на "&amp;ROUND(Q120-Q121,2)&amp;" руб."))</f>
        <v/>
      </c>
    </row>
    <row r="121" spans="3:29" x14ac:dyDescent="0.2">
      <c r="C121" s="489"/>
      <c r="D121" s="489"/>
      <c r="E121" s="494"/>
      <c r="F121" s="494">
        <v>107</v>
      </c>
      <c r="G121" s="297">
        <f t="shared" si="17"/>
        <v>2030</v>
      </c>
      <c r="H121" s="297">
        <f t="shared" si="18"/>
        <v>365</v>
      </c>
      <c r="I121" s="488">
        <f t="shared" si="19"/>
        <v>47796</v>
      </c>
      <c r="J121" s="488"/>
      <c r="K121" s="494">
        <f t="shared" si="20"/>
        <v>31</v>
      </c>
      <c r="L121" s="488">
        <f t="shared" si="25"/>
        <v>47817</v>
      </c>
      <c r="M121" s="299">
        <f t="shared" si="30"/>
        <v>2059056.2053</v>
      </c>
      <c r="N121" s="303">
        <f t="shared" si="26"/>
        <v>0.1</v>
      </c>
      <c r="O121" s="299">
        <f t="shared" si="32"/>
        <v>17487.874620356164</v>
      </c>
      <c r="P121" s="299">
        <f t="shared" si="28"/>
        <v>37794</v>
      </c>
      <c r="Q121" s="299">
        <f t="shared" si="21"/>
        <v>37794.313038483175</v>
      </c>
      <c r="R121" s="302">
        <f t="shared" si="22"/>
        <v>37794.313038483175</v>
      </c>
      <c r="S121" s="302">
        <f t="shared" si="23"/>
        <v>17487.874620356164</v>
      </c>
      <c r="T121" s="299">
        <f t="shared" si="24"/>
        <v>20306.125379643836</v>
      </c>
      <c r="U121" s="299">
        <f t="shared" si="29"/>
        <v>2038750.0799</v>
      </c>
      <c r="V121" s="304"/>
      <c r="W121" s="505"/>
      <c r="X121" s="505"/>
      <c r="Y121" s="298">
        <f t="shared" si="31"/>
        <v>0.1</v>
      </c>
      <c r="Z121" s="309"/>
      <c r="AA121" s="306"/>
      <c r="AB121" s="307"/>
      <c r="AC121" s="308" t="str">
        <f>IF(OR(AA121="",AB121=""),"",IF(AB121=$C$7,"Сокращение срока на "&amp;#REF!-#REF!-1&amp;" мес.","Сокращение платежа на "&amp;ROUND(Q121-Q122,2)&amp;" руб."))</f>
        <v/>
      </c>
    </row>
    <row r="122" spans="3:29" x14ac:dyDescent="0.2">
      <c r="C122" s="489"/>
      <c r="D122" s="489"/>
      <c r="E122" s="494"/>
      <c r="F122" s="494">
        <v>108</v>
      </c>
      <c r="G122" s="297">
        <f t="shared" si="17"/>
        <v>2030</v>
      </c>
      <c r="H122" s="297">
        <f t="shared" si="18"/>
        <v>365</v>
      </c>
      <c r="I122" s="488">
        <f t="shared" si="19"/>
        <v>47826</v>
      </c>
      <c r="J122" s="488"/>
      <c r="K122" s="494">
        <f t="shared" si="20"/>
        <v>30</v>
      </c>
      <c r="L122" s="488">
        <f t="shared" si="25"/>
        <v>47848</v>
      </c>
      <c r="M122" s="299">
        <f t="shared" si="30"/>
        <v>2038750.0799</v>
      </c>
      <c r="N122" s="303">
        <f t="shared" si="26"/>
        <v>0.1</v>
      </c>
      <c r="O122" s="299">
        <f t="shared" si="32"/>
        <v>16756.849971780823</v>
      </c>
      <c r="P122" s="299">
        <f t="shared" si="28"/>
        <v>37794</v>
      </c>
      <c r="Q122" s="299">
        <f t="shared" si="21"/>
        <v>37794.313038483175</v>
      </c>
      <c r="R122" s="302">
        <f t="shared" si="22"/>
        <v>37794.313038483175</v>
      </c>
      <c r="S122" s="302">
        <f t="shared" si="23"/>
        <v>16756.849971780823</v>
      </c>
      <c r="T122" s="299">
        <f t="shared" si="24"/>
        <v>21037.150028219177</v>
      </c>
      <c r="U122" s="299">
        <f t="shared" si="29"/>
        <v>2017712.9299000001</v>
      </c>
      <c r="V122" s="304"/>
      <c r="W122" s="505"/>
      <c r="X122" s="505"/>
      <c r="Y122" s="298">
        <f t="shared" si="31"/>
        <v>0.1</v>
      </c>
      <c r="Z122" s="309"/>
      <c r="AA122" s="306"/>
      <c r="AB122" s="307"/>
      <c r="AC122" s="308" t="str">
        <f>IF(OR(AA122="",AB122=""),"",IF(AB122=$C$7,"Сокращение срока на "&amp;#REF!-#REF!-1&amp;" мес.","Сокращение платежа на "&amp;ROUND(Q122-Q123,2)&amp;" руб."))</f>
        <v/>
      </c>
    </row>
    <row r="123" spans="3:29" x14ac:dyDescent="0.2">
      <c r="C123" s="489"/>
      <c r="D123" s="489"/>
      <c r="E123" s="494">
        <f>E111+1</f>
        <v>34</v>
      </c>
      <c r="F123" s="494">
        <v>109</v>
      </c>
      <c r="G123" s="297">
        <f t="shared" si="17"/>
        <v>2031</v>
      </c>
      <c r="H123" s="297">
        <f t="shared" si="18"/>
        <v>365</v>
      </c>
      <c r="I123" s="488">
        <f t="shared" si="19"/>
        <v>47857</v>
      </c>
      <c r="J123" s="488"/>
      <c r="K123" s="494">
        <f t="shared" si="20"/>
        <v>31</v>
      </c>
      <c r="L123" s="488">
        <f t="shared" si="25"/>
        <v>47879</v>
      </c>
      <c r="M123" s="299">
        <f t="shared" si="30"/>
        <v>2017712.9299000001</v>
      </c>
      <c r="N123" s="303">
        <f t="shared" si="26"/>
        <v>0.1</v>
      </c>
      <c r="O123" s="299">
        <f t="shared" si="32"/>
        <v>17136.739952575343</v>
      </c>
      <c r="P123" s="299">
        <f t="shared" si="28"/>
        <v>37794</v>
      </c>
      <c r="Q123" s="299">
        <f t="shared" si="21"/>
        <v>37794.313038483175</v>
      </c>
      <c r="R123" s="302">
        <f t="shared" si="22"/>
        <v>47899.414728177173</v>
      </c>
      <c r="S123" s="302">
        <f t="shared" si="23"/>
        <v>17136.739952575343</v>
      </c>
      <c r="T123" s="299">
        <f t="shared" si="24"/>
        <v>20657.260047424657</v>
      </c>
      <c r="U123" s="299">
        <f t="shared" si="29"/>
        <v>1997055.6699000001</v>
      </c>
      <c r="V123" s="304">
        <f>IF(U123=0,0,((U123*10%+U123)*(W123+X123)))</f>
        <v>10105.101689694002</v>
      </c>
      <c r="W123" s="505">
        <f>INDEX('Тарифы СК'!$B$4:$C$53,MATCH($E$123,'Тарифы СК'!$A$4:$A$53,0),MATCH($AB$3,'Тарифы СК'!$B$3:$C$3,0))</f>
        <v>3.4000000000000002E-3</v>
      </c>
      <c r="X123" s="505">
        <f>'Тарифы СК'!$D$3</f>
        <v>1.1999999999999999E-3</v>
      </c>
      <c r="Y123" s="298">
        <f t="shared" si="31"/>
        <v>0.1</v>
      </c>
      <c r="Z123" s="309"/>
      <c r="AA123" s="306"/>
      <c r="AB123" s="307"/>
      <c r="AC123" s="308" t="str">
        <f>IF(OR(AA123="",AB123=""),"",IF(AB123=$C$7,"Сокращение срока на "&amp;#REF!-#REF!-1&amp;" мес.","Сокращение платежа на "&amp;ROUND(Q123-Q124,2)&amp;" руб."))</f>
        <v/>
      </c>
    </row>
    <row r="124" spans="3:29" x14ac:dyDescent="0.2">
      <c r="C124" s="489"/>
      <c r="D124" s="489"/>
      <c r="E124" s="494"/>
      <c r="F124" s="494">
        <v>110</v>
      </c>
      <c r="G124" s="297">
        <f t="shared" si="17"/>
        <v>2031</v>
      </c>
      <c r="H124" s="297">
        <f t="shared" si="18"/>
        <v>365</v>
      </c>
      <c r="I124" s="488">
        <f t="shared" si="19"/>
        <v>47888</v>
      </c>
      <c r="J124" s="488"/>
      <c r="K124" s="494">
        <f t="shared" si="20"/>
        <v>31</v>
      </c>
      <c r="L124" s="488">
        <f t="shared" si="25"/>
        <v>47907</v>
      </c>
      <c r="M124" s="299">
        <f t="shared" si="30"/>
        <v>1997055.6699000001</v>
      </c>
      <c r="N124" s="303">
        <f t="shared" si="26"/>
        <v>0.1</v>
      </c>
      <c r="O124" s="299">
        <f t="shared" si="32"/>
        <v>16961.294730657537</v>
      </c>
      <c r="P124" s="299">
        <f t="shared" si="28"/>
        <v>37794</v>
      </c>
      <c r="Q124" s="299">
        <f t="shared" si="21"/>
        <v>37794.313038483175</v>
      </c>
      <c r="R124" s="302">
        <f t="shared" si="22"/>
        <v>37794.313038483175</v>
      </c>
      <c r="S124" s="302">
        <f t="shared" si="23"/>
        <v>16961.294730657537</v>
      </c>
      <c r="T124" s="299">
        <f t="shared" si="24"/>
        <v>20832.705269342463</v>
      </c>
      <c r="U124" s="299">
        <f t="shared" si="29"/>
        <v>1976222.9646000001</v>
      </c>
      <c r="V124" s="304"/>
      <c r="W124" s="505"/>
      <c r="X124" s="505"/>
      <c r="Y124" s="298">
        <f t="shared" si="31"/>
        <v>0.1</v>
      </c>
      <c r="Z124" s="309"/>
      <c r="AA124" s="306"/>
      <c r="AB124" s="307"/>
      <c r="AC124" s="308" t="str">
        <f>IF(OR(AA124="",AB124=""),"",IF(AB124=$C$7,"Сокращение срока на "&amp;#REF!-#REF!-1&amp;" мес.","Сокращение платежа на "&amp;ROUND(Q124-Q125,2)&amp;" руб."))</f>
        <v/>
      </c>
    </row>
    <row r="125" spans="3:29" x14ac:dyDescent="0.2">
      <c r="C125" s="489"/>
      <c r="D125" s="489"/>
      <c r="E125" s="494"/>
      <c r="F125" s="494">
        <v>111</v>
      </c>
      <c r="G125" s="297">
        <f t="shared" si="17"/>
        <v>2031</v>
      </c>
      <c r="H125" s="297">
        <f t="shared" si="18"/>
        <v>365</v>
      </c>
      <c r="I125" s="488">
        <f t="shared" si="19"/>
        <v>47916</v>
      </c>
      <c r="J125" s="488"/>
      <c r="K125" s="494">
        <f t="shared" si="20"/>
        <v>28</v>
      </c>
      <c r="L125" s="488">
        <f t="shared" si="25"/>
        <v>47938</v>
      </c>
      <c r="M125" s="299">
        <f t="shared" si="30"/>
        <v>1976222.9646000001</v>
      </c>
      <c r="N125" s="303">
        <f t="shared" si="26"/>
        <v>0.1</v>
      </c>
      <c r="O125" s="299">
        <f t="shared" si="32"/>
        <v>15160.066577753425</v>
      </c>
      <c r="P125" s="299">
        <f t="shared" si="28"/>
        <v>37794</v>
      </c>
      <c r="Q125" s="299">
        <f t="shared" si="21"/>
        <v>37794.313038483175</v>
      </c>
      <c r="R125" s="302">
        <f t="shared" si="22"/>
        <v>37794.313038483175</v>
      </c>
      <c r="S125" s="302">
        <f t="shared" si="23"/>
        <v>15160.066577753425</v>
      </c>
      <c r="T125" s="299">
        <f t="shared" si="24"/>
        <v>22633.933422246577</v>
      </c>
      <c r="U125" s="299">
        <f t="shared" si="29"/>
        <v>1953589.0312000001</v>
      </c>
      <c r="V125" s="304"/>
      <c r="W125" s="505"/>
      <c r="X125" s="505"/>
      <c r="Y125" s="298">
        <f t="shared" si="31"/>
        <v>0.1</v>
      </c>
      <c r="Z125" s="309"/>
      <c r="AA125" s="306"/>
      <c r="AB125" s="307"/>
      <c r="AC125" s="308" t="str">
        <f>IF(OR(AA125="",AB125=""),"",IF(AB125=$C$7,"Сокращение срока на "&amp;#REF!-#REF!-1&amp;" мес.","Сокращение платежа на "&amp;ROUND(Q125-Q126,2)&amp;" руб."))</f>
        <v/>
      </c>
    </row>
    <row r="126" spans="3:29" x14ac:dyDescent="0.2">
      <c r="C126" s="489"/>
      <c r="D126" s="489"/>
      <c r="E126" s="494"/>
      <c r="F126" s="494">
        <v>112</v>
      </c>
      <c r="G126" s="297">
        <f t="shared" si="17"/>
        <v>2031</v>
      </c>
      <c r="H126" s="297">
        <f t="shared" si="18"/>
        <v>365</v>
      </c>
      <c r="I126" s="488">
        <f t="shared" si="19"/>
        <v>47947</v>
      </c>
      <c r="J126" s="488"/>
      <c r="K126" s="494">
        <f t="shared" si="20"/>
        <v>31</v>
      </c>
      <c r="L126" s="488">
        <f t="shared" si="25"/>
        <v>47968</v>
      </c>
      <c r="M126" s="299">
        <f t="shared" si="30"/>
        <v>1953589.0312000001</v>
      </c>
      <c r="N126" s="303">
        <f t="shared" si="26"/>
        <v>0.1</v>
      </c>
      <c r="O126" s="299">
        <f t="shared" si="32"/>
        <v>16592.12601841096</v>
      </c>
      <c r="P126" s="299">
        <f t="shared" si="28"/>
        <v>37794</v>
      </c>
      <c r="Q126" s="299">
        <f t="shared" si="21"/>
        <v>37794.313038483175</v>
      </c>
      <c r="R126" s="302">
        <f t="shared" si="22"/>
        <v>37794.313038483175</v>
      </c>
      <c r="S126" s="302">
        <f t="shared" si="23"/>
        <v>16592.12601841096</v>
      </c>
      <c r="T126" s="299">
        <f t="shared" si="24"/>
        <v>21201.87398158904</v>
      </c>
      <c r="U126" s="299">
        <f t="shared" si="29"/>
        <v>1932387.1572</v>
      </c>
      <c r="V126" s="304"/>
      <c r="W126" s="505"/>
      <c r="X126" s="505"/>
      <c r="Y126" s="298">
        <f t="shared" si="31"/>
        <v>0.1</v>
      </c>
      <c r="Z126" s="309"/>
      <c r="AA126" s="306"/>
      <c r="AB126" s="307"/>
      <c r="AC126" s="308" t="str">
        <f>IF(OR(AA126="",AB126=""),"",IF(AB126=$C$7,"Сокращение срока на "&amp;#REF!-#REF!-1&amp;" мес.","Сокращение платежа на "&amp;ROUND(Q126-Q127,2)&amp;" руб."))</f>
        <v/>
      </c>
    </row>
    <row r="127" spans="3:29" x14ac:dyDescent="0.2">
      <c r="C127" s="489"/>
      <c r="D127" s="489"/>
      <c r="E127" s="494"/>
      <c r="F127" s="494">
        <v>113</v>
      </c>
      <c r="G127" s="297">
        <f t="shared" si="17"/>
        <v>2031</v>
      </c>
      <c r="H127" s="297">
        <f t="shared" si="18"/>
        <v>365</v>
      </c>
      <c r="I127" s="488">
        <f t="shared" si="19"/>
        <v>47977</v>
      </c>
      <c r="J127" s="488"/>
      <c r="K127" s="494">
        <f t="shared" si="20"/>
        <v>30</v>
      </c>
      <c r="L127" s="488">
        <f t="shared" si="25"/>
        <v>47999</v>
      </c>
      <c r="M127" s="299">
        <f t="shared" si="30"/>
        <v>1932387.1572</v>
      </c>
      <c r="N127" s="303">
        <f t="shared" si="26"/>
        <v>0.1</v>
      </c>
      <c r="O127" s="299">
        <f t="shared" si="32"/>
        <v>15882.634168767125</v>
      </c>
      <c r="P127" s="299">
        <f t="shared" si="28"/>
        <v>37794</v>
      </c>
      <c r="Q127" s="299">
        <f t="shared" si="21"/>
        <v>37794.313038483175</v>
      </c>
      <c r="R127" s="302">
        <f t="shared" si="22"/>
        <v>37794.313038483175</v>
      </c>
      <c r="S127" s="302">
        <f t="shared" si="23"/>
        <v>15882.634168767125</v>
      </c>
      <c r="T127" s="299">
        <f t="shared" si="24"/>
        <v>21911.365831232877</v>
      </c>
      <c r="U127" s="299">
        <f t="shared" si="29"/>
        <v>1910475.7914</v>
      </c>
      <c r="V127" s="304"/>
      <c r="W127" s="505"/>
      <c r="X127" s="505"/>
      <c r="Y127" s="298">
        <f t="shared" si="31"/>
        <v>0.1</v>
      </c>
      <c r="Z127" s="309"/>
      <c r="AA127" s="306"/>
      <c r="AB127" s="307"/>
      <c r="AC127" s="308" t="str">
        <f>IF(OR(AA127="",AB127=""),"",IF(AB127=$C$7,"Сокращение срока на "&amp;#REF!-#REF!-1&amp;" мес.","Сокращение платежа на "&amp;ROUND(Q127-Q128,2)&amp;" руб."))</f>
        <v/>
      </c>
    </row>
    <row r="128" spans="3:29" x14ac:dyDescent="0.2">
      <c r="C128" s="489"/>
      <c r="D128" s="489"/>
      <c r="E128" s="494"/>
      <c r="F128" s="494">
        <v>114</v>
      </c>
      <c r="G128" s="297">
        <f t="shared" si="17"/>
        <v>2031</v>
      </c>
      <c r="H128" s="297">
        <f t="shared" si="18"/>
        <v>365</v>
      </c>
      <c r="I128" s="488">
        <f t="shared" si="19"/>
        <v>48008</v>
      </c>
      <c r="J128" s="488"/>
      <c r="K128" s="494">
        <f t="shared" si="20"/>
        <v>31</v>
      </c>
      <c r="L128" s="488">
        <f t="shared" si="25"/>
        <v>48029</v>
      </c>
      <c r="M128" s="299">
        <f t="shared" si="30"/>
        <v>1910475.7914</v>
      </c>
      <c r="N128" s="303">
        <f t="shared" si="26"/>
        <v>0.1</v>
      </c>
      <c r="O128" s="299">
        <f t="shared" si="32"/>
        <v>16225.958776273974</v>
      </c>
      <c r="P128" s="299">
        <f t="shared" si="28"/>
        <v>37794</v>
      </c>
      <c r="Q128" s="299">
        <f t="shared" si="21"/>
        <v>37794.313038483175</v>
      </c>
      <c r="R128" s="302">
        <f t="shared" si="22"/>
        <v>37794.313038483175</v>
      </c>
      <c r="S128" s="302">
        <f t="shared" si="23"/>
        <v>16225.958776273974</v>
      </c>
      <c r="T128" s="299">
        <f t="shared" si="24"/>
        <v>21568.041223726024</v>
      </c>
      <c r="U128" s="299">
        <f t="shared" si="29"/>
        <v>1888907.7501999999</v>
      </c>
      <c r="V128" s="304"/>
      <c r="W128" s="505"/>
      <c r="X128" s="505"/>
      <c r="Y128" s="298">
        <f t="shared" si="31"/>
        <v>0.1</v>
      </c>
      <c r="Z128" s="309"/>
      <c r="AA128" s="306"/>
      <c r="AB128" s="307"/>
      <c r="AC128" s="308" t="str">
        <f>IF(OR(AA128="",AB128=""),"",IF(AB128=$C$7,"Сокращение срока на "&amp;#REF!-#REF!-1&amp;" мес.","Сокращение платежа на "&amp;ROUND(Q128-Q129,2)&amp;" руб."))</f>
        <v/>
      </c>
    </row>
    <row r="129" spans="3:29" x14ac:dyDescent="0.2">
      <c r="C129" s="489"/>
      <c r="D129" s="489"/>
      <c r="E129" s="494"/>
      <c r="F129" s="494">
        <v>115</v>
      </c>
      <c r="G129" s="297">
        <f t="shared" si="17"/>
        <v>2031</v>
      </c>
      <c r="H129" s="297">
        <f t="shared" si="18"/>
        <v>365</v>
      </c>
      <c r="I129" s="488">
        <f t="shared" si="19"/>
        <v>48038</v>
      </c>
      <c r="J129" s="488"/>
      <c r="K129" s="494">
        <f t="shared" si="20"/>
        <v>30</v>
      </c>
      <c r="L129" s="488">
        <f t="shared" si="25"/>
        <v>48060</v>
      </c>
      <c r="M129" s="299">
        <f t="shared" si="30"/>
        <v>1888907.7501999999</v>
      </c>
      <c r="N129" s="303">
        <f t="shared" si="26"/>
        <v>0.1</v>
      </c>
      <c r="O129" s="299">
        <f t="shared" si="32"/>
        <v>15525.269179726029</v>
      </c>
      <c r="P129" s="299">
        <f t="shared" si="28"/>
        <v>37794</v>
      </c>
      <c r="Q129" s="299">
        <f t="shared" si="21"/>
        <v>37794.313038483175</v>
      </c>
      <c r="R129" s="302">
        <f t="shared" si="22"/>
        <v>37794.313038483175</v>
      </c>
      <c r="S129" s="302">
        <f t="shared" si="23"/>
        <v>15525.269179726029</v>
      </c>
      <c r="T129" s="299">
        <f t="shared" si="24"/>
        <v>22268.730820273973</v>
      </c>
      <c r="U129" s="299">
        <f t="shared" si="29"/>
        <v>1866639.0194000001</v>
      </c>
      <c r="V129" s="304"/>
      <c r="W129" s="505"/>
      <c r="X129" s="505"/>
      <c r="Y129" s="298">
        <f t="shared" si="31"/>
        <v>0.1</v>
      </c>
      <c r="Z129" s="309"/>
      <c r="AA129" s="306"/>
      <c r="AB129" s="307"/>
      <c r="AC129" s="308" t="str">
        <f>IF(OR(AA129="",AB129=""),"",IF(AB129=$C$7,"Сокращение срока на "&amp;#REF!-#REF!-1&amp;" мес.","Сокращение платежа на "&amp;ROUND(Q129-Q130,2)&amp;" руб."))</f>
        <v/>
      </c>
    </row>
    <row r="130" spans="3:29" x14ac:dyDescent="0.2">
      <c r="C130" s="489"/>
      <c r="D130" s="489"/>
      <c r="E130" s="494"/>
      <c r="F130" s="494">
        <v>116</v>
      </c>
      <c r="G130" s="297">
        <f t="shared" si="17"/>
        <v>2031</v>
      </c>
      <c r="H130" s="297">
        <f t="shared" si="18"/>
        <v>365</v>
      </c>
      <c r="I130" s="488">
        <f t="shared" si="19"/>
        <v>48069</v>
      </c>
      <c r="J130" s="488"/>
      <c r="K130" s="494">
        <f t="shared" si="20"/>
        <v>31</v>
      </c>
      <c r="L130" s="488">
        <f t="shared" si="25"/>
        <v>48091</v>
      </c>
      <c r="M130" s="299">
        <f t="shared" si="30"/>
        <v>1866639.0194000001</v>
      </c>
      <c r="N130" s="303">
        <f t="shared" si="26"/>
        <v>0.1</v>
      </c>
      <c r="O130" s="299">
        <f t="shared" si="32"/>
        <v>15853.646466136986</v>
      </c>
      <c r="P130" s="299">
        <f t="shared" si="28"/>
        <v>37794</v>
      </c>
      <c r="Q130" s="299">
        <f t="shared" si="21"/>
        <v>37794.313038483175</v>
      </c>
      <c r="R130" s="302">
        <f t="shared" si="22"/>
        <v>37794.313038483175</v>
      </c>
      <c r="S130" s="302">
        <f t="shared" si="23"/>
        <v>15853.646466136986</v>
      </c>
      <c r="T130" s="299">
        <f t="shared" si="24"/>
        <v>21940.353533863014</v>
      </c>
      <c r="U130" s="299">
        <f t="shared" si="29"/>
        <v>1844698.6658999999</v>
      </c>
      <c r="V130" s="304"/>
      <c r="W130" s="505"/>
      <c r="X130" s="505"/>
      <c r="Y130" s="298">
        <f t="shared" si="31"/>
        <v>0.1</v>
      </c>
      <c r="Z130" s="309"/>
      <c r="AA130" s="306"/>
      <c r="AB130" s="307"/>
      <c r="AC130" s="308" t="str">
        <f>IF(OR(AA130="",AB130=""),"",IF(AB130=$C$7,"Сокращение срока на "&amp;#REF!-#REF!-1&amp;" мес.","Сокращение платежа на "&amp;ROUND(Q130-Q131,2)&amp;" руб."))</f>
        <v/>
      </c>
    </row>
    <row r="131" spans="3:29" x14ac:dyDescent="0.2">
      <c r="C131" s="489"/>
      <c r="D131" s="489"/>
      <c r="E131" s="494"/>
      <c r="F131" s="494">
        <v>117</v>
      </c>
      <c r="G131" s="297">
        <f t="shared" si="17"/>
        <v>2031</v>
      </c>
      <c r="H131" s="297">
        <f t="shared" si="18"/>
        <v>365</v>
      </c>
      <c r="I131" s="488">
        <f t="shared" si="19"/>
        <v>48100</v>
      </c>
      <c r="J131" s="488"/>
      <c r="K131" s="494">
        <f t="shared" si="20"/>
        <v>31</v>
      </c>
      <c r="L131" s="488">
        <f t="shared" si="25"/>
        <v>48121</v>
      </c>
      <c r="M131" s="299">
        <f t="shared" si="30"/>
        <v>1844698.6658999999</v>
      </c>
      <c r="N131" s="303">
        <f t="shared" si="26"/>
        <v>0.1</v>
      </c>
      <c r="O131" s="299">
        <f t="shared" si="32"/>
        <v>15667.303737780821</v>
      </c>
      <c r="P131" s="299">
        <f t="shared" si="28"/>
        <v>37794</v>
      </c>
      <c r="Q131" s="299">
        <f t="shared" si="21"/>
        <v>37794.313038483175</v>
      </c>
      <c r="R131" s="302">
        <f t="shared" si="22"/>
        <v>37794.313038483175</v>
      </c>
      <c r="S131" s="302">
        <f t="shared" si="23"/>
        <v>15667.303737780821</v>
      </c>
      <c r="T131" s="299">
        <f t="shared" si="24"/>
        <v>22126.696262219179</v>
      </c>
      <c r="U131" s="299">
        <f t="shared" si="29"/>
        <v>1822571.9696</v>
      </c>
      <c r="V131" s="304"/>
      <c r="W131" s="505"/>
      <c r="X131" s="505"/>
      <c r="Y131" s="298">
        <f t="shared" si="31"/>
        <v>0.1</v>
      </c>
      <c r="Z131" s="309"/>
      <c r="AA131" s="306"/>
      <c r="AB131" s="307"/>
      <c r="AC131" s="308" t="str">
        <f>IF(OR(AA131="",AB131=""),"",IF(AB131=$C$7,"Сокращение срока на "&amp;#REF!-#REF!-1&amp;" мес.","Сокращение платежа на "&amp;ROUND(Q131-Q132,2)&amp;" руб."))</f>
        <v/>
      </c>
    </row>
    <row r="132" spans="3:29" x14ac:dyDescent="0.2">
      <c r="C132" s="489"/>
      <c r="D132" s="489"/>
      <c r="E132" s="494"/>
      <c r="F132" s="494">
        <v>118</v>
      </c>
      <c r="G132" s="297">
        <f t="shared" si="17"/>
        <v>2031</v>
      </c>
      <c r="H132" s="297">
        <f t="shared" si="18"/>
        <v>365</v>
      </c>
      <c r="I132" s="488">
        <f t="shared" si="19"/>
        <v>48130</v>
      </c>
      <c r="J132" s="488"/>
      <c r="K132" s="494">
        <f t="shared" si="20"/>
        <v>30</v>
      </c>
      <c r="L132" s="488">
        <f t="shared" si="25"/>
        <v>48152</v>
      </c>
      <c r="M132" s="299">
        <f t="shared" si="30"/>
        <v>1822571.9696</v>
      </c>
      <c r="N132" s="303">
        <f t="shared" si="26"/>
        <v>0.1</v>
      </c>
      <c r="O132" s="299">
        <f t="shared" si="32"/>
        <v>14980.043585753425</v>
      </c>
      <c r="P132" s="299">
        <f t="shared" si="28"/>
        <v>37794</v>
      </c>
      <c r="Q132" s="299">
        <f t="shared" si="21"/>
        <v>37794.313038483175</v>
      </c>
      <c r="R132" s="302">
        <f t="shared" si="22"/>
        <v>37794.313038483175</v>
      </c>
      <c r="S132" s="302">
        <f t="shared" si="23"/>
        <v>14980.043585753425</v>
      </c>
      <c r="T132" s="299">
        <f t="shared" si="24"/>
        <v>22813.956414246575</v>
      </c>
      <c r="U132" s="299">
        <f t="shared" si="29"/>
        <v>1799758.0131999999</v>
      </c>
      <c r="V132" s="304"/>
      <c r="W132" s="505"/>
      <c r="X132" s="505"/>
      <c r="Y132" s="298">
        <f t="shared" si="31"/>
        <v>0.1</v>
      </c>
      <c r="Z132" s="309"/>
      <c r="AA132" s="306"/>
      <c r="AB132" s="307"/>
      <c r="AC132" s="308" t="str">
        <f>IF(OR(AA132="",AB132=""),"",IF(AB132=$C$7,"Сокращение срока на "&amp;#REF!-#REF!-1&amp;" мес.","Сокращение платежа на "&amp;ROUND(Q132-Q133,2)&amp;" руб."))</f>
        <v/>
      </c>
    </row>
    <row r="133" spans="3:29" x14ac:dyDescent="0.2">
      <c r="C133" s="489"/>
      <c r="D133" s="489"/>
      <c r="E133" s="494"/>
      <c r="F133" s="494">
        <v>119</v>
      </c>
      <c r="G133" s="297">
        <f t="shared" si="17"/>
        <v>2031</v>
      </c>
      <c r="H133" s="297">
        <f t="shared" si="18"/>
        <v>365</v>
      </c>
      <c r="I133" s="488">
        <f t="shared" si="19"/>
        <v>48161</v>
      </c>
      <c r="J133" s="488"/>
      <c r="K133" s="494">
        <f t="shared" si="20"/>
        <v>31</v>
      </c>
      <c r="L133" s="488">
        <f t="shared" si="25"/>
        <v>48182</v>
      </c>
      <c r="M133" s="299">
        <f t="shared" si="30"/>
        <v>1799758.0131999999</v>
      </c>
      <c r="N133" s="303">
        <f t="shared" si="26"/>
        <v>0.1</v>
      </c>
      <c r="O133" s="299">
        <f t="shared" si="32"/>
        <v>15285.616002520548</v>
      </c>
      <c r="P133" s="299">
        <f t="shared" si="28"/>
        <v>37794</v>
      </c>
      <c r="Q133" s="299">
        <f t="shared" si="21"/>
        <v>37794.313038483175</v>
      </c>
      <c r="R133" s="302">
        <f t="shared" si="22"/>
        <v>37794.313038483175</v>
      </c>
      <c r="S133" s="302">
        <f t="shared" si="23"/>
        <v>15285.616002520548</v>
      </c>
      <c r="T133" s="299">
        <f t="shared" si="24"/>
        <v>22508.383997479454</v>
      </c>
      <c r="U133" s="299">
        <f t="shared" si="29"/>
        <v>1777249.6292000001</v>
      </c>
      <c r="V133" s="304"/>
      <c r="W133" s="505"/>
      <c r="X133" s="505"/>
      <c r="Y133" s="298">
        <f t="shared" si="31"/>
        <v>0.1</v>
      </c>
      <c r="Z133" s="309"/>
      <c r="AA133" s="306"/>
      <c r="AB133" s="307"/>
      <c r="AC133" s="308" t="str">
        <f>IF(OR(AA133="",AB133=""),"",IF(AB133=$C$7,"Сокращение срока на "&amp;#REF!-#REF!-1&amp;" мес.","Сокращение платежа на "&amp;ROUND(Q133-Q134,2)&amp;" руб."))</f>
        <v/>
      </c>
    </row>
    <row r="134" spans="3:29" x14ac:dyDescent="0.2">
      <c r="C134" s="489"/>
      <c r="D134" s="489"/>
      <c r="E134" s="494"/>
      <c r="F134" s="494">
        <v>120</v>
      </c>
      <c r="G134" s="297">
        <f t="shared" si="17"/>
        <v>2031</v>
      </c>
      <c r="H134" s="297">
        <f t="shared" si="18"/>
        <v>365</v>
      </c>
      <c r="I134" s="488">
        <f t="shared" si="19"/>
        <v>48191</v>
      </c>
      <c r="J134" s="488"/>
      <c r="K134" s="494">
        <f t="shared" si="20"/>
        <v>30</v>
      </c>
      <c r="L134" s="488">
        <f t="shared" si="25"/>
        <v>48213</v>
      </c>
      <c r="M134" s="299">
        <f t="shared" si="30"/>
        <v>1777249.6292000001</v>
      </c>
      <c r="N134" s="303">
        <f t="shared" si="26"/>
        <v>0.1</v>
      </c>
      <c r="O134" s="299">
        <f t="shared" si="32"/>
        <v>14607.531198904111</v>
      </c>
      <c r="P134" s="299">
        <f t="shared" si="28"/>
        <v>37794</v>
      </c>
      <c r="Q134" s="299">
        <f t="shared" si="21"/>
        <v>37794.313038483175</v>
      </c>
      <c r="R134" s="302">
        <f t="shared" si="22"/>
        <v>37794.313038483175</v>
      </c>
      <c r="S134" s="302">
        <f t="shared" si="23"/>
        <v>14607.531198904111</v>
      </c>
      <c r="T134" s="299">
        <f t="shared" si="24"/>
        <v>23186.468801095889</v>
      </c>
      <c r="U134" s="299">
        <f t="shared" si="29"/>
        <v>1754063.1603999999</v>
      </c>
      <c r="V134" s="304"/>
      <c r="W134" s="505"/>
      <c r="X134" s="505"/>
      <c r="Y134" s="298">
        <f t="shared" si="31"/>
        <v>0.1</v>
      </c>
      <c r="Z134" s="309"/>
      <c r="AA134" s="306"/>
      <c r="AB134" s="307"/>
      <c r="AC134" s="308" t="str">
        <f>IF(OR(AA134="",AB134=""),"",IF(AB134=$C$7,"Сокращение срока на "&amp;#REF!-#REF!-1&amp;" мес.","Сокращение платежа на "&amp;ROUND(Q134-Q135,2)&amp;" руб."))</f>
        <v/>
      </c>
    </row>
    <row r="135" spans="3:29" x14ac:dyDescent="0.2">
      <c r="C135" s="489"/>
      <c r="D135" s="489"/>
      <c r="E135" s="494">
        <f>E123+1</f>
        <v>35</v>
      </c>
      <c r="F135" s="494">
        <v>121</v>
      </c>
      <c r="G135" s="297">
        <f t="shared" si="17"/>
        <v>2032</v>
      </c>
      <c r="H135" s="297">
        <f t="shared" si="18"/>
        <v>366</v>
      </c>
      <c r="I135" s="488">
        <f t="shared" si="19"/>
        <v>48222</v>
      </c>
      <c r="J135" s="488"/>
      <c r="K135" s="494">
        <f t="shared" si="20"/>
        <v>31</v>
      </c>
      <c r="L135" s="488">
        <f t="shared" si="25"/>
        <v>48244</v>
      </c>
      <c r="M135" s="299">
        <f t="shared" si="30"/>
        <v>1754063.1603999999</v>
      </c>
      <c r="N135" s="303">
        <f t="shared" si="26"/>
        <v>0.1</v>
      </c>
      <c r="O135" s="299">
        <f t="shared" si="32"/>
        <v>14856.819118142077</v>
      </c>
      <c r="P135" s="299">
        <f t="shared" si="28"/>
        <v>37794</v>
      </c>
      <c r="Q135" s="299">
        <f t="shared" si="21"/>
        <v>37794.313038483175</v>
      </c>
      <c r="R135" s="302">
        <f t="shared" si="22"/>
        <v>46801.361509821676</v>
      </c>
      <c r="S135" s="302">
        <f t="shared" si="23"/>
        <v>14856.819118142077</v>
      </c>
      <c r="T135" s="299">
        <f t="shared" si="24"/>
        <v>22937.180881857923</v>
      </c>
      <c r="U135" s="299">
        <f t="shared" si="29"/>
        <v>1731125.9794999999</v>
      </c>
      <c r="V135" s="304">
        <f>IF(U135=0,0,((U135*10%+U135)*(W135+X135)))</f>
        <v>9007.0484713384994</v>
      </c>
      <c r="W135" s="505">
        <f>INDEX('Тарифы СК'!$B$4:$C$53,MATCH($E$135,'Тарифы СК'!$A$4:$A$53,0),MATCH($AB$3,'Тарифы СК'!$B$3:$C$3,0))</f>
        <v>3.5299999999999997E-3</v>
      </c>
      <c r="X135" s="505">
        <f>'Тарифы СК'!$D$3</f>
        <v>1.1999999999999999E-3</v>
      </c>
      <c r="Y135" s="298">
        <f t="shared" si="31"/>
        <v>0.1</v>
      </c>
      <c r="Z135" s="309"/>
      <c r="AA135" s="306"/>
      <c r="AB135" s="307"/>
      <c r="AC135" s="308" t="str">
        <f>IF(OR(AA135="",AB135=""),"",IF(AB135=$C$7,"Сокращение срока на "&amp;#REF!-#REF!-1&amp;" мес.","Сокращение платежа на "&amp;ROUND(Q135-Q136,2)&amp;" руб."))</f>
        <v/>
      </c>
    </row>
    <row r="136" spans="3:29" x14ac:dyDescent="0.2">
      <c r="C136" s="489"/>
      <c r="D136" s="489"/>
      <c r="E136" s="494"/>
      <c r="F136" s="494">
        <v>122</v>
      </c>
      <c r="G136" s="297">
        <f t="shared" si="17"/>
        <v>2032</v>
      </c>
      <c r="H136" s="297">
        <f t="shared" si="18"/>
        <v>366</v>
      </c>
      <c r="I136" s="488">
        <f t="shared" si="19"/>
        <v>48253</v>
      </c>
      <c r="J136" s="488"/>
      <c r="K136" s="494">
        <f t="shared" si="20"/>
        <v>31</v>
      </c>
      <c r="L136" s="488">
        <f t="shared" si="25"/>
        <v>48273</v>
      </c>
      <c r="M136" s="299">
        <f t="shared" si="30"/>
        <v>1731125.9794999999</v>
      </c>
      <c r="N136" s="303">
        <f t="shared" si="26"/>
        <v>0.1</v>
      </c>
      <c r="O136" s="299">
        <f t="shared" si="32"/>
        <v>14662.542449316939</v>
      </c>
      <c r="P136" s="299">
        <f t="shared" si="28"/>
        <v>37794</v>
      </c>
      <c r="Q136" s="299">
        <f t="shared" si="21"/>
        <v>37794.313038483175</v>
      </c>
      <c r="R136" s="302">
        <f t="shared" si="22"/>
        <v>37794.313038483175</v>
      </c>
      <c r="S136" s="302">
        <f t="shared" si="23"/>
        <v>14662.542449316939</v>
      </c>
      <c r="T136" s="299">
        <f t="shared" si="24"/>
        <v>23131.457550683059</v>
      </c>
      <c r="U136" s="299">
        <f t="shared" si="29"/>
        <v>1707994.5219000001</v>
      </c>
      <c r="V136" s="304"/>
      <c r="W136" s="505"/>
      <c r="X136" s="505"/>
      <c r="Y136" s="298">
        <f t="shared" si="31"/>
        <v>0.1</v>
      </c>
      <c r="Z136" s="309"/>
      <c r="AA136" s="306"/>
      <c r="AB136" s="307"/>
      <c r="AC136" s="308" t="str">
        <f>IF(OR(AA136="",AB136=""),"",IF(AB136=$C$7,"Сокращение срока на "&amp;#REF!-#REF!-1&amp;" мес.","Сокращение платежа на "&amp;ROUND(Q136-Q137,2)&amp;" руб."))</f>
        <v/>
      </c>
    </row>
    <row r="137" spans="3:29" x14ac:dyDescent="0.2">
      <c r="C137" s="489"/>
      <c r="D137" s="489"/>
      <c r="E137" s="494"/>
      <c r="F137" s="494">
        <v>123</v>
      </c>
      <c r="G137" s="297">
        <f t="shared" si="17"/>
        <v>2032</v>
      </c>
      <c r="H137" s="297">
        <f t="shared" si="18"/>
        <v>366</v>
      </c>
      <c r="I137" s="488">
        <f t="shared" si="19"/>
        <v>48282</v>
      </c>
      <c r="J137" s="488"/>
      <c r="K137" s="494">
        <f t="shared" si="20"/>
        <v>29</v>
      </c>
      <c r="L137" s="488">
        <f t="shared" si="25"/>
        <v>48304</v>
      </c>
      <c r="M137" s="299">
        <f t="shared" si="30"/>
        <v>1707994.5219000001</v>
      </c>
      <c r="N137" s="303">
        <f t="shared" si="26"/>
        <v>0.1</v>
      </c>
      <c r="O137" s="299">
        <f t="shared" si="32"/>
        <v>13533.289927622951</v>
      </c>
      <c r="P137" s="299">
        <f t="shared" si="28"/>
        <v>37794</v>
      </c>
      <c r="Q137" s="299">
        <f t="shared" si="21"/>
        <v>37794.313038483175</v>
      </c>
      <c r="R137" s="302">
        <f t="shared" si="22"/>
        <v>37794.313038483175</v>
      </c>
      <c r="S137" s="302">
        <f t="shared" si="23"/>
        <v>13533.289927622951</v>
      </c>
      <c r="T137" s="299">
        <f t="shared" si="24"/>
        <v>24260.710072377049</v>
      </c>
      <c r="U137" s="299">
        <f t="shared" si="29"/>
        <v>1683733.8118</v>
      </c>
      <c r="V137" s="304"/>
      <c r="W137" s="505"/>
      <c r="X137" s="505"/>
      <c r="Y137" s="298">
        <f t="shared" si="31"/>
        <v>0.1</v>
      </c>
      <c r="Z137" s="309"/>
      <c r="AA137" s="306"/>
      <c r="AB137" s="307"/>
      <c r="AC137" s="308" t="str">
        <f>IF(OR(AA137="",AB137=""),"",IF(AB137=$C$7,"Сокращение срока на "&amp;#REF!-#REF!-1&amp;" мес.","Сокращение платежа на "&amp;ROUND(Q137-Q138,2)&amp;" руб."))</f>
        <v/>
      </c>
    </row>
    <row r="138" spans="3:29" x14ac:dyDescent="0.2">
      <c r="C138" s="489"/>
      <c r="D138" s="489"/>
      <c r="E138" s="494"/>
      <c r="F138" s="494">
        <v>124</v>
      </c>
      <c r="G138" s="297">
        <f t="shared" si="17"/>
        <v>2032</v>
      </c>
      <c r="H138" s="297">
        <f t="shared" si="18"/>
        <v>366</v>
      </c>
      <c r="I138" s="488">
        <f t="shared" si="19"/>
        <v>48313</v>
      </c>
      <c r="J138" s="488"/>
      <c r="K138" s="494">
        <f t="shared" si="20"/>
        <v>31</v>
      </c>
      <c r="L138" s="488">
        <f t="shared" si="25"/>
        <v>48334</v>
      </c>
      <c r="M138" s="299">
        <f t="shared" si="30"/>
        <v>1683733.8118</v>
      </c>
      <c r="N138" s="303">
        <f t="shared" si="26"/>
        <v>0.1</v>
      </c>
      <c r="O138" s="299">
        <f t="shared" si="32"/>
        <v>14261.133378633882</v>
      </c>
      <c r="P138" s="299">
        <f t="shared" si="28"/>
        <v>37794</v>
      </c>
      <c r="Q138" s="299">
        <f t="shared" si="21"/>
        <v>37794.313038483175</v>
      </c>
      <c r="R138" s="302">
        <f t="shared" si="22"/>
        <v>37794.313038483175</v>
      </c>
      <c r="S138" s="302">
        <f t="shared" si="23"/>
        <v>14261.133378633882</v>
      </c>
      <c r="T138" s="299">
        <f t="shared" si="24"/>
        <v>23532.86662136612</v>
      </c>
      <c r="U138" s="299">
        <f t="shared" si="29"/>
        <v>1660200.9452</v>
      </c>
      <c r="V138" s="304"/>
      <c r="W138" s="505"/>
      <c r="X138" s="505"/>
      <c r="Y138" s="298">
        <f t="shared" si="31"/>
        <v>0.1</v>
      </c>
      <c r="Z138" s="309"/>
      <c r="AA138" s="306"/>
      <c r="AB138" s="307"/>
      <c r="AC138" s="308" t="str">
        <f>IF(OR(AA138="",AB138=""),"",IF(AB138=$C$7,"Сокращение срока на "&amp;#REF!-#REF!-1&amp;" мес.","Сокращение платежа на "&amp;ROUND(Q138-Q139,2)&amp;" руб."))</f>
        <v/>
      </c>
    </row>
    <row r="139" spans="3:29" x14ac:dyDescent="0.2">
      <c r="C139" s="489"/>
      <c r="D139" s="489"/>
      <c r="E139" s="494"/>
      <c r="F139" s="494">
        <v>125</v>
      </c>
      <c r="G139" s="297">
        <f t="shared" si="17"/>
        <v>2032</v>
      </c>
      <c r="H139" s="297">
        <f t="shared" si="18"/>
        <v>366</v>
      </c>
      <c r="I139" s="488">
        <f t="shared" si="19"/>
        <v>48343</v>
      </c>
      <c r="J139" s="488"/>
      <c r="K139" s="494">
        <f t="shared" si="20"/>
        <v>30</v>
      </c>
      <c r="L139" s="488">
        <f t="shared" si="25"/>
        <v>48365</v>
      </c>
      <c r="M139" s="299">
        <f t="shared" si="30"/>
        <v>1660200.9452</v>
      </c>
      <c r="N139" s="303">
        <f t="shared" si="26"/>
        <v>0.1</v>
      </c>
      <c r="O139" s="299">
        <f t="shared" si="32"/>
        <v>13608.20446885246</v>
      </c>
      <c r="P139" s="299">
        <f t="shared" si="28"/>
        <v>37794</v>
      </c>
      <c r="Q139" s="299">
        <f t="shared" si="21"/>
        <v>37794.313038483175</v>
      </c>
      <c r="R139" s="302">
        <f t="shared" si="22"/>
        <v>37794.313038483175</v>
      </c>
      <c r="S139" s="302">
        <f t="shared" si="23"/>
        <v>13608.20446885246</v>
      </c>
      <c r="T139" s="299">
        <f t="shared" si="24"/>
        <v>24185.795531147538</v>
      </c>
      <c r="U139" s="299">
        <f t="shared" si="29"/>
        <v>1636015.1497</v>
      </c>
      <c r="V139" s="304"/>
      <c r="W139" s="505"/>
      <c r="X139" s="505"/>
      <c r="Y139" s="298">
        <f t="shared" si="31"/>
        <v>0.1</v>
      </c>
      <c r="Z139" s="309"/>
      <c r="AA139" s="306"/>
      <c r="AB139" s="307"/>
      <c r="AC139" s="308" t="str">
        <f>IF(OR(AA139="",AB139=""),"",IF(AB139=$C$7,"Сокращение срока на "&amp;#REF!-#REF!-1&amp;" мес.","Сокращение платежа на "&amp;ROUND(Q139-Q140,2)&amp;" руб."))</f>
        <v/>
      </c>
    </row>
    <row r="140" spans="3:29" x14ac:dyDescent="0.2">
      <c r="C140" s="489"/>
      <c r="D140" s="489"/>
      <c r="E140" s="494"/>
      <c r="F140" s="494">
        <v>126</v>
      </c>
      <c r="G140" s="297">
        <f t="shared" si="17"/>
        <v>2032</v>
      </c>
      <c r="H140" s="297">
        <f t="shared" si="18"/>
        <v>366</v>
      </c>
      <c r="I140" s="488">
        <f t="shared" si="19"/>
        <v>48374</v>
      </c>
      <c r="J140" s="488"/>
      <c r="K140" s="494">
        <f t="shared" si="20"/>
        <v>31</v>
      </c>
      <c r="L140" s="488">
        <f t="shared" si="25"/>
        <v>48395</v>
      </c>
      <c r="M140" s="299">
        <f t="shared" si="30"/>
        <v>1636015.1497</v>
      </c>
      <c r="N140" s="303">
        <f t="shared" si="26"/>
        <v>0.1</v>
      </c>
      <c r="O140" s="299">
        <f t="shared" si="32"/>
        <v>13856.958918224045</v>
      </c>
      <c r="P140" s="299">
        <f t="shared" si="28"/>
        <v>37794</v>
      </c>
      <c r="Q140" s="299">
        <f t="shared" si="21"/>
        <v>37794.313038483175</v>
      </c>
      <c r="R140" s="302">
        <f t="shared" si="22"/>
        <v>37794.313038483175</v>
      </c>
      <c r="S140" s="302">
        <f t="shared" si="23"/>
        <v>13856.958918224045</v>
      </c>
      <c r="T140" s="299">
        <f t="shared" si="24"/>
        <v>23937.041081775955</v>
      </c>
      <c r="U140" s="299">
        <f t="shared" si="29"/>
        <v>1612078.1085999999</v>
      </c>
      <c r="V140" s="304"/>
      <c r="W140" s="505"/>
      <c r="X140" s="505"/>
      <c r="Y140" s="298">
        <f t="shared" si="31"/>
        <v>0.1</v>
      </c>
      <c r="Z140" s="309"/>
      <c r="AA140" s="306"/>
      <c r="AB140" s="307"/>
      <c r="AC140" s="308" t="str">
        <f>IF(OR(AA140="",AB140=""),"",IF(AB140=$C$7,"Сокращение срока на "&amp;#REF!-#REF!-1&amp;" мес.","Сокращение платежа на "&amp;ROUND(Q140-Q141,2)&amp;" руб."))</f>
        <v/>
      </c>
    </row>
    <row r="141" spans="3:29" x14ac:dyDescent="0.2">
      <c r="C141" s="489"/>
      <c r="D141" s="489"/>
      <c r="E141" s="494"/>
      <c r="F141" s="494">
        <v>127</v>
      </c>
      <c r="G141" s="297">
        <f t="shared" si="17"/>
        <v>2032</v>
      </c>
      <c r="H141" s="297">
        <f t="shared" si="18"/>
        <v>366</v>
      </c>
      <c r="I141" s="488">
        <f t="shared" si="19"/>
        <v>48404</v>
      </c>
      <c r="J141" s="488"/>
      <c r="K141" s="494">
        <f t="shared" si="20"/>
        <v>30</v>
      </c>
      <c r="L141" s="488">
        <f t="shared" si="25"/>
        <v>48426</v>
      </c>
      <c r="M141" s="299">
        <f t="shared" si="30"/>
        <v>1612078.1085999999</v>
      </c>
      <c r="N141" s="303">
        <f t="shared" si="26"/>
        <v>0.1</v>
      </c>
      <c r="O141" s="299">
        <f t="shared" si="32"/>
        <v>13213.75498852459</v>
      </c>
      <c r="P141" s="299">
        <f t="shared" si="28"/>
        <v>37794</v>
      </c>
      <c r="Q141" s="299">
        <f t="shared" si="21"/>
        <v>37794.313038483175</v>
      </c>
      <c r="R141" s="302">
        <f t="shared" si="22"/>
        <v>37794.313038483175</v>
      </c>
      <c r="S141" s="302">
        <f t="shared" si="23"/>
        <v>13213.75498852459</v>
      </c>
      <c r="T141" s="299">
        <f t="shared" si="24"/>
        <v>24580.24501147541</v>
      </c>
      <c r="U141" s="299">
        <f t="shared" si="29"/>
        <v>1587497.8636</v>
      </c>
      <c r="V141" s="304"/>
      <c r="W141" s="505"/>
      <c r="X141" s="505"/>
      <c r="Y141" s="298">
        <f t="shared" si="31"/>
        <v>0.1</v>
      </c>
      <c r="Z141" s="309"/>
      <c r="AA141" s="306"/>
      <c r="AB141" s="307"/>
      <c r="AC141" s="308" t="str">
        <f>IF(OR(AA141="",AB141=""),"",IF(AB141=$C$7,"Сокращение срока на "&amp;#REF!-#REF!-1&amp;" мес.","Сокращение платежа на "&amp;ROUND(Q141-Q142,2)&amp;" руб."))</f>
        <v/>
      </c>
    </row>
    <row r="142" spans="3:29" x14ac:dyDescent="0.2">
      <c r="C142" s="489"/>
      <c r="D142" s="489"/>
      <c r="E142" s="494"/>
      <c r="F142" s="494">
        <v>128</v>
      </c>
      <c r="G142" s="297">
        <f t="shared" si="17"/>
        <v>2032</v>
      </c>
      <c r="H142" s="297">
        <f t="shared" si="18"/>
        <v>366</v>
      </c>
      <c r="I142" s="488">
        <f t="shared" si="19"/>
        <v>48435</v>
      </c>
      <c r="J142" s="488"/>
      <c r="K142" s="494">
        <f t="shared" si="20"/>
        <v>31</v>
      </c>
      <c r="L142" s="488">
        <f t="shared" si="25"/>
        <v>48457</v>
      </c>
      <c r="M142" s="299">
        <f t="shared" si="30"/>
        <v>1587497.8636</v>
      </c>
      <c r="N142" s="303">
        <f t="shared" si="26"/>
        <v>0.1</v>
      </c>
      <c r="O142" s="299">
        <f t="shared" si="32"/>
        <v>13446.020156174865</v>
      </c>
      <c r="P142" s="299">
        <f t="shared" si="28"/>
        <v>37794</v>
      </c>
      <c r="Q142" s="299">
        <f t="shared" si="21"/>
        <v>37794.313038483175</v>
      </c>
      <c r="R142" s="302">
        <f t="shared" si="22"/>
        <v>37794.313038483175</v>
      </c>
      <c r="S142" s="302">
        <f t="shared" si="23"/>
        <v>13446.020156174865</v>
      </c>
      <c r="T142" s="299">
        <f t="shared" si="24"/>
        <v>24347.979843825135</v>
      </c>
      <c r="U142" s="299">
        <f t="shared" si="29"/>
        <v>1563149.8838</v>
      </c>
      <c r="V142" s="304"/>
      <c r="W142" s="505"/>
      <c r="X142" s="505"/>
      <c r="Y142" s="298">
        <f t="shared" si="31"/>
        <v>0.1</v>
      </c>
      <c r="Z142" s="309"/>
      <c r="AA142" s="306"/>
      <c r="AB142" s="307"/>
      <c r="AC142" s="308" t="str">
        <f>IF(OR(AA142="",AB142=""),"",IF(AB142=$C$7,"Сокращение срока на "&amp;#REF!-#REF!-1&amp;" мес.","Сокращение платежа на "&amp;ROUND(Q142-Q143,2)&amp;" руб."))</f>
        <v/>
      </c>
    </row>
    <row r="143" spans="3:29" x14ac:dyDescent="0.2">
      <c r="C143" s="489"/>
      <c r="D143" s="489"/>
      <c r="E143" s="494"/>
      <c r="F143" s="494">
        <v>129</v>
      </c>
      <c r="G143" s="297">
        <f t="shared" si="17"/>
        <v>2032</v>
      </c>
      <c r="H143" s="297">
        <f t="shared" si="18"/>
        <v>366</v>
      </c>
      <c r="I143" s="488">
        <f t="shared" si="19"/>
        <v>48466</v>
      </c>
      <c r="J143" s="488"/>
      <c r="K143" s="494">
        <f t="shared" si="20"/>
        <v>31</v>
      </c>
      <c r="L143" s="488">
        <f t="shared" si="25"/>
        <v>48487</v>
      </c>
      <c r="M143" s="299">
        <f t="shared" si="30"/>
        <v>1563149.8838</v>
      </c>
      <c r="N143" s="303">
        <f t="shared" si="26"/>
        <v>0.1</v>
      </c>
      <c r="O143" s="299">
        <f t="shared" si="32"/>
        <v>13239.794097759563</v>
      </c>
      <c r="P143" s="299">
        <f t="shared" si="28"/>
        <v>37794</v>
      </c>
      <c r="Q143" s="299">
        <f t="shared" si="21"/>
        <v>37794.313038483175</v>
      </c>
      <c r="R143" s="302">
        <f t="shared" si="22"/>
        <v>37794.313038483175</v>
      </c>
      <c r="S143" s="302">
        <f t="shared" si="23"/>
        <v>13239.794097759563</v>
      </c>
      <c r="T143" s="299">
        <f t="shared" si="24"/>
        <v>24554.205902240436</v>
      </c>
      <c r="U143" s="299">
        <f t="shared" si="29"/>
        <v>1538595.6779</v>
      </c>
      <c r="V143" s="304"/>
      <c r="W143" s="505"/>
      <c r="X143" s="505"/>
      <c r="Y143" s="298">
        <f t="shared" si="31"/>
        <v>0.1</v>
      </c>
      <c r="Z143" s="309"/>
      <c r="AA143" s="306"/>
      <c r="AB143" s="307"/>
      <c r="AC143" s="308" t="str">
        <f>IF(OR(AA143="",AB143=""),"",IF(AB143=$C$7,"Сокращение срока на "&amp;#REF!-#REF!-1&amp;" мес.","Сокращение платежа на "&amp;ROUND(Q143-Q144,2)&amp;" руб."))</f>
        <v/>
      </c>
    </row>
    <row r="144" spans="3:29" x14ac:dyDescent="0.2">
      <c r="C144" s="489"/>
      <c r="D144" s="489"/>
      <c r="E144" s="494"/>
      <c r="F144" s="494">
        <v>130</v>
      </c>
      <c r="G144" s="297">
        <f t="shared" ref="G144:G207" si="33">YEAR(I144)</f>
        <v>2032</v>
      </c>
      <c r="H144" s="297">
        <f t="shared" ref="H144:H207" si="34">IF(MOD(G144,4),365,366)</f>
        <v>366</v>
      </c>
      <c r="I144" s="488">
        <f t="shared" ref="I144:I207" si="35">DATE(YEAR(L144),MONTH(L144),1)+$C$14</f>
        <v>48496</v>
      </c>
      <c r="J144" s="488"/>
      <c r="K144" s="494">
        <f t="shared" ref="K144:K207" si="36">I144-I143</f>
        <v>30</v>
      </c>
      <c r="L144" s="488">
        <f t="shared" si="25"/>
        <v>48518</v>
      </c>
      <c r="M144" s="299">
        <f t="shared" si="30"/>
        <v>1538595.6779</v>
      </c>
      <c r="N144" s="303">
        <f t="shared" si="26"/>
        <v>0.1</v>
      </c>
      <c r="O144" s="299">
        <f t="shared" si="32"/>
        <v>12611.439982786886</v>
      </c>
      <c r="P144" s="299">
        <f t="shared" si="28"/>
        <v>37794</v>
      </c>
      <c r="Q144" s="299">
        <f t="shared" ref="Q144:Q207" si="37">IFERROR(IF(M144&lt;0.001,0,PMT(N144/12,$U$10,-$U$4)),0)</f>
        <v>37794.313038483175</v>
      </c>
      <c r="R144" s="302">
        <f t="shared" ref="R144:R207" si="38">Q144+V144</f>
        <v>37794.313038483175</v>
      </c>
      <c r="S144" s="302">
        <f t="shared" ref="S144:S207" si="39">O144</f>
        <v>12611.439982786886</v>
      </c>
      <c r="T144" s="299">
        <f t="shared" ref="T144:T207" si="40">MIN(P144-S144+AA144,M144)</f>
        <v>25182.560017213116</v>
      </c>
      <c r="U144" s="299">
        <f t="shared" si="29"/>
        <v>1513413.1179</v>
      </c>
      <c r="V144" s="304"/>
      <c r="W144" s="505"/>
      <c r="X144" s="505"/>
      <c r="Y144" s="298">
        <f t="shared" si="31"/>
        <v>0.1</v>
      </c>
      <c r="Z144" s="309"/>
      <c r="AA144" s="306"/>
      <c r="AB144" s="307"/>
      <c r="AC144" s="308" t="str">
        <f>IF(OR(AA144="",AB144=""),"",IF(AB144=$C$7,"Сокращение срока на "&amp;#REF!-#REF!-1&amp;" мес.","Сокращение платежа на "&amp;ROUND(Q144-Q145,2)&amp;" руб."))</f>
        <v/>
      </c>
    </row>
    <row r="145" spans="3:29" x14ac:dyDescent="0.2">
      <c r="C145" s="489"/>
      <c r="D145" s="489"/>
      <c r="E145" s="494"/>
      <c r="F145" s="494">
        <v>131</v>
      </c>
      <c r="G145" s="297">
        <f t="shared" si="33"/>
        <v>2032</v>
      </c>
      <c r="H145" s="297">
        <f t="shared" si="34"/>
        <v>366</v>
      </c>
      <c r="I145" s="488">
        <f t="shared" si="35"/>
        <v>48527</v>
      </c>
      <c r="J145" s="488"/>
      <c r="K145" s="494">
        <f t="shared" si="36"/>
        <v>31</v>
      </c>
      <c r="L145" s="488">
        <f t="shared" ref="L145:L208" si="41">EOMONTH($U$2,F145-1)</f>
        <v>48548</v>
      </c>
      <c r="M145" s="299">
        <f t="shared" si="30"/>
        <v>1513413.1179</v>
      </c>
      <c r="N145" s="303">
        <f t="shared" ref="N145:N208" si="42">Y145</f>
        <v>0.1</v>
      </c>
      <c r="O145" s="299">
        <f t="shared" ref="O145:O176" si="43">M145*N145/H145*K145</f>
        <v>12818.526408442624</v>
      </c>
      <c r="P145" s="299">
        <f t="shared" ref="P145:P208" si="44">IF(M145&lt;INT(Q145),M145+S145,INT(Q145))</f>
        <v>37794</v>
      </c>
      <c r="Q145" s="299">
        <f t="shared" si="37"/>
        <v>37794.313038483175</v>
      </c>
      <c r="R145" s="302">
        <f t="shared" si="38"/>
        <v>37794.313038483175</v>
      </c>
      <c r="S145" s="302">
        <f t="shared" si="39"/>
        <v>12818.526408442624</v>
      </c>
      <c r="T145" s="299">
        <f t="shared" si="40"/>
        <v>24975.473591557376</v>
      </c>
      <c r="U145" s="299">
        <f t="shared" ref="U145:U208" si="45">ROUND(M145-T145,4)</f>
        <v>1488437.6443</v>
      </c>
      <c r="V145" s="304"/>
      <c r="W145" s="505"/>
      <c r="X145" s="505"/>
      <c r="Y145" s="298">
        <f t="shared" si="31"/>
        <v>0.1</v>
      </c>
      <c r="Z145" s="309"/>
      <c r="AA145" s="306"/>
      <c r="AB145" s="307"/>
      <c r="AC145" s="308" t="str">
        <f>IF(OR(AA145="",AB145=""),"",IF(AB145=$C$7,"Сокращение срока на "&amp;#REF!-#REF!-1&amp;" мес.","Сокращение платежа на "&amp;ROUND(Q145-Q146,2)&amp;" руб."))</f>
        <v/>
      </c>
    </row>
    <row r="146" spans="3:29" x14ac:dyDescent="0.2">
      <c r="C146" s="489"/>
      <c r="D146" s="489"/>
      <c r="E146" s="494"/>
      <c r="F146" s="494">
        <v>132</v>
      </c>
      <c r="G146" s="297">
        <f t="shared" si="33"/>
        <v>2032</v>
      </c>
      <c r="H146" s="297">
        <f t="shared" si="34"/>
        <v>366</v>
      </c>
      <c r="I146" s="488">
        <f t="shared" si="35"/>
        <v>48557</v>
      </c>
      <c r="J146" s="488"/>
      <c r="K146" s="494">
        <f t="shared" si="36"/>
        <v>30</v>
      </c>
      <c r="L146" s="488">
        <f t="shared" si="41"/>
        <v>48579</v>
      </c>
      <c r="M146" s="299">
        <f t="shared" ref="M146:M209" si="46">U145</f>
        <v>1488437.6443</v>
      </c>
      <c r="N146" s="303">
        <f t="shared" si="42"/>
        <v>0.1</v>
      </c>
      <c r="O146" s="299">
        <f t="shared" si="43"/>
        <v>12200.308559836067</v>
      </c>
      <c r="P146" s="299">
        <f t="shared" si="44"/>
        <v>37794</v>
      </c>
      <c r="Q146" s="299">
        <f t="shared" si="37"/>
        <v>37794.313038483175</v>
      </c>
      <c r="R146" s="302">
        <f t="shared" si="38"/>
        <v>37794.313038483175</v>
      </c>
      <c r="S146" s="302">
        <f t="shared" si="39"/>
        <v>12200.308559836067</v>
      </c>
      <c r="T146" s="299">
        <f t="shared" si="40"/>
        <v>25593.691440163933</v>
      </c>
      <c r="U146" s="299">
        <f t="shared" si="45"/>
        <v>1462843.9528999999</v>
      </c>
      <c r="V146" s="304"/>
      <c r="W146" s="505"/>
      <c r="X146" s="505"/>
      <c r="Y146" s="298">
        <f t="shared" ref="Y146:Y209" si="47">IF(Z146="",Y145,Z146)</f>
        <v>0.1</v>
      </c>
      <c r="Z146" s="309"/>
      <c r="AA146" s="306"/>
      <c r="AB146" s="307"/>
      <c r="AC146" s="308" t="str">
        <f>IF(OR(AA146="",AB146=""),"",IF(AB146=$C$7,"Сокращение срока на "&amp;#REF!-#REF!-1&amp;" мес.","Сокращение платежа на "&amp;ROUND(Q146-Q147,2)&amp;" руб."))</f>
        <v/>
      </c>
    </row>
    <row r="147" spans="3:29" x14ac:dyDescent="0.2">
      <c r="C147" s="489"/>
      <c r="D147" s="489"/>
      <c r="E147" s="494">
        <f>E135+1</f>
        <v>36</v>
      </c>
      <c r="F147" s="494">
        <v>133</v>
      </c>
      <c r="G147" s="297">
        <f t="shared" si="33"/>
        <v>2033</v>
      </c>
      <c r="H147" s="297">
        <f t="shared" si="34"/>
        <v>365</v>
      </c>
      <c r="I147" s="488">
        <f t="shared" si="35"/>
        <v>48588</v>
      </c>
      <c r="J147" s="488"/>
      <c r="K147" s="494">
        <f t="shared" si="36"/>
        <v>31</v>
      </c>
      <c r="L147" s="488">
        <f t="shared" si="41"/>
        <v>48610</v>
      </c>
      <c r="M147" s="299">
        <f t="shared" si="46"/>
        <v>1462843.9528999999</v>
      </c>
      <c r="N147" s="303">
        <f t="shared" si="42"/>
        <v>0.1</v>
      </c>
      <c r="O147" s="299">
        <f t="shared" si="43"/>
        <v>12424.154120520547</v>
      </c>
      <c r="P147" s="299">
        <f t="shared" si="44"/>
        <v>37794</v>
      </c>
      <c r="Q147" s="299">
        <f t="shared" si="37"/>
        <v>37794.313038483175</v>
      </c>
      <c r="R147" s="302">
        <f t="shared" si="38"/>
        <v>45795.293918045179</v>
      </c>
      <c r="S147" s="302">
        <f t="shared" si="39"/>
        <v>12424.154120520547</v>
      </c>
      <c r="T147" s="299">
        <f t="shared" si="40"/>
        <v>25369.845879479453</v>
      </c>
      <c r="U147" s="299">
        <f t="shared" si="45"/>
        <v>1437474.1070000001</v>
      </c>
      <c r="V147" s="304">
        <f>IF(U147=0,0,((U147*10%+U147)*(W147+X147)))</f>
        <v>8000.9808795620011</v>
      </c>
      <c r="W147" s="505">
        <f>INDEX('Тарифы СК'!$B$4:$C$53,MATCH($E$147,'Тарифы СК'!$A$4:$A$53,0),MATCH($AB$3,'Тарифы СК'!$B$3:$C$3,0))</f>
        <v>3.8600000000000001E-3</v>
      </c>
      <c r="X147" s="505">
        <f>'Тарифы СК'!$D$3</f>
        <v>1.1999999999999999E-3</v>
      </c>
      <c r="Y147" s="298">
        <f t="shared" si="47"/>
        <v>0.1</v>
      </c>
      <c r="Z147" s="309"/>
      <c r="AA147" s="306"/>
      <c r="AB147" s="307"/>
      <c r="AC147" s="308" t="str">
        <f>IF(OR(AA147="",AB147=""),"",IF(AB147=$C$7,"Сокращение срока на "&amp;#REF!-#REF!-1&amp;" мес.","Сокращение платежа на "&amp;ROUND(Q147-Q148,2)&amp;" руб."))</f>
        <v/>
      </c>
    </row>
    <row r="148" spans="3:29" x14ac:dyDescent="0.2">
      <c r="C148" s="489"/>
      <c r="D148" s="489"/>
      <c r="E148" s="494"/>
      <c r="F148" s="494">
        <v>134</v>
      </c>
      <c r="G148" s="297">
        <f t="shared" si="33"/>
        <v>2033</v>
      </c>
      <c r="H148" s="297">
        <f t="shared" si="34"/>
        <v>365</v>
      </c>
      <c r="I148" s="488">
        <f t="shared" si="35"/>
        <v>48619</v>
      </c>
      <c r="J148" s="488"/>
      <c r="K148" s="494">
        <f t="shared" si="36"/>
        <v>31</v>
      </c>
      <c r="L148" s="488">
        <f t="shared" si="41"/>
        <v>48638</v>
      </c>
      <c r="M148" s="299">
        <f t="shared" si="46"/>
        <v>1437474.1070000001</v>
      </c>
      <c r="N148" s="303">
        <f t="shared" si="42"/>
        <v>0.1</v>
      </c>
      <c r="O148" s="299">
        <f t="shared" si="43"/>
        <v>12208.684196438357</v>
      </c>
      <c r="P148" s="299">
        <f t="shared" si="44"/>
        <v>37794</v>
      </c>
      <c r="Q148" s="299">
        <f t="shared" si="37"/>
        <v>37794.313038483175</v>
      </c>
      <c r="R148" s="302">
        <f t="shared" si="38"/>
        <v>37794.313038483175</v>
      </c>
      <c r="S148" s="302">
        <f t="shared" si="39"/>
        <v>12208.684196438357</v>
      </c>
      <c r="T148" s="299">
        <f t="shared" si="40"/>
        <v>25585.315803561643</v>
      </c>
      <c r="U148" s="299">
        <f t="shared" si="45"/>
        <v>1411888.7912000001</v>
      </c>
      <c r="V148" s="304"/>
      <c r="W148" s="505"/>
      <c r="X148" s="505"/>
      <c r="Y148" s="298">
        <f t="shared" si="47"/>
        <v>0.1</v>
      </c>
      <c r="Z148" s="309"/>
      <c r="AA148" s="306"/>
      <c r="AB148" s="307"/>
      <c r="AC148" s="308" t="str">
        <f>IF(OR(AA148="",AB148=""),"",IF(AB148=$C$7,"Сокращение срока на "&amp;#REF!-#REF!-1&amp;" мес.","Сокращение платежа на "&amp;ROUND(Q148-Q149,2)&amp;" руб."))</f>
        <v/>
      </c>
    </row>
    <row r="149" spans="3:29" x14ac:dyDescent="0.2">
      <c r="C149" s="489"/>
      <c r="D149" s="489"/>
      <c r="E149" s="494"/>
      <c r="F149" s="494">
        <v>135</v>
      </c>
      <c r="G149" s="297">
        <f t="shared" si="33"/>
        <v>2033</v>
      </c>
      <c r="H149" s="297">
        <f t="shared" si="34"/>
        <v>365</v>
      </c>
      <c r="I149" s="488">
        <f t="shared" si="35"/>
        <v>48647</v>
      </c>
      <c r="J149" s="488"/>
      <c r="K149" s="494">
        <f t="shared" si="36"/>
        <v>28</v>
      </c>
      <c r="L149" s="488">
        <f t="shared" si="41"/>
        <v>48669</v>
      </c>
      <c r="M149" s="299">
        <f t="shared" si="46"/>
        <v>1411888.7912000001</v>
      </c>
      <c r="N149" s="303">
        <f t="shared" si="42"/>
        <v>0.1</v>
      </c>
      <c r="O149" s="299">
        <f t="shared" si="43"/>
        <v>10830.92771331507</v>
      </c>
      <c r="P149" s="299">
        <f t="shared" si="44"/>
        <v>37794</v>
      </c>
      <c r="Q149" s="299">
        <f t="shared" si="37"/>
        <v>37794.313038483175</v>
      </c>
      <c r="R149" s="302">
        <f t="shared" si="38"/>
        <v>37794.313038483175</v>
      </c>
      <c r="S149" s="302">
        <f t="shared" si="39"/>
        <v>10830.92771331507</v>
      </c>
      <c r="T149" s="299">
        <f t="shared" si="40"/>
        <v>26963.072286684932</v>
      </c>
      <c r="U149" s="299">
        <f t="shared" si="45"/>
        <v>1384925.7189</v>
      </c>
      <c r="V149" s="304"/>
      <c r="W149" s="505"/>
      <c r="X149" s="505"/>
      <c r="Y149" s="298">
        <f t="shared" si="47"/>
        <v>0.1</v>
      </c>
      <c r="Z149" s="309"/>
      <c r="AA149" s="306"/>
      <c r="AB149" s="307"/>
      <c r="AC149" s="308" t="str">
        <f>IF(OR(AA149="",AB149=""),"",IF(AB149=$C$7,"Сокращение срока на "&amp;#REF!-#REF!-1&amp;" мес.","Сокращение платежа на "&amp;ROUND(Q149-Q150,2)&amp;" руб."))</f>
        <v/>
      </c>
    </row>
    <row r="150" spans="3:29" x14ac:dyDescent="0.2">
      <c r="C150" s="489"/>
      <c r="D150" s="489"/>
      <c r="E150" s="494"/>
      <c r="F150" s="494">
        <v>136</v>
      </c>
      <c r="G150" s="297">
        <f t="shared" si="33"/>
        <v>2033</v>
      </c>
      <c r="H150" s="297">
        <f t="shared" si="34"/>
        <v>365</v>
      </c>
      <c r="I150" s="488">
        <f t="shared" si="35"/>
        <v>48678</v>
      </c>
      <c r="J150" s="488"/>
      <c r="K150" s="494">
        <f t="shared" si="36"/>
        <v>31</v>
      </c>
      <c r="L150" s="488">
        <f t="shared" si="41"/>
        <v>48699</v>
      </c>
      <c r="M150" s="299">
        <f t="shared" si="46"/>
        <v>1384925.7189</v>
      </c>
      <c r="N150" s="303">
        <f t="shared" si="42"/>
        <v>0.1</v>
      </c>
      <c r="O150" s="299">
        <f t="shared" si="43"/>
        <v>11762.382818054793</v>
      </c>
      <c r="P150" s="299">
        <f t="shared" si="44"/>
        <v>37794</v>
      </c>
      <c r="Q150" s="299">
        <f t="shared" si="37"/>
        <v>37794.313038483175</v>
      </c>
      <c r="R150" s="302">
        <f t="shared" si="38"/>
        <v>37794.313038483175</v>
      </c>
      <c r="S150" s="302">
        <f t="shared" si="39"/>
        <v>11762.382818054793</v>
      </c>
      <c r="T150" s="299">
        <f t="shared" si="40"/>
        <v>26031.617181945207</v>
      </c>
      <c r="U150" s="299">
        <f t="shared" si="45"/>
        <v>1358894.1017</v>
      </c>
      <c r="V150" s="304"/>
      <c r="W150" s="505"/>
      <c r="X150" s="505"/>
      <c r="Y150" s="298">
        <f t="shared" si="47"/>
        <v>0.1</v>
      </c>
      <c r="Z150" s="309"/>
      <c r="AA150" s="306"/>
      <c r="AB150" s="307"/>
      <c r="AC150" s="308" t="str">
        <f>IF(OR(AA150="",AB150=""),"",IF(AB150=$C$7,"Сокращение срока на "&amp;#REF!-#REF!-1&amp;" мес.","Сокращение платежа на "&amp;ROUND(Q150-Q151,2)&amp;" руб."))</f>
        <v/>
      </c>
    </row>
    <row r="151" spans="3:29" x14ac:dyDescent="0.2">
      <c r="C151" s="489"/>
      <c r="D151" s="489"/>
      <c r="E151" s="494"/>
      <c r="F151" s="494">
        <v>137</v>
      </c>
      <c r="G151" s="297">
        <f t="shared" si="33"/>
        <v>2033</v>
      </c>
      <c r="H151" s="297">
        <f t="shared" si="34"/>
        <v>365</v>
      </c>
      <c r="I151" s="488">
        <f t="shared" si="35"/>
        <v>48708</v>
      </c>
      <c r="J151" s="488"/>
      <c r="K151" s="494">
        <f t="shared" si="36"/>
        <v>30</v>
      </c>
      <c r="L151" s="488">
        <f t="shared" si="41"/>
        <v>48730</v>
      </c>
      <c r="M151" s="299">
        <f t="shared" si="46"/>
        <v>1358894.1017</v>
      </c>
      <c r="N151" s="303">
        <f t="shared" si="42"/>
        <v>0.1</v>
      </c>
      <c r="O151" s="299">
        <f t="shared" si="43"/>
        <v>11168.99261671233</v>
      </c>
      <c r="P151" s="299">
        <f t="shared" si="44"/>
        <v>37794</v>
      </c>
      <c r="Q151" s="299">
        <f t="shared" si="37"/>
        <v>37794.313038483175</v>
      </c>
      <c r="R151" s="302">
        <f t="shared" si="38"/>
        <v>37794.313038483175</v>
      </c>
      <c r="S151" s="302">
        <f t="shared" si="39"/>
        <v>11168.99261671233</v>
      </c>
      <c r="T151" s="299">
        <f t="shared" si="40"/>
        <v>26625.00738328767</v>
      </c>
      <c r="U151" s="299">
        <f t="shared" si="45"/>
        <v>1332269.0943</v>
      </c>
      <c r="V151" s="304"/>
      <c r="W151" s="505"/>
      <c r="X151" s="505"/>
      <c r="Y151" s="298">
        <f t="shared" si="47"/>
        <v>0.1</v>
      </c>
      <c r="Z151" s="309"/>
      <c r="AA151" s="306"/>
      <c r="AB151" s="307"/>
      <c r="AC151" s="308" t="str">
        <f>IF(OR(AA151="",AB151=""),"",IF(AB151=$C$7,"Сокращение срока на "&amp;#REF!-#REF!-1&amp;" мес.","Сокращение платежа на "&amp;ROUND(Q151-Q152,2)&amp;" руб."))</f>
        <v/>
      </c>
    </row>
    <row r="152" spans="3:29" x14ac:dyDescent="0.2">
      <c r="C152" s="489"/>
      <c r="D152" s="489"/>
      <c r="E152" s="494"/>
      <c r="F152" s="494">
        <v>138</v>
      </c>
      <c r="G152" s="297">
        <f t="shared" si="33"/>
        <v>2033</v>
      </c>
      <c r="H152" s="297">
        <f t="shared" si="34"/>
        <v>365</v>
      </c>
      <c r="I152" s="488">
        <f t="shared" si="35"/>
        <v>48739</v>
      </c>
      <c r="J152" s="488"/>
      <c r="K152" s="494">
        <f t="shared" si="36"/>
        <v>31</v>
      </c>
      <c r="L152" s="488">
        <f t="shared" si="41"/>
        <v>48760</v>
      </c>
      <c r="M152" s="299">
        <f t="shared" si="46"/>
        <v>1332269.0943</v>
      </c>
      <c r="N152" s="303">
        <f t="shared" si="42"/>
        <v>0.1</v>
      </c>
      <c r="O152" s="299">
        <f t="shared" si="43"/>
        <v>11315.162170767124</v>
      </c>
      <c r="P152" s="299">
        <f t="shared" si="44"/>
        <v>37794</v>
      </c>
      <c r="Q152" s="299">
        <f t="shared" si="37"/>
        <v>37794.313038483175</v>
      </c>
      <c r="R152" s="302">
        <f t="shared" si="38"/>
        <v>37794.313038483175</v>
      </c>
      <c r="S152" s="302">
        <f t="shared" si="39"/>
        <v>11315.162170767124</v>
      </c>
      <c r="T152" s="299">
        <f t="shared" si="40"/>
        <v>26478.837829232878</v>
      </c>
      <c r="U152" s="299">
        <f t="shared" si="45"/>
        <v>1305790.2564999999</v>
      </c>
      <c r="V152" s="304"/>
      <c r="W152" s="505"/>
      <c r="X152" s="505"/>
      <c r="Y152" s="298">
        <f t="shared" si="47"/>
        <v>0.1</v>
      </c>
      <c r="Z152" s="309"/>
      <c r="AA152" s="306"/>
      <c r="AB152" s="307"/>
      <c r="AC152" s="308" t="str">
        <f>IF(OR(AA152="",AB152=""),"",IF(AB152=$C$7,"Сокращение срока на "&amp;#REF!-#REF!-1&amp;" мес.","Сокращение платежа на "&amp;ROUND(Q152-Q153,2)&amp;" руб."))</f>
        <v/>
      </c>
    </row>
    <row r="153" spans="3:29" x14ac:dyDescent="0.2">
      <c r="C153" s="489"/>
      <c r="D153" s="489"/>
      <c r="E153" s="494"/>
      <c r="F153" s="494">
        <v>139</v>
      </c>
      <c r="G153" s="297">
        <f t="shared" si="33"/>
        <v>2033</v>
      </c>
      <c r="H153" s="297">
        <f t="shared" si="34"/>
        <v>365</v>
      </c>
      <c r="I153" s="488">
        <f t="shared" si="35"/>
        <v>48769</v>
      </c>
      <c r="J153" s="488"/>
      <c r="K153" s="494">
        <f t="shared" si="36"/>
        <v>30</v>
      </c>
      <c r="L153" s="488">
        <f t="shared" si="41"/>
        <v>48791</v>
      </c>
      <c r="M153" s="299">
        <f t="shared" si="46"/>
        <v>1305790.2564999999</v>
      </c>
      <c r="N153" s="303">
        <f t="shared" si="42"/>
        <v>0.1</v>
      </c>
      <c r="O153" s="299">
        <f t="shared" si="43"/>
        <v>10732.522656164383</v>
      </c>
      <c r="P153" s="299">
        <f t="shared" si="44"/>
        <v>37794</v>
      </c>
      <c r="Q153" s="299">
        <f t="shared" si="37"/>
        <v>37794.313038483175</v>
      </c>
      <c r="R153" s="302">
        <f t="shared" si="38"/>
        <v>37794.313038483175</v>
      </c>
      <c r="S153" s="302">
        <f t="shared" si="39"/>
        <v>10732.522656164383</v>
      </c>
      <c r="T153" s="299">
        <f t="shared" si="40"/>
        <v>27061.477343835617</v>
      </c>
      <c r="U153" s="299">
        <f t="shared" si="45"/>
        <v>1278728.7792</v>
      </c>
      <c r="V153" s="304"/>
      <c r="W153" s="505"/>
      <c r="X153" s="505"/>
      <c r="Y153" s="298">
        <f t="shared" si="47"/>
        <v>0.1</v>
      </c>
      <c r="Z153" s="309"/>
      <c r="AA153" s="306"/>
      <c r="AB153" s="307"/>
      <c r="AC153" s="308" t="str">
        <f>IF(OR(AA153="",AB153=""),"",IF(AB153=$C$7,"Сокращение срока на "&amp;#REF!-#REF!-1&amp;" мес.","Сокращение платежа на "&amp;ROUND(Q153-Q154,2)&amp;" руб."))</f>
        <v/>
      </c>
    </row>
    <row r="154" spans="3:29" x14ac:dyDescent="0.2">
      <c r="C154" s="489"/>
      <c r="D154" s="489"/>
      <c r="E154" s="494"/>
      <c r="F154" s="494">
        <v>140</v>
      </c>
      <c r="G154" s="297">
        <f t="shared" si="33"/>
        <v>2033</v>
      </c>
      <c r="H154" s="297">
        <f t="shared" si="34"/>
        <v>365</v>
      </c>
      <c r="I154" s="488">
        <f t="shared" si="35"/>
        <v>48800</v>
      </c>
      <c r="J154" s="488"/>
      <c r="K154" s="494">
        <f t="shared" si="36"/>
        <v>31</v>
      </c>
      <c r="L154" s="488">
        <f t="shared" si="41"/>
        <v>48822</v>
      </c>
      <c r="M154" s="299">
        <f t="shared" si="46"/>
        <v>1278728.7792</v>
      </c>
      <c r="N154" s="303">
        <f t="shared" si="42"/>
        <v>0.1</v>
      </c>
      <c r="O154" s="299">
        <f t="shared" si="43"/>
        <v>10860.436206904109</v>
      </c>
      <c r="P154" s="299">
        <f t="shared" si="44"/>
        <v>37794</v>
      </c>
      <c r="Q154" s="299">
        <f t="shared" si="37"/>
        <v>37794.313038483175</v>
      </c>
      <c r="R154" s="302">
        <f t="shared" si="38"/>
        <v>37794.313038483175</v>
      </c>
      <c r="S154" s="302">
        <f t="shared" si="39"/>
        <v>10860.436206904109</v>
      </c>
      <c r="T154" s="299">
        <f t="shared" si="40"/>
        <v>26933.563793095891</v>
      </c>
      <c r="U154" s="299">
        <f t="shared" si="45"/>
        <v>1251795.2154000001</v>
      </c>
      <c r="V154" s="304"/>
      <c r="W154" s="505"/>
      <c r="X154" s="505"/>
      <c r="Y154" s="298">
        <f t="shared" si="47"/>
        <v>0.1</v>
      </c>
      <c r="Z154" s="309"/>
      <c r="AA154" s="306"/>
      <c r="AB154" s="307"/>
      <c r="AC154" s="308" t="str">
        <f>IF(OR(AA154="",AB154=""),"",IF(AB154=$C$7,"Сокращение срока на "&amp;#REF!-#REF!-1&amp;" мес.","Сокращение платежа на "&amp;ROUND(Q154-Q155,2)&amp;" руб."))</f>
        <v/>
      </c>
    </row>
    <row r="155" spans="3:29" x14ac:dyDescent="0.2">
      <c r="C155" s="489"/>
      <c r="D155" s="489"/>
      <c r="E155" s="494"/>
      <c r="F155" s="494">
        <v>141</v>
      </c>
      <c r="G155" s="297">
        <f t="shared" si="33"/>
        <v>2033</v>
      </c>
      <c r="H155" s="297">
        <f t="shared" si="34"/>
        <v>365</v>
      </c>
      <c r="I155" s="488">
        <f t="shared" si="35"/>
        <v>48831</v>
      </c>
      <c r="J155" s="488"/>
      <c r="K155" s="494">
        <f t="shared" si="36"/>
        <v>31</v>
      </c>
      <c r="L155" s="488">
        <f t="shared" si="41"/>
        <v>48852</v>
      </c>
      <c r="M155" s="299">
        <f t="shared" si="46"/>
        <v>1251795.2154000001</v>
      </c>
      <c r="N155" s="303">
        <f t="shared" si="42"/>
        <v>0.1</v>
      </c>
      <c r="O155" s="299">
        <f t="shared" si="43"/>
        <v>10631.685391068493</v>
      </c>
      <c r="P155" s="299">
        <f t="shared" si="44"/>
        <v>37794</v>
      </c>
      <c r="Q155" s="299">
        <f t="shared" si="37"/>
        <v>37794.313038483175</v>
      </c>
      <c r="R155" s="302">
        <f t="shared" si="38"/>
        <v>37794.313038483175</v>
      </c>
      <c r="S155" s="302">
        <f t="shared" si="39"/>
        <v>10631.685391068493</v>
      </c>
      <c r="T155" s="299">
        <f t="shared" si="40"/>
        <v>27162.314608931505</v>
      </c>
      <c r="U155" s="299">
        <f t="shared" si="45"/>
        <v>1224632.9007999999</v>
      </c>
      <c r="V155" s="304"/>
      <c r="W155" s="505"/>
      <c r="X155" s="505"/>
      <c r="Y155" s="298">
        <f t="shared" si="47"/>
        <v>0.1</v>
      </c>
      <c r="Z155" s="309"/>
      <c r="AA155" s="306"/>
      <c r="AB155" s="307"/>
      <c r="AC155" s="308" t="str">
        <f>IF(OR(AA155="",AB155=""),"",IF(AB155=$C$7,"Сокращение срока на "&amp;#REF!-#REF!-1&amp;" мес.","Сокращение платежа на "&amp;ROUND(Q155-Q156,2)&amp;" руб."))</f>
        <v/>
      </c>
    </row>
    <row r="156" spans="3:29" x14ac:dyDescent="0.2">
      <c r="C156" s="489"/>
      <c r="D156" s="489"/>
      <c r="E156" s="494"/>
      <c r="F156" s="494">
        <v>142</v>
      </c>
      <c r="G156" s="297">
        <f t="shared" si="33"/>
        <v>2033</v>
      </c>
      <c r="H156" s="297">
        <f t="shared" si="34"/>
        <v>365</v>
      </c>
      <c r="I156" s="488">
        <f t="shared" si="35"/>
        <v>48861</v>
      </c>
      <c r="J156" s="488"/>
      <c r="K156" s="494">
        <f t="shared" si="36"/>
        <v>30</v>
      </c>
      <c r="L156" s="488">
        <f t="shared" si="41"/>
        <v>48883</v>
      </c>
      <c r="M156" s="299">
        <f t="shared" si="46"/>
        <v>1224632.9007999999</v>
      </c>
      <c r="N156" s="303">
        <f t="shared" si="42"/>
        <v>0.1</v>
      </c>
      <c r="O156" s="299">
        <f t="shared" si="43"/>
        <v>10065.475896986301</v>
      </c>
      <c r="P156" s="299">
        <f t="shared" si="44"/>
        <v>37794</v>
      </c>
      <c r="Q156" s="299">
        <f t="shared" si="37"/>
        <v>37794.313038483175</v>
      </c>
      <c r="R156" s="302">
        <f t="shared" si="38"/>
        <v>37794.313038483175</v>
      </c>
      <c r="S156" s="302">
        <f t="shared" si="39"/>
        <v>10065.475896986301</v>
      </c>
      <c r="T156" s="299">
        <f t="shared" si="40"/>
        <v>27728.524103013697</v>
      </c>
      <c r="U156" s="299">
        <f t="shared" si="45"/>
        <v>1196904.3766999999</v>
      </c>
      <c r="V156" s="304"/>
      <c r="W156" s="505"/>
      <c r="X156" s="505"/>
      <c r="Y156" s="298">
        <f t="shared" si="47"/>
        <v>0.1</v>
      </c>
      <c r="Z156" s="309"/>
      <c r="AA156" s="306"/>
      <c r="AB156" s="307"/>
      <c r="AC156" s="308" t="str">
        <f>IF(OR(AA156="",AB156=""),"",IF(AB156=$C$7,"Сокращение срока на "&amp;#REF!-#REF!-1&amp;" мес.","Сокращение платежа на "&amp;ROUND(Q156-Q157,2)&amp;" руб."))</f>
        <v/>
      </c>
    </row>
    <row r="157" spans="3:29" x14ac:dyDescent="0.2">
      <c r="C157" s="489"/>
      <c r="D157" s="489"/>
      <c r="E157" s="494"/>
      <c r="F157" s="494">
        <v>143</v>
      </c>
      <c r="G157" s="297">
        <f t="shared" si="33"/>
        <v>2033</v>
      </c>
      <c r="H157" s="297">
        <f t="shared" si="34"/>
        <v>365</v>
      </c>
      <c r="I157" s="488">
        <f t="shared" si="35"/>
        <v>48892</v>
      </c>
      <c r="J157" s="488"/>
      <c r="K157" s="494">
        <f t="shared" si="36"/>
        <v>31</v>
      </c>
      <c r="L157" s="488">
        <f t="shared" si="41"/>
        <v>48913</v>
      </c>
      <c r="M157" s="299">
        <f t="shared" si="46"/>
        <v>1196904.3766999999</v>
      </c>
      <c r="N157" s="303">
        <f t="shared" si="42"/>
        <v>0.1</v>
      </c>
      <c r="O157" s="299">
        <f t="shared" si="43"/>
        <v>10165.489226767124</v>
      </c>
      <c r="P157" s="299">
        <f t="shared" si="44"/>
        <v>37794</v>
      </c>
      <c r="Q157" s="299">
        <f t="shared" si="37"/>
        <v>37794.313038483175</v>
      </c>
      <c r="R157" s="302">
        <f t="shared" si="38"/>
        <v>37794.313038483175</v>
      </c>
      <c r="S157" s="302">
        <f t="shared" si="39"/>
        <v>10165.489226767124</v>
      </c>
      <c r="T157" s="299">
        <f t="shared" si="40"/>
        <v>27628.510773232876</v>
      </c>
      <c r="U157" s="299">
        <f t="shared" si="45"/>
        <v>1169275.8659000001</v>
      </c>
      <c r="V157" s="304"/>
      <c r="W157" s="505"/>
      <c r="X157" s="505"/>
      <c r="Y157" s="298">
        <f t="shared" si="47"/>
        <v>0.1</v>
      </c>
      <c r="Z157" s="309"/>
      <c r="AA157" s="306"/>
      <c r="AB157" s="307"/>
      <c r="AC157" s="308" t="str">
        <f>IF(OR(AA157="",AB157=""),"",IF(AB157=$C$7,"Сокращение срока на "&amp;#REF!-#REF!-1&amp;" мес.","Сокращение платежа на "&amp;ROUND(Q157-Q158,2)&amp;" руб."))</f>
        <v/>
      </c>
    </row>
    <row r="158" spans="3:29" x14ac:dyDescent="0.2">
      <c r="C158" s="489"/>
      <c r="D158" s="489"/>
      <c r="E158" s="494"/>
      <c r="F158" s="494">
        <v>144</v>
      </c>
      <c r="G158" s="297">
        <f t="shared" si="33"/>
        <v>2033</v>
      </c>
      <c r="H158" s="297">
        <f t="shared" si="34"/>
        <v>365</v>
      </c>
      <c r="I158" s="488">
        <f t="shared" si="35"/>
        <v>48922</v>
      </c>
      <c r="J158" s="488"/>
      <c r="K158" s="494">
        <f t="shared" si="36"/>
        <v>30</v>
      </c>
      <c r="L158" s="488">
        <f t="shared" si="41"/>
        <v>48944</v>
      </c>
      <c r="M158" s="299">
        <f t="shared" si="46"/>
        <v>1169275.8659000001</v>
      </c>
      <c r="N158" s="303">
        <f t="shared" si="42"/>
        <v>0.1</v>
      </c>
      <c r="O158" s="299">
        <f t="shared" si="43"/>
        <v>9610.486569041097</v>
      </c>
      <c r="P158" s="299">
        <f t="shared" si="44"/>
        <v>37794</v>
      </c>
      <c r="Q158" s="299">
        <f t="shared" si="37"/>
        <v>37794.313038483175</v>
      </c>
      <c r="R158" s="302">
        <f t="shared" si="38"/>
        <v>37794.313038483175</v>
      </c>
      <c r="S158" s="302">
        <f t="shared" si="39"/>
        <v>9610.486569041097</v>
      </c>
      <c r="T158" s="299">
        <f t="shared" si="40"/>
        <v>28183.513430958905</v>
      </c>
      <c r="U158" s="299">
        <f t="shared" si="45"/>
        <v>1141092.3525</v>
      </c>
      <c r="V158" s="304"/>
      <c r="W158" s="505"/>
      <c r="X158" s="505"/>
      <c r="Y158" s="298">
        <f t="shared" si="47"/>
        <v>0.1</v>
      </c>
      <c r="Z158" s="309"/>
      <c r="AA158" s="306"/>
      <c r="AB158" s="307"/>
      <c r="AC158" s="308" t="str">
        <f>IF(OR(AA158="",AB158=""),"",IF(AB158=$C$7,"Сокращение срока на "&amp;#REF!-#REF!-1&amp;" мес.","Сокращение платежа на "&amp;ROUND(Q158-Q159,2)&amp;" руб."))</f>
        <v/>
      </c>
    </row>
    <row r="159" spans="3:29" x14ac:dyDescent="0.2">
      <c r="C159" s="489"/>
      <c r="D159" s="489"/>
      <c r="E159" s="494">
        <f>E147+1</f>
        <v>37</v>
      </c>
      <c r="F159" s="494">
        <v>145</v>
      </c>
      <c r="G159" s="297">
        <f t="shared" si="33"/>
        <v>2034</v>
      </c>
      <c r="H159" s="297">
        <f t="shared" si="34"/>
        <v>365</v>
      </c>
      <c r="I159" s="488">
        <f t="shared" si="35"/>
        <v>48953</v>
      </c>
      <c r="J159" s="488"/>
      <c r="K159" s="494">
        <f t="shared" si="36"/>
        <v>31</v>
      </c>
      <c r="L159" s="488">
        <f t="shared" si="41"/>
        <v>48975</v>
      </c>
      <c r="M159" s="299">
        <f t="shared" si="46"/>
        <v>1141092.3525</v>
      </c>
      <c r="N159" s="303">
        <f t="shared" si="42"/>
        <v>0.1</v>
      </c>
      <c r="O159" s="299">
        <f t="shared" si="43"/>
        <v>9691.4692952054811</v>
      </c>
      <c r="P159" s="299">
        <f t="shared" si="44"/>
        <v>37794</v>
      </c>
      <c r="Q159" s="299">
        <f t="shared" si="37"/>
        <v>37794.313038483175</v>
      </c>
      <c r="R159" s="302">
        <f t="shared" si="38"/>
        <v>44246.315035457774</v>
      </c>
      <c r="S159" s="302">
        <f t="shared" si="39"/>
        <v>9691.4692952054811</v>
      </c>
      <c r="T159" s="299">
        <f t="shared" si="40"/>
        <v>28102.530704794517</v>
      </c>
      <c r="U159" s="299">
        <f t="shared" si="45"/>
        <v>1112989.8218</v>
      </c>
      <c r="V159" s="304">
        <f>IF(U159=0,0,((U159*10%+U159)*(W159+X159)))</f>
        <v>6452.0019969745999</v>
      </c>
      <c r="W159" s="505">
        <f>INDEX('Тарифы СК'!$B$4:$C$53,MATCH($E$159,'Тарифы СК'!$A$4:$A$53,0),MATCH($AB$3,'Тарифы СК'!$B$3:$C$3,0))</f>
        <v>4.0699999999999998E-3</v>
      </c>
      <c r="X159" s="505">
        <f>'Тарифы СК'!$D$3</f>
        <v>1.1999999999999999E-3</v>
      </c>
      <c r="Y159" s="298">
        <f t="shared" si="47"/>
        <v>0.1</v>
      </c>
      <c r="Z159" s="309"/>
      <c r="AA159" s="306"/>
      <c r="AB159" s="307"/>
      <c r="AC159" s="308" t="str">
        <f>IF(OR(AA159="",AB159=""),"",IF(AB159=$C$7,"Сокращение срока на "&amp;#REF!-#REF!-1&amp;" мес.","Сокращение платежа на "&amp;ROUND(Q159-Q160,2)&amp;" руб."))</f>
        <v/>
      </c>
    </row>
    <row r="160" spans="3:29" x14ac:dyDescent="0.2">
      <c r="C160" s="489"/>
      <c r="D160" s="489"/>
      <c r="E160" s="494"/>
      <c r="F160" s="494">
        <v>146</v>
      </c>
      <c r="G160" s="297">
        <f t="shared" si="33"/>
        <v>2034</v>
      </c>
      <c r="H160" s="297">
        <f t="shared" si="34"/>
        <v>365</v>
      </c>
      <c r="I160" s="488">
        <f t="shared" si="35"/>
        <v>48984</v>
      </c>
      <c r="J160" s="488"/>
      <c r="K160" s="494">
        <f t="shared" si="36"/>
        <v>31</v>
      </c>
      <c r="L160" s="488">
        <f t="shared" si="41"/>
        <v>49003</v>
      </c>
      <c r="M160" s="299">
        <f t="shared" si="46"/>
        <v>1112989.8218</v>
      </c>
      <c r="N160" s="303">
        <f t="shared" si="42"/>
        <v>0.1</v>
      </c>
      <c r="O160" s="299">
        <f t="shared" si="43"/>
        <v>9452.7902673424669</v>
      </c>
      <c r="P160" s="299">
        <f t="shared" si="44"/>
        <v>37794</v>
      </c>
      <c r="Q160" s="299">
        <f t="shared" si="37"/>
        <v>37794.313038483175</v>
      </c>
      <c r="R160" s="302">
        <f t="shared" si="38"/>
        <v>37794.313038483175</v>
      </c>
      <c r="S160" s="302">
        <f t="shared" si="39"/>
        <v>9452.7902673424669</v>
      </c>
      <c r="T160" s="299">
        <f t="shared" si="40"/>
        <v>28341.209732657531</v>
      </c>
      <c r="U160" s="299">
        <f t="shared" si="45"/>
        <v>1084648.6121</v>
      </c>
      <c r="V160" s="304"/>
      <c r="W160" s="505"/>
      <c r="X160" s="505"/>
      <c r="Y160" s="298">
        <f t="shared" si="47"/>
        <v>0.1</v>
      </c>
      <c r="Z160" s="309"/>
      <c r="AA160" s="306"/>
      <c r="AB160" s="307"/>
      <c r="AC160" s="308" t="str">
        <f>IF(OR(AA160="",AB160=""),"",IF(AB160=$C$7,"Сокращение срока на "&amp;#REF!-#REF!-1&amp;" мес.","Сокращение платежа на "&amp;ROUND(Q160-Q161,2)&amp;" руб."))</f>
        <v/>
      </c>
    </row>
    <row r="161" spans="3:29" x14ac:dyDescent="0.2">
      <c r="C161" s="489"/>
      <c r="D161" s="489"/>
      <c r="E161" s="494"/>
      <c r="F161" s="494">
        <v>147</v>
      </c>
      <c r="G161" s="297">
        <f t="shared" si="33"/>
        <v>2034</v>
      </c>
      <c r="H161" s="297">
        <f t="shared" si="34"/>
        <v>365</v>
      </c>
      <c r="I161" s="488">
        <f t="shared" si="35"/>
        <v>49012</v>
      </c>
      <c r="J161" s="488"/>
      <c r="K161" s="494">
        <f t="shared" si="36"/>
        <v>28</v>
      </c>
      <c r="L161" s="488">
        <f t="shared" si="41"/>
        <v>49034</v>
      </c>
      <c r="M161" s="299">
        <f t="shared" si="46"/>
        <v>1084648.6121</v>
      </c>
      <c r="N161" s="303">
        <f t="shared" si="42"/>
        <v>0.1</v>
      </c>
      <c r="O161" s="299">
        <f t="shared" si="43"/>
        <v>8320.5920928219184</v>
      </c>
      <c r="P161" s="299">
        <f t="shared" si="44"/>
        <v>37794</v>
      </c>
      <c r="Q161" s="299">
        <f t="shared" si="37"/>
        <v>37794.313038483175</v>
      </c>
      <c r="R161" s="302">
        <f t="shared" si="38"/>
        <v>37794.313038483175</v>
      </c>
      <c r="S161" s="302">
        <f t="shared" si="39"/>
        <v>8320.5920928219184</v>
      </c>
      <c r="T161" s="299">
        <f t="shared" si="40"/>
        <v>29473.40790717808</v>
      </c>
      <c r="U161" s="299">
        <f t="shared" si="45"/>
        <v>1055175.2042</v>
      </c>
      <c r="V161" s="304"/>
      <c r="W161" s="505"/>
      <c r="X161" s="505"/>
      <c r="Y161" s="298">
        <f t="shared" si="47"/>
        <v>0.1</v>
      </c>
      <c r="Z161" s="309"/>
      <c r="AA161" s="306"/>
      <c r="AB161" s="307"/>
      <c r="AC161" s="308" t="str">
        <f>IF(OR(AA161="",AB161=""),"",IF(AB161=$C$7,"Сокращение срока на "&amp;#REF!-#REF!-1&amp;" мес.","Сокращение платежа на "&amp;ROUND(Q161-Q162,2)&amp;" руб."))</f>
        <v/>
      </c>
    </row>
    <row r="162" spans="3:29" x14ac:dyDescent="0.2">
      <c r="C162" s="489"/>
      <c r="D162" s="489"/>
      <c r="E162" s="494"/>
      <c r="F162" s="494">
        <v>148</v>
      </c>
      <c r="G162" s="297">
        <f t="shared" si="33"/>
        <v>2034</v>
      </c>
      <c r="H162" s="297">
        <f t="shared" si="34"/>
        <v>365</v>
      </c>
      <c r="I162" s="488">
        <f t="shared" si="35"/>
        <v>49043</v>
      </c>
      <c r="J162" s="488"/>
      <c r="K162" s="494">
        <f t="shared" si="36"/>
        <v>31</v>
      </c>
      <c r="L162" s="488">
        <f t="shared" si="41"/>
        <v>49064</v>
      </c>
      <c r="M162" s="299">
        <f t="shared" si="46"/>
        <v>1055175.2042</v>
      </c>
      <c r="N162" s="303">
        <f t="shared" si="42"/>
        <v>0.1</v>
      </c>
      <c r="O162" s="299">
        <f t="shared" si="43"/>
        <v>8961.7620082739741</v>
      </c>
      <c r="P162" s="299">
        <f t="shared" si="44"/>
        <v>37794</v>
      </c>
      <c r="Q162" s="299">
        <f t="shared" si="37"/>
        <v>37794.313038483175</v>
      </c>
      <c r="R162" s="302">
        <f t="shared" si="38"/>
        <v>37794.313038483175</v>
      </c>
      <c r="S162" s="302">
        <f t="shared" si="39"/>
        <v>8961.7620082739741</v>
      </c>
      <c r="T162" s="299">
        <f t="shared" si="40"/>
        <v>28832.237991726026</v>
      </c>
      <c r="U162" s="299">
        <f t="shared" si="45"/>
        <v>1026342.9662</v>
      </c>
      <c r="V162" s="304"/>
      <c r="W162" s="505"/>
      <c r="X162" s="505"/>
      <c r="Y162" s="298">
        <f t="shared" si="47"/>
        <v>0.1</v>
      </c>
      <c r="Z162" s="309"/>
      <c r="AA162" s="306"/>
      <c r="AB162" s="307"/>
      <c r="AC162" s="308" t="str">
        <f>IF(OR(AA162="",AB162=""),"",IF(AB162=$C$7,"Сокращение срока на "&amp;#REF!-#REF!-1&amp;" мес.","Сокращение платежа на "&amp;ROUND(Q162-Q163,2)&amp;" руб."))</f>
        <v/>
      </c>
    </row>
    <row r="163" spans="3:29" x14ac:dyDescent="0.2">
      <c r="C163" s="489"/>
      <c r="D163" s="489"/>
      <c r="E163" s="494"/>
      <c r="F163" s="494">
        <v>149</v>
      </c>
      <c r="G163" s="297">
        <f t="shared" si="33"/>
        <v>2034</v>
      </c>
      <c r="H163" s="297">
        <f t="shared" si="34"/>
        <v>365</v>
      </c>
      <c r="I163" s="488">
        <f t="shared" si="35"/>
        <v>49073</v>
      </c>
      <c r="J163" s="488"/>
      <c r="K163" s="494">
        <f t="shared" si="36"/>
        <v>30</v>
      </c>
      <c r="L163" s="488">
        <f t="shared" si="41"/>
        <v>49095</v>
      </c>
      <c r="M163" s="299">
        <f t="shared" si="46"/>
        <v>1026342.9662</v>
      </c>
      <c r="N163" s="303">
        <f t="shared" si="42"/>
        <v>0.1</v>
      </c>
      <c r="O163" s="299">
        <f t="shared" si="43"/>
        <v>8435.6956126027417</v>
      </c>
      <c r="P163" s="299">
        <f t="shared" si="44"/>
        <v>37794</v>
      </c>
      <c r="Q163" s="299">
        <f t="shared" si="37"/>
        <v>37794.313038483175</v>
      </c>
      <c r="R163" s="302">
        <f t="shared" si="38"/>
        <v>37794.313038483175</v>
      </c>
      <c r="S163" s="302">
        <f t="shared" si="39"/>
        <v>8435.6956126027417</v>
      </c>
      <c r="T163" s="299">
        <f t="shared" si="40"/>
        <v>29358.304387397257</v>
      </c>
      <c r="U163" s="299">
        <f t="shared" si="45"/>
        <v>996984.6618</v>
      </c>
      <c r="V163" s="304"/>
      <c r="W163" s="505"/>
      <c r="X163" s="505"/>
      <c r="Y163" s="298">
        <f t="shared" si="47"/>
        <v>0.1</v>
      </c>
      <c r="Z163" s="309"/>
      <c r="AA163" s="306"/>
      <c r="AB163" s="307"/>
      <c r="AC163" s="308" t="str">
        <f>IF(OR(AA163="",AB163=""),"",IF(AB163=$C$7,"Сокращение срока на "&amp;#REF!-#REF!-1&amp;" мес.","Сокращение платежа на "&amp;ROUND(Q163-Q164,2)&amp;" руб."))</f>
        <v/>
      </c>
    </row>
    <row r="164" spans="3:29" x14ac:dyDescent="0.2">
      <c r="C164" s="489"/>
      <c r="D164" s="489"/>
      <c r="E164" s="494"/>
      <c r="F164" s="494">
        <v>150</v>
      </c>
      <c r="G164" s="297">
        <f t="shared" si="33"/>
        <v>2034</v>
      </c>
      <c r="H164" s="297">
        <f t="shared" si="34"/>
        <v>365</v>
      </c>
      <c r="I164" s="488">
        <f t="shared" si="35"/>
        <v>49104</v>
      </c>
      <c r="J164" s="488"/>
      <c r="K164" s="494">
        <f t="shared" si="36"/>
        <v>31</v>
      </c>
      <c r="L164" s="488">
        <f t="shared" si="41"/>
        <v>49125</v>
      </c>
      <c r="M164" s="299">
        <f t="shared" si="46"/>
        <v>996984.6618</v>
      </c>
      <c r="N164" s="303">
        <f t="shared" si="42"/>
        <v>0.1</v>
      </c>
      <c r="O164" s="299">
        <f t="shared" si="43"/>
        <v>8467.5409632328774</v>
      </c>
      <c r="P164" s="299">
        <f t="shared" si="44"/>
        <v>37794</v>
      </c>
      <c r="Q164" s="299">
        <f t="shared" si="37"/>
        <v>37794.313038483175</v>
      </c>
      <c r="R164" s="302">
        <f t="shared" si="38"/>
        <v>37794.313038483175</v>
      </c>
      <c r="S164" s="302">
        <f t="shared" si="39"/>
        <v>8467.5409632328774</v>
      </c>
      <c r="T164" s="299">
        <f t="shared" si="40"/>
        <v>29326.459036767123</v>
      </c>
      <c r="U164" s="299">
        <f t="shared" si="45"/>
        <v>967658.20279999997</v>
      </c>
      <c r="V164" s="304"/>
      <c r="W164" s="505"/>
      <c r="X164" s="505"/>
      <c r="Y164" s="298">
        <f t="shared" si="47"/>
        <v>0.1</v>
      </c>
      <c r="Z164" s="309"/>
      <c r="AA164" s="306"/>
      <c r="AB164" s="307"/>
      <c r="AC164" s="308" t="str">
        <f>IF(OR(AA164="",AB164=""),"",IF(AB164=$C$7,"Сокращение срока на "&amp;#REF!-#REF!-1&amp;" мес.","Сокращение платежа на "&amp;ROUND(Q164-Q165,2)&amp;" руб."))</f>
        <v/>
      </c>
    </row>
    <row r="165" spans="3:29" x14ac:dyDescent="0.2">
      <c r="C165" s="489"/>
      <c r="D165" s="489"/>
      <c r="E165" s="494"/>
      <c r="F165" s="494">
        <v>151</v>
      </c>
      <c r="G165" s="297">
        <f t="shared" si="33"/>
        <v>2034</v>
      </c>
      <c r="H165" s="297">
        <f t="shared" si="34"/>
        <v>365</v>
      </c>
      <c r="I165" s="488">
        <f t="shared" si="35"/>
        <v>49134</v>
      </c>
      <c r="J165" s="488"/>
      <c r="K165" s="494">
        <f t="shared" si="36"/>
        <v>30</v>
      </c>
      <c r="L165" s="488">
        <f t="shared" si="41"/>
        <v>49156</v>
      </c>
      <c r="M165" s="299">
        <f t="shared" si="46"/>
        <v>967658.20279999997</v>
      </c>
      <c r="N165" s="303">
        <f t="shared" si="42"/>
        <v>0.1</v>
      </c>
      <c r="O165" s="299">
        <f t="shared" si="43"/>
        <v>7953.355091506849</v>
      </c>
      <c r="P165" s="299">
        <f t="shared" si="44"/>
        <v>37794</v>
      </c>
      <c r="Q165" s="299">
        <f t="shared" si="37"/>
        <v>37794.313038483175</v>
      </c>
      <c r="R165" s="302">
        <f t="shared" si="38"/>
        <v>37794.313038483175</v>
      </c>
      <c r="S165" s="302">
        <f t="shared" si="39"/>
        <v>7953.355091506849</v>
      </c>
      <c r="T165" s="299">
        <f t="shared" si="40"/>
        <v>29840.644908493152</v>
      </c>
      <c r="U165" s="299">
        <f t="shared" si="45"/>
        <v>937817.55790000001</v>
      </c>
      <c r="V165" s="304"/>
      <c r="W165" s="505"/>
      <c r="X165" s="505"/>
      <c r="Y165" s="298">
        <f t="shared" si="47"/>
        <v>0.1</v>
      </c>
      <c r="Z165" s="309"/>
      <c r="AA165" s="306"/>
      <c r="AB165" s="307"/>
      <c r="AC165" s="308" t="str">
        <f>IF(OR(AA165="",AB165=""),"",IF(AB165=$C$7,"Сокращение срока на "&amp;#REF!-#REF!-1&amp;" мес.","Сокращение платежа на "&amp;ROUND(Q165-Q166,2)&amp;" руб."))</f>
        <v/>
      </c>
    </row>
    <row r="166" spans="3:29" x14ac:dyDescent="0.2">
      <c r="C166" s="489"/>
      <c r="D166" s="489"/>
      <c r="E166" s="494"/>
      <c r="F166" s="494">
        <v>152</v>
      </c>
      <c r="G166" s="297">
        <f t="shared" si="33"/>
        <v>2034</v>
      </c>
      <c r="H166" s="297">
        <f t="shared" si="34"/>
        <v>365</v>
      </c>
      <c r="I166" s="488">
        <f t="shared" si="35"/>
        <v>49165</v>
      </c>
      <c r="J166" s="488"/>
      <c r="K166" s="494">
        <f t="shared" si="36"/>
        <v>31</v>
      </c>
      <c r="L166" s="488">
        <f t="shared" si="41"/>
        <v>49187</v>
      </c>
      <c r="M166" s="299">
        <f t="shared" si="46"/>
        <v>937817.55790000001</v>
      </c>
      <c r="N166" s="303">
        <f t="shared" si="42"/>
        <v>0.1</v>
      </c>
      <c r="O166" s="299">
        <f t="shared" si="43"/>
        <v>7965.0258342191783</v>
      </c>
      <c r="P166" s="299">
        <f t="shared" si="44"/>
        <v>37794</v>
      </c>
      <c r="Q166" s="299">
        <f t="shared" si="37"/>
        <v>37794.313038483175</v>
      </c>
      <c r="R166" s="302">
        <f t="shared" si="38"/>
        <v>37794.313038483175</v>
      </c>
      <c r="S166" s="302">
        <f t="shared" si="39"/>
        <v>7965.0258342191783</v>
      </c>
      <c r="T166" s="299">
        <f t="shared" si="40"/>
        <v>29828.974165780823</v>
      </c>
      <c r="U166" s="299">
        <f t="shared" si="45"/>
        <v>907988.58369999996</v>
      </c>
      <c r="V166" s="304"/>
      <c r="W166" s="505"/>
      <c r="X166" s="505"/>
      <c r="Y166" s="298">
        <f t="shared" si="47"/>
        <v>0.1</v>
      </c>
      <c r="Z166" s="309"/>
      <c r="AA166" s="306"/>
      <c r="AB166" s="307"/>
      <c r="AC166" s="308" t="str">
        <f>IF(OR(AA166="",AB166=""),"",IF(AB166=$C$7,"Сокращение срока на "&amp;#REF!-#REF!-1&amp;" мес.","Сокращение платежа на "&amp;ROUND(Q166-Q167,2)&amp;" руб."))</f>
        <v/>
      </c>
    </row>
    <row r="167" spans="3:29" x14ac:dyDescent="0.2">
      <c r="C167" s="489"/>
      <c r="D167" s="489"/>
      <c r="E167" s="494"/>
      <c r="F167" s="494">
        <v>153</v>
      </c>
      <c r="G167" s="297">
        <f t="shared" si="33"/>
        <v>2034</v>
      </c>
      <c r="H167" s="297">
        <f t="shared" si="34"/>
        <v>365</v>
      </c>
      <c r="I167" s="488">
        <f t="shared" si="35"/>
        <v>49196</v>
      </c>
      <c r="J167" s="488"/>
      <c r="K167" s="494">
        <f>I167-I166</f>
        <v>31</v>
      </c>
      <c r="L167" s="488">
        <f t="shared" si="41"/>
        <v>49217</v>
      </c>
      <c r="M167" s="299">
        <f t="shared" si="46"/>
        <v>907988.58369999996</v>
      </c>
      <c r="N167" s="303">
        <f t="shared" si="42"/>
        <v>0.1</v>
      </c>
      <c r="O167" s="299">
        <f t="shared" si="43"/>
        <v>7711.6838615616443</v>
      </c>
      <c r="P167" s="299">
        <f t="shared" si="44"/>
        <v>37794</v>
      </c>
      <c r="Q167" s="299">
        <f t="shared" si="37"/>
        <v>37794.313038483175</v>
      </c>
      <c r="R167" s="302">
        <f t="shared" si="38"/>
        <v>37794.313038483175</v>
      </c>
      <c r="S167" s="302">
        <f t="shared" si="39"/>
        <v>7711.6838615616443</v>
      </c>
      <c r="T167" s="299">
        <f t="shared" si="40"/>
        <v>30082.316138438357</v>
      </c>
      <c r="U167" s="299">
        <f t="shared" si="45"/>
        <v>877906.26760000002</v>
      </c>
      <c r="V167" s="304"/>
      <c r="W167" s="505"/>
      <c r="X167" s="505"/>
      <c r="Y167" s="298">
        <f t="shared" si="47"/>
        <v>0.1</v>
      </c>
      <c r="Z167" s="309"/>
      <c r="AA167" s="306"/>
      <c r="AB167" s="307"/>
      <c r="AC167" s="308" t="str">
        <f>IF(OR(AA167="",AB167=""),"",IF(AB167=$C$7,"Сокращение срока на "&amp;#REF!-#REF!-1&amp;" мес.","Сокращение платежа на "&amp;ROUND(Q167-Q168,2)&amp;" руб."))</f>
        <v/>
      </c>
    </row>
    <row r="168" spans="3:29" x14ac:dyDescent="0.2">
      <c r="C168" s="489"/>
      <c r="D168" s="489"/>
      <c r="E168" s="494"/>
      <c r="F168" s="494">
        <v>154</v>
      </c>
      <c r="G168" s="297">
        <f t="shared" si="33"/>
        <v>2034</v>
      </c>
      <c r="H168" s="297">
        <f t="shared" si="34"/>
        <v>365</v>
      </c>
      <c r="I168" s="488">
        <f t="shared" si="35"/>
        <v>49226</v>
      </c>
      <c r="J168" s="488"/>
      <c r="K168" s="494">
        <f t="shared" si="36"/>
        <v>30</v>
      </c>
      <c r="L168" s="488">
        <f t="shared" si="41"/>
        <v>49248</v>
      </c>
      <c r="M168" s="299">
        <f t="shared" si="46"/>
        <v>877906.26760000002</v>
      </c>
      <c r="N168" s="303">
        <f t="shared" si="42"/>
        <v>0.1</v>
      </c>
      <c r="O168" s="299">
        <f t="shared" si="43"/>
        <v>7215.6679528767136</v>
      </c>
      <c r="P168" s="299">
        <f t="shared" si="44"/>
        <v>37794</v>
      </c>
      <c r="Q168" s="299">
        <f t="shared" si="37"/>
        <v>37794.313038483175</v>
      </c>
      <c r="R168" s="302">
        <f t="shared" si="38"/>
        <v>37794.313038483175</v>
      </c>
      <c r="S168" s="302">
        <f t="shared" si="39"/>
        <v>7215.6679528767136</v>
      </c>
      <c r="T168" s="299">
        <f t="shared" si="40"/>
        <v>30578.332047123287</v>
      </c>
      <c r="U168" s="299">
        <f t="shared" si="45"/>
        <v>847327.93559999997</v>
      </c>
      <c r="V168" s="304"/>
      <c r="W168" s="505"/>
      <c r="X168" s="505"/>
      <c r="Y168" s="298">
        <f t="shared" si="47"/>
        <v>0.1</v>
      </c>
      <c r="Z168" s="309"/>
      <c r="AA168" s="306"/>
      <c r="AB168" s="307"/>
      <c r="AC168" s="308" t="str">
        <f>IF(OR(AA168="",AB168=""),"",IF(AB168=$C$7,"Сокращение срока на "&amp;#REF!-#REF!-1&amp;" мес.","Сокращение платежа на "&amp;ROUND(Q168-Q169,2)&amp;" руб."))</f>
        <v/>
      </c>
    </row>
    <row r="169" spans="3:29" x14ac:dyDescent="0.2">
      <c r="C169" s="489"/>
      <c r="D169" s="489"/>
      <c r="E169" s="494"/>
      <c r="F169" s="494">
        <v>155</v>
      </c>
      <c r="G169" s="297">
        <f t="shared" si="33"/>
        <v>2034</v>
      </c>
      <c r="H169" s="297">
        <f t="shared" si="34"/>
        <v>365</v>
      </c>
      <c r="I169" s="488">
        <f t="shared" si="35"/>
        <v>49257</v>
      </c>
      <c r="J169" s="488"/>
      <c r="K169" s="494">
        <f t="shared" si="36"/>
        <v>31</v>
      </c>
      <c r="L169" s="488">
        <f t="shared" si="41"/>
        <v>49278</v>
      </c>
      <c r="M169" s="299">
        <f t="shared" si="46"/>
        <v>847327.93559999997</v>
      </c>
      <c r="N169" s="303">
        <f t="shared" si="42"/>
        <v>0.1</v>
      </c>
      <c r="O169" s="299">
        <f t="shared" si="43"/>
        <v>7196.4838366027407</v>
      </c>
      <c r="P169" s="299">
        <f t="shared" si="44"/>
        <v>37794</v>
      </c>
      <c r="Q169" s="299">
        <f t="shared" si="37"/>
        <v>37794.313038483175</v>
      </c>
      <c r="R169" s="302">
        <f t="shared" si="38"/>
        <v>37794.313038483175</v>
      </c>
      <c r="S169" s="302">
        <f t="shared" si="39"/>
        <v>7196.4838366027407</v>
      </c>
      <c r="T169" s="299">
        <f t="shared" si="40"/>
        <v>30597.51616339726</v>
      </c>
      <c r="U169" s="299">
        <f t="shared" si="45"/>
        <v>816730.41940000001</v>
      </c>
      <c r="V169" s="304"/>
      <c r="W169" s="505"/>
      <c r="X169" s="505"/>
      <c r="Y169" s="298">
        <f t="shared" si="47"/>
        <v>0.1</v>
      </c>
      <c r="Z169" s="309"/>
      <c r="AA169" s="306"/>
      <c r="AB169" s="307"/>
      <c r="AC169" s="308" t="str">
        <f>IF(OR(AA169="",AB169=""),"",IF(AB169=$C$7,"Сокращение срока на "&amp;#REF!-#REF!-1&amp;" мес.","Сокращение платежа на "&amp;ROUND(Q169-Q170,2)&amp;" руб."))</f>
        <v/>
      </c>
    </row>
    <row r="170" spans="3:29" x14ac:dyDescent="0.2">
      <c r="C170" s="489"/>
      <c r="D170" s="489"/>
      <c r="E170" s="494"/>
      <c r="F170" s="494">
        <v>156</v>
      </c>
      <c r="G170" s="297">
        <f t="shared" si="33"/>
        <v>2034</v>
      </c>
      <c r="H170" s="297">
        <f t="shared" si="34"/>
        <v>365</v>
      </c>
      <c r="I170" s="488">
        <f t="shared" si="35"/>
        <v>49287</v>
      </c>
      <c r="J170" s="488"/>
      <c r="K170" s="494">
        <f t="shared" si="36"/>
        <v>30</v>
      </c>
      <c r="L170" s="488">
        <f t="shared" si="41"/>
        <v>49309</v>
      </c>
      <c r="M170" s="299">
        <f t="shared" si="46"/>
        <v>816730.41940000001</v>
      </c>
      <c r="N170" s="303">
        <f t="shared" si="42"/>
        <v>0.1</v>
      </c>
      <c r="O170" s="299">
        <f t="shared" si="43"/>
        <v>6712.852762191781</v>
      </c>
      <c r="P170" s="299">
        <f t="shared" si="44"/>
        <v>37794</v>
      </c>
      <c r="Q170" s="299">
        <f t="shared" si="37"/>
        <v>37794.313038483175</v>
      </c>
      <c r="R170" s="302">
        <f t="shared" si="38"/>
        <v>37794.313038483175</v>
      </c>
      <c r="S170" s="302">
        <f t="shared" si="39"/>
        <v>6712.852762191781</v>
      </c>
      <c r="T170" s="299">
        <f t="shared" si="40"/>
        <v>31081.147237808218</v>
      </c>
      <c r="U170" s="299">
        <f t="shared" si="45"/>
        <v>785649.27220000001</v>
      </c>
      <c r="V170" s="304"/>
      <c r="W170" s="505"/>
      <c r="X170" s="505"/>
      <c r="Y170" s="298">
        <f t="shared" si="47"/>
        <v>0.1</v>
      </c>
      <c r="Z170" s="309"/>
      <c r="AA170" s="306"/>
      <c r="AB170" s="307"/>
      <c r="AC170" s="308" t="str">
        <f>IF(OR(AA170="",AB170=""),"",IF(AB170=$C$7,"Сокращение срока на "&amp;#REF!-#REF!-1&amp;" мес.","Сокращение платежа на "&amp;ROUND(Q170-Q171,2)&amp;" руб."))</f>
        <v/>
      </c>
    </row>
    <row r="171" spans="3:29" x14ac:dyDescent="0.2">
      <c r="C171" s="489"/>
      <c r="D171" s="489"/>
      <c r="E171" s="494">
        <f>E159+1</f>
        <v>38</v>
      </c>
      <c r="F171" s="494">
        <v>157</v>
      </c>
      <c r="G171" s="297">
        <f t="shared" si="33"/>
        <v>2035</v>
      </c>
      <c r="H171" s="297">
        <f t="shared" si="34"/>
        <v>365</v>
      </c>
      <c r="I171" s="488">
        <f t="shared" si="35"/>
        <v>49318</v>
      </c>
      <c r="J171" s="488"/>
      <c r="K171" s="494">
        <f t="shared" si="36"/>
        <v>31</v>
      </c>
      <c r="L171" s="488">
        <f t="shared" si="41"/>
        <v>49340</v>
      </c>
      <c r="M171" s="299">
        <f t="shared" si="46"/>
        <v>785649.27220000001</v>
      </c>
      <c r="N171" s="303">
        <f t="shared" si="42"/>
        <v>0.1</v>
      </c>
      <c r="O171" s="299">
        <f t="shared" si="43"/>
        <v>6672.6376543013694</v>
      </c>
      <c r="P171" s="299">
        <f t="shared" si="44"/>
        <v>37794</v>
      </c>
      <c r="Q171" s="299">
        <f t="shared" si="37"/>
        <v>37794.313038483175</v>
      </c>
      <c r="R171" s="302">
        <f t="shared" si="38"/>
        <v>42342.607279360374</v>
      </c>
      <c r="S171" s="302">
        <f t="shared" si="39"/>
        <v>6672.6376543013694</v>
      </c>
      <c r="T171" s="299">
        <f t="shared" si="40"/>
        <v>31121.362345698632</v>
      </c>
      <c r="U171" s="299">
        <f t="shared" si="45"/>
        <v>754527.90989999997</v>
      </c>
      <c r="V171" s="304">
        <f>IF(U171=0,0,((U171*10%+U171)*(W171+X171)))</f>
        <v>4548.2942408771996</v>
      </c>
      <c r="W171" s="505">
        <f>INDEX('Тарифы СК'!$B$4:$C$53,MATCH($E$171,'Тарифы СК'!$A$4:$A$53,0),MATCH($AB$3,'Тарифы СК'!$B$3:$C$3,0))</f>
        <v>4.28E-3</v>
      </c>
      <c r="X171" s="505">
        <f>'Тарифы СК'!$D$3</f>
        <v>1.1999999999999999E-3</v>
      </c>
      <c r="Y171" s="298">
        <f t="shared" si="47"/>
        <v>0.1</v>
      </c>
      <c r="Z171" s="309"/>
      <c r="AA171" s="306"/>
      <c r="AB171" s="307"/>
      <c r="AC171" s="308" t="str">
        <f>IF(OR(AA171="",AB171=""),"",IF(AB171=$C$7,"Сокращение срока на "&amp;#REF!-#REF!-1&amp;" мес.","Сокращение платежа на "&amp;ROUND(Q171-Q172,2)&amp;" руб."))</f>
        <v/>
      </c>
    </row>
    <row r="172" spans="3:29" x14ac:dyDescent="0.2">
      <c r="C172" s="489"/>
      <c r="D172" s="489"/>
      <c r="E172" s="494"/>
      <c r="F172" s="494">
        <v>158</v>
      </c>
      <c r="G172" s="297">
        <f t="shared" si="33"/>
        <v>2035</v>
      </c>
      <c r="H172" s="297">
        <f t="shared" si="34"/>
        <v>365</v>
      </c>
      <c r="I172" s="488">
        <f t="shared" si="35"/>
        <v>49349</v>
      </c>
      <c r="J172" s="488"/>
      <c r="K172" s="494">
        <f t="shared" si="36"/>
        <v>31</v>
      </c>
      <c r="L172" s="488">
        <f t="shared" si="41"/>
        <v>49368</v>
      </c>
      <c r="M172" s="299">
        <f t="shared" si="46"/>
        <v>754527.90989999997</v>
      </c>
      <c r="N172" s="303">
        <f t="shared" si="42"/>
        <v>0.1</v>
      </c>
      <c r="O172" s="299">
        <f t="shared" si="43"/>
        <v>6408.3192347671229</v>
      </c>
      <c r="P172" s="299">
        <f t="shared" si="44"/>
        <v>37794</v>
      </c>
      <c r="Q172" s="299">
        <f t="shared" si="37"/>
        <v>37794.313038483175</v>
      </c>
      <c r="R172" s="302">
        <f t="shared" si="38"/>
        <v>37794.313038483175</v>
      </c>
      <c r="S172" s="302">
        <f t="shared" si="39"/>
        <v>6408.3192347671229</v>
      </c>
      <c r="T172" s="299">
        <f t="shared" si="40"/>
        <v>31385.680765232879</v>
      </c>
      <c r="U172" s="299">
        <f t="shared" si="45"/>
        <v>723142.2291</v>
      </c>
      <c r="V172" s="304"/>
      <c r="W172" s="505"/>
      <c r="X172" s="505"/>
      <c r="Y172" s="298">
        <f t="shared" si="47"/>
        <v>0.1</v>
      </c>
      <c r="Z172" s="309"/>
      <c r="AA172" s="306"/>
      <c r="AB172" s="307"/>
      <c r="AC172" s="308" t="str">
        <f>IF(OR(AA172="",AB172=""),"",IF(AB172=$C$7,"Сокращение срока на "&amp;#REF!-#REF!-1&amp;" мес.","Сокращение платежа на "&amp;ROUND(Q172-Q173,2)&amp;" руб."))</f>
        <v/>
      </c>
    </row>
    <row r="173" spans="3:29" x14ac:dyDescent="0.2">
      <c r="C173" s="489"/>
      <c r="D173" s="489"/>
      <c r="E173" s="494"/>
      <c r="F173" s="494">
        <v>159</v>
      </c>
      <c r="G173" s="297">
        <f t="shared" si="33"/>
        <v>2035</v>
      </c>
      <c r="H173" s="297">
        <f t="shared" si="34"/>
        <v>365</v>
      </c>
      <c r="I173" s="488">
        <f t="shared" si="35"/>
        <v>49377</v>
      </c>
      <c r="J173" s="488"/>
      <c r="K173" s="494">
        <f t="shared" si="36"/>
        <v>28</v>
      </c>
      <c r="L173" s="488">
        <f t="shared" si="41"/>
        <v>49399</v>
      </c>
      <c r="M173" s="299">
        <f t="shared" si="46"/>
        <v>723142.2291</v>
      </c>
      <c r="N173" s="303">
        <f t="shared" si="42"/>
        <v>0.1</v>
      </c>
      <c r="O173" s="299">
        <f t="shared" si="43"/>
        <v>5547.3924424109591</v>
      </c>
      <c r="P173" s="299">
        <f t="shared" si="44"/>
        <v>37794</v>
      </c>
      <c r="Q173" s="299">
        <f t="shared" si="37"/>
        <v>37794.313038483175</v>
      </c>
      <c r="R173" s="302">
        <f t="shared" si="38"/>
        <v>37794.313038483175</v>
      </c>
      <c r="S173" s="302">
        <f t="shared" si="39"/>
        <v>5547.3924424109591</v>
      </c>
      <c r="T173" s="299">
        <f t="shared" si="40"/>
        <v>32246.607557589043</v>
      </c>
      <c r="U173" s="299">
        <f t="shared" si="45"/>
        <v>690895.62150000001</v>
      </c>
      <c r="V173" s="304"/>
      <c r="W173" s="505"/>
      <c r="X173" s="505"/>
      <c r="Y173" s="298">
        <f t="shared" si="47"/>
        <v>0.1</v>
      </c>
      <c r="Z173" s="309"/>
      <c r="AA173" s="306"/>
      <c r="AB173" s="307"/>
      <c r="AC173" s="308" t="str">
        <f>IF(OR(AA173="",AB173=""),"",IF(AB173=$C$7,"Сокращение срока на "&amp;#REF!-#REF!-1&amp;" мес.","Сокращение платежа на "&amp;ROUND(Q173-Q174,2)&amp;" руб."))</f>
        <v/>
      </c>
    </row>
    <row r="174" spans="3:29" x14ac:dyDescent="0.2">
      <c r="C174" s="489"/>
      <c r="D174" s="489"/>
      <c r="E174" s="494"/>
      <c r="F174" s="494">
        <v>160</v>
      </c>
      <c r="G174" s="297">
        <f t="shared" si="33"/>
        <v>2035</v>
      </c>
      <c r="H174" s="297">
        <f t="shared" si="34"/>
        <v>365</v>
      </c>
      <c r="I174" s="488">
        <f t="shared" si="35"/>
        <v>49408</v>
      </c>
      <c r="J174" s="488"/>
      <c r="K174" s="494">
        <f t="shared" si="36"/>
        <v>31</v>
      </c>
      <c r="L174" s="488">
        <f t="shared" si="41"/>
        <v>49429</v>
      </c>
      <c r="M174" s="299">
        <f t="shared" si="46"/>
        <v>690895.62150000001</v>
      </c>
      <c r="N174" s="303">
        <f t="shared" si="42"/>
        <v>0.1</v>
      </c>
      <c r="O174" s="299">
        <f t="shared" si="43"/>
        <v>5867.8806209589038</v>
      </c>
      <c r="P174" s="299">
        <f t="shared" si="44"/>
        <v>37794</v>
      </c>
      <c r="Q174" s="299">
        <f t="shared" si="37"/>
        <v>37794.313038483175</v>
      </c>
      <c r="R174" s="302">
        <f t="shared" si="38"/>
        <v>37794.313038483175</v>
      </c>
      <c r="S174" s="302">
        <f t="shared" si="39"/>
        <v>5867.8806209589038</v>
      </c>
      <c r="T174" s="299">
        <f t="shared" si="40"/>
        <v>31926.119379041098</v>
      </c>
      <c r="U174" s="299">
        <f t="shared" si="45"/>
        <v>658969.50210000004</v>
      </c>
      <c r="V174" s="304"/>
      <c r="W174" s="505"/>
      <c r="X174" s="505"/>
      <c r="Y174" s="298">
        <f t="shared" si="47"/>
        <v>0.1</v>
      </c>
      <c r="Z174" s="309"/>
      <c r="AA174" s="306"/>
      <c r="AB174" s="307"/>
      <c r="AC174" s="308" t="str">
        <f>IF(OR(AA174="",AB174=""),"",IF(AB174=$C$7,"Сокращение срока на "&amp;#REF!-#REF!-1&amp;" мес.","Сокращение платежа на "&amp;ROUND(Q174-Q175,2)&amp;" руб."))</f>
        <v/>
      </c>
    </row>
    <row r="175" spans="3:29" x14ac:dyDescent="0.2">
      <c r="C175" s="489"/>
      <c r="D175" s="489"/>
      <c r="E175" s="494"/>
      <c r="F175" s="494">
        <v>161</v>
      </c>
      <c r="G175" s="297">
        <f t="shared" si="33"/>
        <v>2035</v>
      </c>
      <c r="H175" s="297">
        <f t="shared" si="34"/>
        <v>365</v>
      </c>
      <c r="I175" s="488">
        <f t="shared" si="35"/>
        <v>49438</v>
      </c>
      <c r="J175" s="488"/>
      <c r="K175" s="494">
        <f t="shared" si="36"/>
        <v>30</v>
      </c>
      <c r="L175" s="488">
        <f t="shared" si="41"/>
        <v>49460</v>
      </c>
      <c r="M175" s="299">
        <f t="shared" si="46"/>
        <v>658969.50210000004</v>
      </c>
      <c r="N175" s="303">
        <f t="shared" si="42"/>
        <v>0.1</v>
      </c>
      <c r="O175" s="299">
        <f t="shared" si="43"/>
        <v>5416.1876884931517</v>
      </c>
      <c r="P175" s="299">
        <f t="shared" si="44"/>
        <v>37794</v>
      </c>
      <c r="Q175" s="299">
        <f t="shared" si="37"/>
        <v>37794.313038483175</v>
      </c>
      <c r="R175" s="302">
        <f t="shared" si="38"/>
        <v>37794.313038483175</v>
      </c>
      <c r="S175" s="302">
        <f t="shared" si="39"/>
        <v>5416.1876884931517</v>
      </c>
      <c r="T175" s="299">
        <f t="shared" si="40"/>
        <v>32377.812311506848</v>
      </c>
      <c r="U175" s="299">
        <f t="shared" si="45"/>
        <v>626591.68980000005</v>
      </c>
      <c r="V175" s="304"/>
      <c r="W175" s="505"/>
      <c r="X175" s="505"/>
      <c r="Y175" s="298">
        <f t="shared" si="47"/>
        <v>0.1</v>
      </c>
      <c r="Z175" s="309"/>
      <c r="AA175" s="306"/>
      <c r="AB175" s="307"/>
      <c r="AC175" s="308" t="str">
        <f>IF(OR(AA175="",AB175=""),"",IF(AB175=$C$7,"Сокращение срока на "&amp;#REF!-#REF!-1&amp;" мес.","Сокращение платежа на "&amp;ROUND(Q175-Q176,2)&amp;" руб."))</f>
        <v/>
      </c>
    </row>
    <row r="176" spans="3:29" x14ac:dyDescent="0.2">
      <c r="C176" s="489"/>
      <c r="D176" s="489"/>
      <c r="E176" s="494"/>
      <c r="F176" s="494">
        <v>162</v>
      </c>
      <c r="G176" s="297">
        <f t="shared" si="33"/>
        <v>2035</v>
      </c>
      <c r="H176" s="297">
        <f t="shared" si="34"/>
        <v>365</v>
      </c>
      <c r="I176" s="488">
        <f t="shared" si="35"/>
        <v>49469</v>
      </c>
      <c r="J176" s="488"/>
      <c r="K176" s="494">
        <f t="shared" si="36"/>
        <v>31</v>
      </c>
      <c r="L176" s="488">
        <f t="shared" si="41"/>
        <v>49490</v>
      </c>
      <c r="M176" s="299">
        <f t="shared" si="46"/>
        <v>626591.68980000005</v>
      </c>
      <c r="N176" s="303">
        <f t="shared" si="42"/>
        <v>0.1</v>
      </c>
      <c r="O176" s="299">
        <f t="shared" si="43"/>
        <v>5321.7376393972609</v>
      </c>
      <c r="P176" s="299">
        <f t="shared" si="44"/>
        <v>37794</v>
      </c>
      <c r="Q176" s="299">
        <f t="shared" si="37"/>
        <v>37794.313038483175</v>
      </c>
      <c r="R176" s="302">
        <f t="shared" si="38"/>
        <v>37794.313038483175</v>
      </c>
      <c r="S176" s="302">
        <f t="shared" si="39"/>
        <v>5321.7376393972609</v>
      </c>
      <c r="T176" s="299">
        <f t="shared" si="40"/>
        <v>32472.262360602741</v>
      </c>
      <c r="U176" s="299">
        <f t="shared" si="45"/>
        <v>594119.42740000004</v>
      </c>
      <c r="V176" s="304"/>
      <c r="W176" s="505"/>
      <c r="X176" s="505"/>
      <c r="Y176" s="298">
        <f t="shared" si="47"/>
        <v>0.1</v>
      </c>
      <c r="Z176" s="309"/>
      <c r="AA176" s="306"/>
      <c r="AB176" s="307"/>
      <c r="AC176" s="308" t="str">
        <f>IF(OR(AA176="",AB176=""),"",IF(AB176=$C$7,"Сокращение срока на "&amp;#REF!-#REF!-1&amp;" мес.","Сокращение платежа на "&amp;ROUND(Q176-Q177,2)&amp;" руб."))</f>
        <v/>
      </c>
    </row>
    <row r="177" spans="3:29" x14ac:dyDescent="0.2">
      <c r="C177" s="489"/>
      <c r="D177" s="489"/>
      <c r="E177" s="494"/>
      <c r="F177" s="494">
        <v>163</v>
      </c>
      <c r="G177" s="297">
        <f t="shared" si="33"/>
        <v>2035</v>
      </c>
      <c r="H177" s="297">
        <f t="shared" si="34"/>
        <v>365</v>
      </c>
      <c r="I177" s="488">
        <f t="shared" si="35"/>
        <v>49499</v>
      </c>
      <c r="J177" s="488"/>
      <c r="K177" s="494">
        <f t="shared" si="36"/>
        <v>30</v>
      </c>
      <c r="L177" s="488">
        <f t="shared" si="41"/>
        <v>49521</v>
      </c>
      <c r="M177" s="299">
        <f t="shared" si="46"/>
        <v>594119.42740000004</v>
      </c>
      <c r="N177" s="303">
        <f t="shared" si="42"/>
        <v>0.1</v>
      </c>
      <c r="O177" s="299">
        <f t="shared" ref="O177:O240" si="48">M177*N177/H177*K177</f>
        <v>4883.1733758904111</v>
      </c>
      <c r="P177" s="299">
        <f t="shared" si="44"/>
        <v>37794</v>
      </c>
      <c r="Q177" s="299">
        <f t="shared" si="37"/>
        <v>37794.313038483175</v>
      </c>
      <c r="R177" s="302">
        <f t="shared" si="38"/>
        <v>37794.313038483175</v>
      </c>
      <c r="S177" s="302">
        <f t="shared" si="39"/>
        <v>4883.1733758904111</v>
      </c>
      <c r="T177" s="299">
        <f t="shared" si="40"/>
        <v>32910.826624109592</v>
      </c>
      <c r="U177" s="299">
        <f t="shared" si="45"/>
        <v>561208.60080000001</v>
      </c>
      <c r="V177" s="304"/>
      <c r="W177" s="505"/>
      <c r="X177" s="505"/>
      <c r="Y177" s="298">
        <f t="shared" si="47"/>
        <v>0.1</v>
      </c>
      <c r="Z177" s="309"/>
      <c r="AA177" s="306"/>
      <c r="AB177" s="307"/>
      <c r="AC177" s="308" t="str">
        <f>IF(OR(AA177="",AB177=""),"",IF(AB177=$C$7,"Сокращение срока на "&amp;#REF!-#REF!-1&amp;" мес.","Сокращение платежа на "&amp;ROUND(Q177-Q178,2)&amp;" руб."))</f>
        <v/>
      </c>
    </row>
    <row r="178" spans="3:29" x14ac:dyDescent="0.2">
      <c r="C178" s="489"/>
      <c r="D178" s="489"/>
      <c r="E178" s="494"/>
      <c r="F178" s="494">
        <v>164</v>
      </c>
      <c r="G178" s="297">
        <f t="shared" si="33"/>
        <v>2035</v>
      </c>
      <c r="H178" s="297">
        <f t="shared" si="34"/>
        <v>365</v>
      </c>
      <c r="I178" s="488">
        <f t="shared" si="35"/>
        <v>49530</v>
      </c>
      <c r="J178" s="488"/>
      <c r="K178" s="494">
        <f t="shared" si="36"/>
        <v>31</v>
      </c>
      <c r="L178" s="488">
        <f t="shared" si="41"/>
        <v>49552</v>
      </c>
      <c r="M178" s="299">
        <f t="shared" si="46"/>
        <v>561208.60080000001</v>
      </c>
      <c r="N178" s="303">
        <f t="shared" si="42"/>
        <v>0.1</v>
      </c>
      <c r="O178" s="299">
        <f t="shared" si="48"/>
        <v>4766.4292122739726</v>
      </c>
      <c r="P178" s="299">
        <f t="shared" si="44"/>
        <v>37794</v>
      </c>
      <c r="Q178" s="299">
        <f t="shared" si="37"/>
        <v>37794.313038483175</v>
      </c>
      <c r="R178" s="302">
        <f t="shared" si="38"/>
        <v>37794.313038483175</v>
      </c>
      <c r="S178" s="302">
        <f t="shared" si="39"/>
        <v>4766.4292122739726</v>
      </c>
      <c r="T178" s="299">
        <f t="shared" si="40"/>
        <v>33027.570787726028</v>
      </c>
      <c r="U178" s="299">
        <f t="shared" si="45"/>
        <v>528181.03</v>
      </c>
      <c r="V178" s="304"/>
      <c r="W178" s="505"/>
      <c r="X178" s="505"/>
      <c r="Y178" s="298">
        <f t="shared" si="47"/>
        <v>0.1</v>
      </c>
      <c r="Z178" s="309"/>
      <c r="AA178" s="306"/>
      <c r="AB178" s="307"/>
      <c r="AC178" s="308" t="str">
        <f>IF(OR(AA178="",AB178=""),"",IF(AB178=$C$7,"Сокращение срока на "&amp;#REF!-#REF!-1&amp;" мес.","Сокращение платежа на "&amp;ROUND(Q178-Q179,2)&amp;" руб."))</f>
        <v/>
      </c>
    </row>
    <row r="179" spans="3:29" x14ac:dyDescent="0.2">
      <c r="C179" s="489"/>
      <c r="D179" s="489"/>
      <c r="E179" s="494"/>
      <c r="F179" s="494">
        <v>165</v>
      </c>
      <c r="G179" s="297">
        <f t="shared" si="33"/>
        <v>2035</v>
      </c>
      <c r="H179" s="297">
        <f t="shared" si="34"/>
        <v>365</v>
      </c>
      <c r="I179" s="488">
        <f t="shared" si="35"/>
        <v>49561</v>
      </c>
      <c r="J179" s="488"/>
      <c r="K179" s="494">
        <f t="shared" si="36"/>
        <v>31</v>
      </c>
      <c r="L179" s="488">
        <f t="shared" si="41"/>
        <v>49582</v>
      </c>
      <c r="M179" s="299">
        <f t="shared" si="46"/>
        <v>528181.03</v>
      </c>
      <c r="N179" s="303">
        <f t="shared" si="42"/>
        <v>0.1</v>
      </c>
      <c r="O179" s="299">
        <f t="shared" si="48"/>
        <v>4485.9210767123286</v>
      </c>
      <c r="P179" s="299">
        <f t="shared" si="44"/>
        <v>37794</v>
      </c>
      <c r="Q179" s="299">
        <f t="shared" si="37"/>
        <v>37794.313038483175</v>
      </c>
      <c r="R179" s="302">
        <f t="shared" si="38"/>
        <v>37794.313038483175</v>
      </c>
      <c r="S179" s="302">
        <f t="shared" si="39"/>
        <v>4485.9210767123286</v>
      </c>
      <c r="T179" s="299">
        <f t="shared" si="40"/>
        <v>33308.07892328767</v>
      </c>
      <c r="U179" s="299">
        <f t="shared" si="45"/>
        <v>494872.95110000001</v>
      </c>
      <c r="V179" s="304"/>
      <c r="W179" s="505"/>
      <c r="X179" s="505"/>
      <c r="Y179" s="298">
        <f t="shared" si="47"/>
        <v>0.1</v>
      </c>
      <c r="Z179" s="309"/>
      <c r="AA179" s="306"/>
      <c r="AB179" s="307"/>
      <c r="AC179" s="308" t="str">
        <f>IF(OR(AA179="",AB179=""),"",IF(AB179=$C$7,"Сокращение срока на "&amp;#REF!-#REF!-1&amp;" мес.","Сокращение платежа на "&amp;ROUND(Q179-Q180,2)&amp;" руб."))</f>
        <v/>
      </c>
    </row>
    <row r="180" spans="3:29" x14ac:dyDescent="0.2">
      <c r="C180" s="489"/>
      <c r="D180" s="489"/>
      <c r="E180" s="494"/>
      <c r="F180" s="494">
        <v>166</v>
      </c>
      <c r="G180" s="297">
        <f t="shared" si="33"/>
        <v>2035</v>
      </c>
      <c r="H180" s="297">
        <f t="shared" si="34"/>
        <v>365</v>
      </c>
      <c r="I180" s="488">
        <f t="shared" si="35"/>
        <v>49591</v>
      </c>
      <c r="J180" s="488"/>
      <c r="K180" s="494">
        <f t="shared" si="36"/>
        <v>30</v>
      </c>
      <c r="L180" s="488">
        <f t="shared" si="41"/>
        <v>49613</v>
      </c>
      <c r="M180" s="299">
        <f t="shared" si="46"/>
        <v>494872.95110000001</v>
      </c>
      <c r="N180" s="303">
        <f t="shared" si="42"/>
        <v>0.1</v>
      </c>
      <c r="O180" s="299">
        <f t="shared" si="48"/>
        <v>4067.4489131506853</v>
      </c>
      <c r="P180" s="299">
        <f t="shared" si="44"/>
        <v>37794</v>
      </c>
      <c r="Q180" s="299">
        <f t="shared" si="37"/>
        <v>37794.313038483175</v>
      </c>
      <c r="R180" s="302">
        <f t="shared" si="38"/>
        <v>37794.313038483175</v>
      </c>
      <c r="S180" s="302">
        <f t="shared" si="39"/>
        <v>4067.4489131506853</v>
      </c>
      <c r="T180" s="299">
        <f t="shared" si="40"/>
        <v>33726.551086849315</v>
      </c>
      <c r="U180" s="299">
        <f t="shared" si="45"/>
        <v>461146.4</v>
      </c>
      <c r="V180" s="304"/>
      <c r="W180" s="505"/>
      <c r="X180" s="505"/>
      <c r="Y180" s="298">
        <f t="shared" si="47"/>
        <v>0.1</v>
      </c>
      <c r="Z180" s="309"/>
      <c r="AA180" s="306"/>
      <c r="AB180" s="307"/>
      <c r="AC180" s="308" t="str">
        <f>IF(OR(AA180="",AB180=""),"",IF(AB180=$C$7,"Сокращение срока на "&amp;#REF!-#REF!-1&amp;" мес.","Сокращение платежа на "&amp;ROUND(Q180-Q181,2)&amp;" руб."))</f>
        <v/>
      </c>
    </row>
    <row r="181" spans="3:29" x14ac:dyDescent="0.2">
      <c r="C181" s="489"/>
      <c r="D181" s="489"/>
      <c r="E181" s="494"/>
      <c r="F181" s="494">
        <v>167</v>
      </c>
      <c r="G181" s="297">
        <f t="shared" si="33"/>
        <v>2035</v>
      </c>
      <c r="H181" s="297">
        <f t="shared" si="34"/>
        <v>365</v>
      </c>
      <c r="I181" s="488">
        <f t="shared" si="35"/>
        <v>49622</v>
      </c>
      <c r="J181" s="488"/>
      <c r="K181" s="494">
        <f t="shared" si="36"/>
        <v>31</v>
      </c>
      <c r="L181" s="488">
        <f t="shared" si="41"/>
        <v>49643</v>
      </c>
      <c r="M181" s="299">
        <f t="shared" si="46"/>
        <v>461146.4</v>
      </c>
      <c r="N181" s="303">
        <f t="shared" si="42"/>
        <v>0.1</v>
      </c>
      <c r="O181" s="299">
        <f t="shared" si="48"/>
        <v>3916.5858630136991</v>
      </c>
      <c r="P181" s="299">
        <f t="shared" si="44"/>
        <v>37794</v>
      </c>
      <c r="Q181" s="299">
        <f t="shared" si="37"/>
        <v>37794.313038483175</v>
      </c>
      <c r="R181" s="302">
        <f t="shared" si="38"/>
        <v>37794.313038483175</v>
      </c>
      <c r="S181" s="302">
        <f t="shared" si="39"/>
        <v>3916.5858630136991</v>
      </c>
      <c r="T181" s="299">
        <f t="shared" si="40"/>
        <v>33877.414136986299</v>
      </c>
      <c r="U181" s="299">
        <f t="shared" si="45"/>
        <v>427268.98590000003</v>
      </c>
      <c r="V181" s="304"/>
      <c r="W181" s="505"/>
      <c r="X181" s="505"/>
      <c r="Y181" s="298">
        <f t="shared" si="47"/>
        <v>0.1</v>
      </c>
      <c r="Z181" s="309"/>
      <c r="AA181" s="306"/>
      <c r="AB181" s="307"/>
      <c r="AC181" s="308" t="str">
        <f>IF(OR(AA181="",AB181=""),"",IF(AB181=$C$7,"Сокращение срока на "&amp;#REF!-#REF!-1&amp;" мес.","Сокращение платежа на "&amp;ROUND(Q181-Q182,2)&amp;" руб."))</f>
        <v/>
      </c>
    </row>
    <row r="182" spans="3:29" x14ac:dyDescent="0.2">
      <c r="C182" s="489"/>
      <c r="D182" s="489"/>
      <c r="E182" s="494"/>
      <c r="F182" s="494">
        <v>168</v>
      </c>
      <c r="G182" s="297">
        <f t="shared" si="33"/>
        <v>2035</v>
      </c>
      <c r="H182" s="297">
        <f t="shared" si="34"/>
        <v>365</v>
      </c>
      <c r="I182" s="488">
        <f t="shared" si="35"/>
        <v>49652</v>
      </c>
      <c r="J182" s="488"/>
      <c r="K182" s="494">
        <f t="shared" si="36"/>
        <v>30</v>
      </c>
      <c r="L182" s="488">
        <f t="shared" si="41"/>
        <v>49674</v>
      </c>
      <c r="M182" s="299">
        <f t="shared" si="46"/>
        <v>427268.98590000003</v>
      </c>
      <c r="N182" s="303">
        <f t="shared" si="42"/>
        <v>0.1</v>
      </c>
      <c r="O182" s="299">
        <f t="shared" si="48"/>
        <v>3511.7998841095896</v>
      </c>
      <c r="P182" s="299">
        <f t="shared" si="44"/>
        <v>37794</v>
      </c>
      <c r="Q182" s="299">
        <f t="shared" si="37"/>
        <v>37794.313038483175</v>
      </c>
      <c r="R182" s="302">
        <f t="shared" si="38"/>
        <v>37794.313038483175</v>
      </c>
      <c r="S182" s="302">
        <f t="shared" si="39"/>
        <v>3511.7998841095896</v>
      </c>
      <c r="T182" s="299">
        <f t="shared" si="40"/>
        <v>34282.20011589041</v>
      </c>
      <c r="U182" s="299">
        <f t="shared" si="45"/>
        <v>392986.78580000001</v>
      </c>
      <c r="V182" s="304"/>
      <c r="W182" s="505"/>
      <c r="X182" s="505"/>
      <c r="Y182" s="298">
        <f t="shared" si="47"/>
        <v>0.1</v>
      </c>
      <c r="Z182" s="309"/>
      <c r="AA182" s="306"/>
      <c r="AB182" s="307"/>
      <c r="AC182" s="308" t="str">
        <f>IF(OR(AA182="",AB182=""),"",IF(AB182=$C$7,"Сокращение срока на "&amp;#REF!-#REF!-1&amp;" мес.","Сокращение платежа на "&amp;ROUND(Q182-Q183,2)&amp;" руб."))</f>
        <v/>
      </c>
    </row>
    <row r="183" spans="3:29" x14ac:dyDescent="0.2">
      <c r="C183" s="489"/>
      <c r="D183" s="489"/>
      <c r="E183" s="494">
        <f>E171+1</f>
        <v>39</v>
      </c>
      <c r="F183" s="494">
        <v>169</v>
      </c>
      <c r="G183" s="297">
        <f t="shared" si="33"/>
        <v>2036</v>
      </c>
      <c r="H183" s="297">
        <f t="shared" si="34"/>
        <v>366</v>
      </c>
      <c r="I183" s="488">
        <f t="shared" si="35"/>
        <v>49683</v>
      </c>
      <c r="J183" s="488"/>
      <c r="K183" s="494">
        <f t="shared" si="36"/>
        <v>31</v>
      </c>
      <c r="L183" s="488">
        <f t="shared" si="41"/>
        <v>49705</v>
      </c>
      <c r="M183" s="299">
        <f t="shared" si="46"/>
        <v>392986.78580000001</v>
      </c>
      <c r="N183" s="303">
        <f t="shared" si="42"/>
        <v>0.1</v>
      </c>
      <c r="O183" s="299">
        <f t="shared" si="48"/>
        <v>3328.5766010382517</v>
      </c>
      <c r="P183" s="299">
        <f t="shared" si="44"/>
        <v>37794</v>
      </c>
      <c r="Q183" s="299">
        <f t="shared" si="37"/>
        <v>37794.313038483175</v>
      </c>
      <c r="R183" s="302">
        <f t="shared" si="38"/>
        <v>40058.016920676775</v>
      </c>
      <c r="S183" s="302">
        <f t="shared" si="39"/>
        <v>3328.5766010382517</v>
      </c>
      <c r="T183" s="299">
        <f t="shared" si="40"/>
        <v>34465.42339896175</v>
      </c>
      <c r="U183" s="299">
        <f t="shared" si="45"/>
        <v>358521.36239999998</v>
      </c>
      <c r="V183" s="304">
        <f>IF(U183=0,0,((U183*10%+U183)*(W183+X183)))</f>
        <v>2263.7038821936003</v>
      </c>
      <c r="W183" s="505">
        <f>INDEX('Тарифы СК'!$B$4:$C$53,MATCH($E$183,'Тарифы СК'!$A$4:$A$53,0),MATCH($AB$3,'Тарифы СК'!$B$3:$C$3,0))</f>
        <v>4.5400000000000006E-3</v>
      </c>
      <c r="X183" s="505">
        <f>'Тарифы СК'!$D$3</f>
        <v>1.1999999999999999E-3</v>
      </c>
      <c r="Y183" s="298">
        <f t="shared" si="47"/>
        <v>0.1</v>
      </c>
      <c r="Z183" s="309"/>
      <c r="AA183" s="306"/>
      <c r="AB183" s="307"/>
      <c r="AC183" s="308" t="str">
        <f>IF(OR(AA183="",AB183=""),"",IF(AB183=$C$7,"Сокращение срока на "&amp;#REF!-#REF!-1&amp;" мес.","Сокращение платежа на "&amp;ROUND(Q183-Q184,2)&amp;" руб."))</f>
        <v/>
      </c>
    </row>
    <row r="184" spans="3:29" x14ac:dyDescent="0.2">
      <c r="C184" s="489"/>
      <c r="D184" s="489"/>
      <c r="E184" s="494"/>
      <c r="F184" s="494">
        <v>170</v>
      </c>
      <c r="G184" s="297">
        <f t="shared" si="33"/>
        <v>2036</v>
      </c>
      <c r="H184" s="297">
        <f t="shared" si="34"/>
        <v>366</v>
      </c>
      <c r="I184" s="488">
        <f t="shared" si="35"/>
        <v>49714</v>
      </c>
      <c r="J184" s="488"/>
      <c r="K184" s="494">
        <f t="shared" si="36"/>
        <v>31</v>
      </c>
      <c r="L184" s="488">
        <f t="shared" si="41"/>
        <v>49734</v>
      </c>
      <c r="M184" s="299">
        <f t="shared" si="46"/>
        <v>358521.36239999998</v>
      </c>
      <c r="N184" s="303">
        <f t="shared" si="42"/>
        <v>0.1</v>
      </c>
      <c r="O184" s="299">
        <f t="shared" si="48"/>
        <v>3036.6563481967214</v>
      </c>
      <c r="P184" s="299">
        <f t="shared" si="44"/>
        <v>37794</v>
      </c>
      <c r="Q184" s="299">
        <f t="shared" si="37"/>
        <v>37794.313038483175</v>
      </c>
      <c r="R184" s="302">
        <f t="shared" si="38"/>
        <v>37794.313038483175</v>
      </c>
      <c r="S184" s="302">
        <f t="shared" si="39"/>
        <v>3036.6563481967214</v>
      </c>
      <c r="T184" s="299">
        <f t="shared" si="40"/>
        <v>34757.343651803276</v>
      </c>
      <c r="U184" s="299">
        <f t="shared" si="45"/>
        <v>323764.01870000002</v>
      </c>
      <c r="V184" s="304"/>
      <c r="W184" s="505"/>
      <c r="X184" s="505"/>
      <c r="Y184" s="298">
        <f t="shared" si="47"/>
        <v>0.1</v>
      </c>
      <c r="Z184" s="309"/>
      <c r="AA184" s="306"/>
      <c r="AB184" s="307"/>
      <c r="AC184" s="308" t="str">
        <f>IF(OR(AA184="",AB184=""),"",IF(AB184=$C$7,"Сокращение срока на "&amp;#REF!-#REF!-1&amp;" мес.","Сокращение платежа на "&amp;ROUND(Q184-Q185,2)&amp;" руб."))</f>
        <v/>
      </c>
    </row>
    <row r="185" spans="3:29" x14ac:dyDescent="0.2">
      <c r="C185" s="489"/>
      <c r="D185" s="489"/>
      <c r="E185" s="494"/>
      <c r="F185" s="494">
        <v>171</v>
      </c>
      <c r="G185" s="297">
        <f t="shared" si="33"/>
        <v>2036</v>
      </c>
      <c r="H185" s="297">
        <f t="shared" si="34"/>
        <v>366</v>
      </c>
      <c r="I185" s="488">
        <f t="shared" si="35"/>
        <v>49743</v>
      </c>
      <c r="J185" s="488"/>
      <c r="K185" s="494">
        <f t="shared" si="36"/>
        <v>29</v>
      </c>
      <c r="L185" s="488">
        <f t="shared" si="41"/>
        <v>49765</v>
      </c>
      <c r="M185" s="299">
        <f t="shared" si="46"/>
        <v>323764.01870000002</v>
      </c>
      <c r="N185" s="303">
        <f t="shared" si="42"/>
        <v>0.1</v>
      </c>
      <c r="O185" s="299">
        <f t="shared" si="48"/>
        <v>2565.3433175683062</v>
      </c>
      <c r="P185" s="299">
        <f t="shared" si="44"/>
        <v>37794</v>
      </c>
      <c r="Q185" s="299">
        <f t="shared" si="37"/>
        <v>37794.313038483175</v>
      </c>
      <c r="R185" s="302">
        <f t="shared" si="38"/>
        <v>37794.313038483175</v>
      </c>
      <c r="S185" s="302">
        <f t="shared" si="39"/>
        <v>2565.3433175683062</v>
      </c>
      <c r="T185" s="299">
        <f t="shared" si="40"/>
        <v>35228.656682431691</v>
      </c>
      <c r="U185" s="299">
        <f t="shared" si="45"/>
        <v>288535.36200000002</v>
      </c>
      <c r="V185" s="304"/>
      <c r="W185" s="505"/>
      <c r="X185" s="505"/>
      <c r="Y185" s="298">
        <f t="shared" si="47"/>
        <v>0.1</v>
      </c>
      <c r="Z185" s="309"/>
      <c r="AA185" s="306"/>
      <c r="AB185" s="307"/>
      <c r="AC185" s="308" t="str">
        <f>IF(OR(AA185="",AB185=""),"",IF(AB185=$C$7,"Сокращение срока на "&amp;#REF!-#REF!-1&amp;" мес.","Сокращение платежа на "&amp;ROUND(Q185-Q186,2)&amp;" руб."))</f>
        <v/>
      </c>
    </row>
    <row r="186" spans="3:29" x14ac:dyDescent="0.2">
      <c r="C186" s="489"/>
      <c r="D186" s="489"/>
      <c r="E186" s="494"/>
      <c r="F186" s="494">
        <v>172</v>
      </c>
      <c r="G186" s="297">
        <f t="shared" si="33"/>
        <v>2036</v>
      </c>
      <c r="H186" s="297">
        <f t="shared" si="34"/>
        <v>366</v>
      </c>
      <c r="I186" s="488">
        <f t="shared" si="35"/>
        <v>49774</v>
      </c>
      <c r="J186" s="488"/>
      <c r="K186" s="494">
        <f t="shared" si="36"/>
        <v>31</v>
      </c>
      <c r="L186" s="488">
        <f t="shared" si="41"/>
        <v>49795</v>
      </c>
      <c r="M186" s="299">
        <f t="shared" si="46"/>
        <v>288535.36200000002</v>
      </c>
      <c r="N186" s="303">
        <f t="shared" si="42"/>
        <v>0.1</v>
      </c>
      <c r="O186" s="299">
        <f t="shared" si="48"/>
        <v>2443.8787491803278</v>
      </c>
      <c r="P186" s="299">
        <f t="shared" si="44"/>
        <v>37794</v>
      </c>
      <c r="Q186" s="299">
        <f t="shared" si="37"/>
        <v>37794.313038483175</v>
      </c>
      <c r="R186" s="302">
        <f t="shared" si="38"/>
        <v>37794.313038483175</v>
      </c>
      <c r="S186" s="302">
        <f t="shared" si="39"/>
        <v>2443.8787491803278</v>
      </c>
      <c r="T186" s="299">
        <f t="shared" si="40"/>
        <v>35350.12125081967</v>
      </c>
      <c r="U186" s="299">
        <f t="shared" si="45"/>
        <v>253185.24069999999</v>
      </c>
      <c r="V186" s="304"/>
      <c r="W186" s="505"/>
      <c r="X186" s="505"/>
      <c r="Y186" s="298">
        <f t="shared" si="47"/>
        <v>0.1</v>
      </c>
      <c r="Z186" s="309"/>
      <c r="AA186" s="306"/>
      <c r="AB186" s="307"/>
      <c r="AC186" s="308" t="str">
        <f>IF(OR(AA186="",AB186=""),"",IF(AB186=$C$7,"Сокращение срока на "&amp;#REF!-#REF!-1&amp;" мес.","Сокращение платежа на "&amp;ROUND(Q186-Q187,2)&amp;" руб."))</f>
        <v/>
      </c>
    </row>
    <row r="187" spans="3:29" x14ac:dyDescent="0.2">
      <c r="C187" s="489"/>
      <c r="D187" s="489"/>
      <c r="E187" s="494"/>
      <c r="F187" s="494">
        <v>173</v>
      </c>
      <c r="G187" s="297">
        <f t="shared" si="33"/>
        <v>2036</v>
      </c>
      <c r="H187" s="297">
        <f t="shared" si="34"/>
        <v>366</v>
      </c>
      <c r="I187" s="488">
        <f t="shared" si="35"/>
        <v>49804</v>
      </c>
      <c r="J187" s="488"/>
      <c r="K187" s="494">
        <f t="shared" si="36"/>
        <v>30</v>
      </c>
      <c r="L187" s="488">
        <f t="shared" si="41"/>
        <v>49826</v>
      </c>
      <c r="M187" s="299">
        <f t="shared" si="46"/>
        <v>253185.24069999999</v>
      </c>
      <c r="N187" s="303">
        <f t="shared" si="42"/>
        <v>0.1</v>
      </c>
      <c r="O187" s="299">
        <f t="shared" si="48"/>
        <v>2075.2888581967213</v>
      </c>
      <c r="P187" s="299">
        <f t="shared" si="44"/>
        <v>37794</v>
      </c>
      <c r="Q187" s="299">
        <f t="shared" si="37"/>
        <v>37794.313038483175</v>
      </c>
      <c r="R187" s="302">
        <f t="shared" si="38"/>
        <v>37794.313038483175</v>
      </c>
      <c r="S187" s="302">
        <f t="shared" si="39"/>
        <v>2075.2888581967213</v>
      </c>
      <c r="T187" s="299">
        <f t="shared" si="40"/>
        <v>35718.71114180328</v>
      </c>
      <c r="U187" s="299">
        <f t="shared" si="45"/>
        <v>217466.52960000001</v>
      </c>
      <c r="V187" s="304"/>
      <c r="W187" s="505"/>
      <c r="X187" s="505"/>
      <c r="Y187" s="298">
        <f t="shared" si="47"/>
        <v>0.1</v>
      </c>
      <c r="Z187" s="309"/>
      <c r="AA187" s="306"/>
      <c r="AB187" s="307"/>
      <c r="AC187" s="308" t="str">
        <f>IF(OR(AA187="",AB187=""),"",IF(AB187=$C$7,"Сокращение срока на "&amp;#REF!-#REF!-1&amp;" мес.","Сокращение платежа на "&amp;ROUND(Q187-Q188,2)&amp;" руб."))</f>
        <v/>
      </c>
    </row>
    <row r="188" spans="3:29" x14ac:dyDescent="0.2">
      <c r="C188" s="489"/>
      <c r="D188" s="489"/>
      <c r="E188" s="494"/>
      <c r="F188" s="494">
        <v>174</v>
      </c>
      <c r="G188" s="297">
        <f t="shared" si="33"/>
        <v>2036</v>
      </c>
      <c r="H188" s="297">
        <f t="shared" si="34"/>
        <v>366</v>
      </c>
      <c r="I188" s="488">
        <f t="shared" si="35"/>
        <v>49835</v>
      </c>
      <c r="J188" s="488"/>
      <c r="K188" s="494">
        <f t="shared" si="36"/>
        <v>31</v>
      </c>
      <c r="L188" s="488">
        <f t="shared" si="41"/>
        <v>49856</v>
      </c>
      <c r="M188" s="299">
        <f t="shared" si="46"/>
        <v>217466.52960000001</v>
      </c>
      <c r="N188" s="303">
        <f t="shared" si="42"/>
        <v>0.1</v>
      </c>
      <c r="O188" s="299">
        <f t="shared" si="48"/>
        <v>1841.9296222950823</v>
      </c>
      <c r="P188" s="299">
        <f t="shared" si="44"/>
        <v>37794</v>
      </c>
      <c r="Q188" s="299">
        <f t="shared" si="37"/>
        <v>37794.313038483175</v>
      </c>
      <c r="R188" s="302">
        <f t="shared" si="38"/>
        <v>37794.313038483175</v>
      </c>
      <c r="S188" s="302">
        <f t="shared" si="39"/>
        <v>1841.9296222950823</v>
      </c>
      <c r="T188" s="299">
        <f t="shared" si="40"/>
        <v>35952.07037770492</v>
      </c>
      <c r="U188" s="299">
        <f t="shared" si="45"/>
        <v>181514.45920000001</v>
      </c>
      <c r="V188" s="304"/>
      <c r="W188" s="505"/>
      <c r="X188" s="505"/>
      <c r="Y188" s="298">
        <f t="shared" si="47"/>
        <v>0.1</v>
      </c>
      <c r="Z188" s="309"/>
      <c r="AA188" s="306"/>
      <c r="AB188" s="307"/>
      <c r="AC188" s="308" t="str">
        <f>IF(OR(AA188="",AB188=""),"",IF(AB188=$C$7,"Сокращение срока на "&amp;#REF!-#REF!-1&amp;" мес.","Сокращение платежа на "&amp;ROUND(Q188-Q189,2)&amp;" руб."))</f>
        <v/>
      </c>
    </row>
    <row r="189" spans="3:29" x14ac:dyDescent="0.2">
      <c r="C189" s="489"/>
      <c r="D189" s="489"/>
      <c r="E189" s="494"/>
      <c r="F189" s="494">
        <v>175</v>
      </c>
      <c r="G189" s="297">
        <f t="shared" si="33"/>
        <v>2036</v>
      </c>
      <c r="H189" s="297">
        <f t="shared" si="34"/>
        <v>366</v>
      </c>
      <c r="I189" s="488">
        <f t="shared" si="35"/>
        <v>49865</v>
      </c>
      <c r="J189" s="488"/>
      <c r="K189" s="494">
        <f t="shared" si="36"/>
        <v>30</v>
      </c>
      <c r="L189" s="488">
        <f t="shared" si="41"/>
        <v>49887</v>
      </c>
      <c r="M189" s="299">
        <f t="shared" si="46"/>
        <v>181514.45920000001</v>
      </c>
      <c r="N189" s="303">
        <f t="shared" si="42"/>
        <v>0.1</v>
      </c>
      <c r="O189" s="299">
        <f t="shared" si="48"/>
        <v>1487.823436065574</v>
      </c>
      <c r="P189" s="299">
        <f t="shared" si="44"/>
        <v>37794</v>
      </c>
      <c r="Q189" s="299">
        <f t="shared" si="37"/>
        <v>37794.313038483175</v>
      </c>
      <c r="R189" s="302">
        <f t="shared" si="38"/>
        <v>37794.313038483175</v>
      </c>
      <c r="S189" s="302">
        <f t="shared" si="39"/>
        <v>1487.823436065574</v>
      </c>
      <c r="T189" s="299">
        <f t="shared" si="40"/>
        <v>36306.176563934423</v>
      </c>
      <c r="U189" s="299">
        <f t="shared" si="45"/>
        <v>145208.28260000001</v>
      </c>
      <c r="V189" s="304"/>
      <c r="W189" s="505"/>
      <c r="X189" s="505"/>
      <c r="Y189" s="298">
        <f t="shared" si="47"/>
        <v>0.1</v>
      </c>
      <c r="Z189" s="309"/>
      <c r="AA189" s="306"/>
      <c r="AB189" s="307"/>
      <c r="AC189" s="308" t="str">
        <f>IF(OR(AA189="",AB189=""),"",IF(AB189=$C$7,"Сокращение срока на "&amp;#REF!-#REF!-1&amp;" мес.","Сокращение платежа на "&amp;ROUND(Q189-Q190,2)&amp;" руб."))</f>
        <v/>
      </c>
    </row>
    <row r="190" spans="3:29" x14ac:dyDescent="0.2">
      <c r="C190" s="489"/>
      <c r="D190" s="489"/>
      <c r="E190" s="494"/>
      <c r="F190" s="494">
        <v>176</v>
      </c>
      <c r="G190" s="297">
        <f t="shared" si="33"/>
        <v>2036</v>
      </c>
      <c r="H190" s="297">
        <f t="shared" si="34"/>
        <v>366</v>
      </c>
      <c r="I190" s="488">
        <f t="shared" si="35"/>
        <v>49896</v>
      </c>
      <c r="J190" s="488"/>
      <c r="K190" s="494">
        <f t="shared" si="36"/>
        <v>31</v>
      </c>
      <c r="L190" s="488">
        <f t="shared" si="41"/>
        <v>49918</v>
      </c>
      <c r="M190" s="299">
        <f t="shared" si="46"/>
        <v>145208.28260000001</v>
      </c>
      <c r="N190" s="303">
        <f t="shared" si="42"/>
        <v>0.1</v>
      </c>
      <c r="O190" s="299">
        <f t="shared" si="48"/>
        <v>1229.9062187431696</v>
      </c>
      <c r="P190" s="299">
        <f t="shared" si="44"/>
        <v>37794</v>
      </c>
      <c r="Q190" s="299">
        <f t="shared" si="37"/>
        <v>37794.313038483175</v>
      </c>
      <c r="R190" s="302">
        <f t="shared" si="38"/>
        <v>37794.313038483175</v>
      </c>
      <c r="S190" s="302">
        <f t="shared" si="39"/>
        <v>1229.9062187431696</v>
      </c>
      <c r="T190" s="299">
        <f t="shared" si="40"/>
        <v>36564.09378125683</v>
      </c>
      <c r="U190" s="299">
        <f t="shared" si="45"/>
        <v>108644.1888</v>
      </c>
      <c r="V190" s="304"/>
      <c r="W190" s="505"/>
      <c r="X190" s="505"/>
      <c r="Y190" s="298">
        <f t="shared" si="47"/>
        <v>0.1</v>
      </c>
      <c r="Z190" s="309"/>
      <c r="AA190" s="306"/>
      <c r="AB190" s="307"/>
      <c r="AC190" s="308" t="str">
        <f>IF(OR(AA190="",AB190=""),"",IF(AB190=$C$7,"Сокращение срока на "&amp;#REF!-#REF!-1&amp;" мес.","Сокращение платежа на "&amp;ROUND(Q190-Q191,2)&amp;" руб."))</f>
        <v/>
      </c>
    </row>
    <row r="191" spans="3:29" x14ac:dyDescent="0.2">
      <c r="C191" s="489"/>
      <c r="D191" s="489"/>
      <c r="E191" s="494"/>
      <c r="F191" s="494">
        <v>177</v>
      </c>
      <c r="G191" s="297">
        <f t="shared" si="33"/>
        <v>2036</v>
      </c>
      <c r="H191" s="297">
        <f t="shared" si="34"/>
        <v>366</v>
      </c>
      <c r="I191" s="488">
        <f t="shared" si="35"/>
        <v>49927</v>
      </c>
      <c r="J191" s="488"/>
      <c r="K191" s="494">
        <f t="shared" si="36"/>
        <v>31</v>
      </c>
      <c r="L191" s="488">
        <f t="shared" si="41"/>
        <v>49948</v>
      </c>
      <c r="M191" s="299">
        <f t="shared" si="46"/>
        <v>108644.1888</v>
      </c>
      <c r="N191" s="303">
        <f t="shared" si="42"/>
        <v>0.1</v>
      </c>
      <c r="O191" s="299">
        <f t="shared" si="48"/>
        <v>920.210342295082</v>
      </c>
      <c r="P191" s="299">
        <f t="shared" si="44"/>
        <v>37794</v>
      </c>
      <c r="Q191" s="299">
        <f t="shared" si="37"/>
        <v>37794.313038483175</v>
      </c>
      <c r="R191" s="302">
        <f t="shared" si="38"/>
        <v>37794.313038483175</v>
      </c>
      <c r="S191" s="302">
        <f t="shared" si="39"/>
        <v>920.210342295082</v>
      </c>
      <c r="T191" s="299">
        <f t="shared" si="40"/>
        <v>36873.789657704918</v>
      </c>
      <c r="U191" s="299">
        <f t="shared" si="45"/>
        <v>71770.399099999995</v>
      </c>
      <c r="V191" s="304"/>
      <c r="W191" s="505"/>
      <c r="X191" s="505"/>
      <c r="Y191" s="298">
        <f t="shared" si="47"/>
        <v>0.1</v>
      </c>
      <c r="Z191" s="309"/>
      <c r="AA191" s="306"/>
      <c r="AB191" s="307"/>
      <c r="AC191" s="308" t="str">
        <f>IF(OR(AA191="",AB191=""),"",IF(AB191=$C$7,"Сокращение срока на "&amp;#REF!-#REF!-1&amp;" мес.","Сокращение платежа на "&amp;ROUND(Q191-Q192,2)&amp;" руб."))</f>
        <v/>
      </c>
    </row>
    <row r="192" spans="3:29" x14ac:dyDescent="0.2">
      <c r="C192" s="489"/>
      <c r="D192" s="489"/>
      <c r="E192" s="494"/>
      <c r="F192" s="494">
        <v>178</v>
      </c>
      <c r="G192" s="297">
        <f t="shared" si="33"/>
        <v>2036</v>
      </c>
      <c r="H192" s="297">
        <f t="shared" si="34"/>
        <v>366</v>
      </c>
      <c r="I192" s="488">
        <f t="shared" si="35"/>
        <v>49957</v>
      </c>
      <c r="J192" s="488"/>
      <c r="K192" s="494">
        <f t="shared" si="36"/>
        <v>30</v>
      </c>
      <c r="L192" s="488">
        <f t="shared" si="41"/>
        <v>49979</v>
      </c>
      <c r="M192" s="299">
        <f t="shared" si="46"/>
        <v>71770.399099999995</v>
      </c>
      <c r="N192" s="303">
        <f t="shared" si="42"/>
        <v>0.1</v>
      </c>
      <c r="O192" s="299">
        <f t="shared" si="48"/>
        <v>588.28195983606554</v>
      </c>
      <c r="P192" s="299">
        <f t="shared" si="44"/>
        <v>37794</v>
      </c>
      <c r="Q192" s="299">
        <f t="shared" si="37"/>
        <v>37794.313038483175</v>
      </c>
      <c r="R192" s="302">
        <f t="shared" si="38"/>
        <v>37794.313038483175</v>
      </c>
      <c r="S192" s="302">
        <f t="shared" si="39"/>
        <v>588.28195983606554</v>
      </c>
      <c r="T192" s="299">
        <f t="shared" si="40"/>
        <v>37205.718040163934</v>
      </c>
      <c r="U192" s="299">
        <f t="shared" si="45"/>
        <v>34564.681100000002</v>
      </c>
      <c r="V192" s="304"/>
      <c r="W192" s="505"/>
      <c r="X192" s="505"/>
      <c r="Y192" s="298">
        <f t="shared" si="47"/>
        <v>0.1</v>
      </c>
      <c r="Z192" s="309"/>
      <c r="AA192" s="306"/>
      <c r="AB192" s="307"/>
      <c r="AC192" s="308" t="str">
        <f>IF(OR(AA192="",AB192=""),"",IF(AB192=$C$7,"Сокращение срока на "&amp;#REF!-#REF!-1&amp;" мес.","Сокращение платежа на "&amp;ROUND(Q192-Q193,2)&amp;" руб."))</f>
        <v/>
      </c>
    </row>
    <row r="193" spans="3:29" x14ac:dyDescent="0.2">
      <c r="C193" s="489"/>
      <c r="D193" s="489"/>
      <c r="E193" s="494"/>
      <c r="F193" s="494">
        <v>179</v>
      </c>
      <c r="G193" s="297">
        <f t="shared" si="33"/>
        <v>2036</v>
      </c>
      <c r="H193" s="297">
        <f t="shared" si="34"/>
        <v>366</v>
      </c>
      <c r="I193" s="488">
        <f t="shared" si="35"/>
        <v>49988</v>
      </c>
      <c r="J193" s="488"/>
      <c r="K193" s="494">
        <f t="shared" si="36"/>
        <v>31</v>
      </c>
      <c r="L193" s="488">
        <f t="shared" si="41"/>
        <v>50009</v>
      </c>
      <c r="M193" s="299">
        <f t="shared" si="46"/>
        <v>34564.681100000002</v>
      </c>
      <c r="N193" s="303">
        <f t="shared" si="42"/>
        <v>0.1</v>
      </c>
      <c r="O193" s="299">
        <f t="shared" si="48"/>
        <v>292.76096013661203</v>
      </c>
      <c r="P193" s="299">
        <f t="shared" si="44"/>
        <v>34857.442060136615</v>
      </c>
      <c r="Q193" s="299">
        <f t="shared" si="37"/>
        <v>37794.313038483175</v>
      </c>
      <c r="R193" s="302">
        <f t="shared" si="38"/>
        <v>37794.313038483175</v>
      </c>
      <c r="S193" s="302">
        <f t="shared" si="39"/>
        <v>292.76096013661203</v>
      </c>
      <c r="T193" s="299">
        <f t="shared" si="40"/>
        <v>34564.681100000002</v>
      </c>
      <c r="U193" s="299">
        <f t="shared" si="45"/>
        <v>0</v>
      </c>
      <c r="V193" s="304"/>
      <c r="W193" s="505"/>
      <c r="X193" s="505"/>
      <c r="Y193" s="298">
        <f t="shared" si="47"/>
        <v>0.1</v>
      </c>
      <c r="Z193" s="309"/>
      <c r="AA193" s="306"/>
      <c r="AB193" s="307"/>
      <c r="AC193" s="308" t="str">
        <f>IF(OR(AA193="",AB193=""),"",IF(AB193=$C$7,"Сокращение срока на "&amp;#REF!-#REF!-1&amp;" мес.","Сокращение платежа на "&amp;ROUND(Q193-Q194,2)&amp;" руб."))</f>
        <v/>
      </c>
    </row>
    <row r="194" spans="3:29" ht="13.7" customHeight="1" x14ac:dyDescent="0.2">
      <c r="C194" s="489"/>
      <c r="D194" s="489"/>
      <c r="E194" s="494"/>
      <c r="F194" s="494">
        <v>180</v>
      </c>
      <c r="G194" s="297">
        <f t="shared" si="33"/>
        <v>2036</v>
      </c>
      <c r="H194" s="297">
        <f t="shared" si="34"/>
        <v>366</v>
      </c>
      <c r="I194" s="488">
        <f t="shared" si="35"/>
        <v>50018</v>
      </c>
      <c r="J194" s="488"/>
      <c r="K194" s="494">
        <f t="shared" si="36"/>
        <v>30</v>
      </c>
      <c r="L194" s="488">
        <f t="shared" si="41"/>
        <v>50040</v>
      </c>
      <c r="M194" s="299">
        <f t="shared" si="46"/>
        <v>0</v>
      </c>
      <c r="N194" s="303">
        <f t="shared" si="42"/>
        <v>0.1</v>
      </c>
      <c r="O194" s="299">
        <f t="shared" si="48"/>
        <v>0</v>
      </c>
      <c r="P194" s="299">
        <f t="shared" si="44"/>
        <v>0</v>
      </c>
      <c r="Q194" s="299">
        <f t="shared" si="37"/>
        <v>0</v>
      </c>
      <c r="R194" s="302">
        <f t="shared" si="38"/>
        <v>0</v>
      </c>
      <c r="S194" s="302">
        <f t="shared" si="39"/>
        <v>0</v>
      </c>
      <c r="T194" s="299">
        <f t="shared" si="40"/>
        <v>0</v>
      </c>
      <c r="U194" s="299">
        <f t="shared" si="45"/>
        <v>0</v>
      </c>
      <c r="V194" s="304"/>
      <c r="W194" s="505"/>
      <c r="X194" s="505"/>
      <c r="Y194" s="298">
        <f t="shared" si="47"/>
        <v>0.1</v>
      </c>
      <c r="Z194" s="309"/>
      <c r="AA194" s="306"/>
      <c r="AB194" s="307"/>
      <c r="AC194" s="308" t="str">
        <f>IF(OR(AA194="",AB194=""),"",IF(AB194=$C$7,"Сокращение срока на "&amp;#REF!-#REF!-1&amp;" мес.","Сокращение платежа на "&amp;ROUND(Q194-Q195,2)&amp;" руб."))</f>
        <v/>
      </c>
    </row>
    <row r="195" spans="3:29" x14ac:dyDescent="0.2">
      <c r="C195" s="489"/>
      <c r="D195" s="489"/>
      <c r="E195" s="494">
        <f>E183+1</f>
        <v>40</v>
      </c>
      <c r="F195" s="494">
        <v>181</v>
      </c>
      <c r="G195" s="297">
        <f t="shared" si="33"/>
        <v>2037</v>
      </c>
      <c r="H195" s="297">
        <f t="shared" si="34"/>
        <v>365</v>
      </c>
      <c r="I195" s="488">
        <f t="shared" si="35"/>
        <v>50049</v>
      </c>
      <c r="J195" s="488"/>
      <c r="K195" s="494">
        <f t="shared" si="36"/>
        <v>31</v>
      </c>
      <c r="L195" s="488">
        <f t="shared" si="41"/>
        <v>50071</v>
      </c>
      <c r="M195" s="299">
        <f t="shared" si="46"/>
        <v>0</v>
      </c>
      <c r="N195" s="303">
        <f t="shared" si="42"/>
        <v>0.1</v>
      </c>
      <c r="O195" s="299">
        <f t="shared" si="48"/>
        <v>0</v>
      </c>
      <c r="P195" s="299">
        <f t="shared" si="44"/>
        <v>0</v>
      </c>
      <c r="Q195" s="299">
        <f t="shared" si="37"/>
        <v>0</v>
      </c>
      <c r="R195" s="302">
        <f t="shared" si="38"/>
        <v>0</v>
      </c>
      <c r="S195" s="302">
        <f t="shared" si="39"/>
        <v>0</v>
      </c>
      <c r="T195" s="299">
        <f t="shared" si="40"/>
        <v>0</v>
      </c>
      <c r="U195" s="299">
        <f t="shared" si="45"/>
        <v>0</v>
      </c>
      <c r="V195" s="304">
        <f>IF(U195=0,0,((U195*10%+U195)*(W195+X195)))</f>
        <v>0</v>
      </c>
      <c r="W195" s="505">
        <f>INDEX('Тарифы СК'!$B$4:$C$53,MATCH($E$195,'Тарифы СК'!$A$4:$A$53,0),MATCH($AB$3,'Тарифы СК'!$B$3:$C$3,0))</f>
        <v>4.7499999999999999E-3</v>
      </c>
      <c r="X195" s="505">
        <f>'Тарифы СК'!$D$3</f>
        <v>1.1999999999999999E-3</v>
      </c>
      <c r="Y195" s="298">
        <f t="shared" si="47"/>
        <v>0.1</v>
      </c>
      <c r="Z195" s="309"/>
      <c r="AA195" s="306"/>
      <c r="AB195" s="307"/>
      <c r="AC195" s="308" t="str">
        <f>IF(OR(AA195="",AB195=""),"",IF(AB195=$C$7,"Сокращение срока на "&amp;#REF!-#REF!-1&amp;" мес.","Сокращение платежа на "&amp;ROUND(Q195-Q196,2)&amp;" руб."))</f>
        <v/>
      </c>
    </row>
    <row r="196" spans="3:29" x14ac:dyDescent="0.2">
      <c r="C196" s="489"/>
      <c r="D196" s="489"/>
      <c r="E196" s="494"/>
      <c r="F196" s="494">
        <v>182</v>
      </c>
      <c r="G196" s="297">
        <f t="shared" si="33"/>
        <v>2037</v>
      </c>
      <c r="H196" s="297">
        <f t="shared" si="34"/>
        <v>365</v>
      </c>
      <c r="I196" s="488">
        <f t="shared" si="35"/>
        <v>50080</v>
      </c>
      <c r="J196" s="488"/>
      <c r="K196" s="494">
        <f t="shared" si="36"/>
        <v>31</v>
      </c>
      <c r="L196" s="488">
        <f t="shared" si="41"/>
        <v>50099</v>
      </c>
      <c r="M196" s="299">
        <f t="shared" si="46"/>
        <v>0</v>
      </c>
      <c r="N196" s="303">
        <f t="shared" si="42"/>
        <v>0.1</v>
      </c>
      <c r="O196" s="299">
        <f t="shared" si="48"/>
        <v>0</v>
      </c>
      <c r="P196" s="299">
        <f t="shared" si="44"/>
        <v>0</v>
      </c>
      <c r="Q196" s="299">
        <f t="shared" si="37"/>
        <v>0</v>
      </c>
      <c r="R196" s="302">
        <f t="shared" si="38"/>
        <v>0</v>
      </c>
      <c r="S196" s="302">
        <f t="shared" si="39"/>
        <v>0</v>
      </c>
      <c r="T196" s="299">
        <f t="shared" si="40"/>
        <v>0</v>
      </c>
      <c r="U196" s="299">
        <f t="shared" si="45"/>
        <v>0</v>
      </c>
      <c r="V196" s="304"/>
      <c r="W196" s="505"/>
      <c r="X196" s="505"/>
      <c r="Y196" s="298">
        <f t="shared" si="47"/>
        <v>0.1</v>
      </c>
      <c r="Z196" s="309"/>
      <c r="AA196" s="306"/>
      <c r="AB196" s="307"/>
      <c r="AC196" s="308" t="str">
        <f>IF(OR(AA196="",AB196=""),"",IF(AB196=$C$7,"Сокращение срока на "&amp;#REF!-#REF!-1&amp;" мес.","Сокращение платежа на "&amp;ROUND(Q196-Q197,2)&amp;" руб."))</f>
        <v/>
      </c>
    </row>
    <row r="197" spans="3:29" x14ac:dyDescent="0.2">
      <c r="C197" s="489"/>
      <c r="D197" s="489"/>
      <c r="E197" s="494"/>
      <c r="F197" s="494">
        <v>183</v>
      </c>
      <c r="G197" s="297">
        <f t="shared" si="33"/>
        <v>2037</v>
      </c>
      <c r="H197" s="297">
        <f t="shared" si="34"/>
        <v>365</v>
      </c>
      <c r="I197" s="488">
        <f t="shared" si="35"/>
        <v>50108</v>
      </c>
      <c r="J197" s="488"/>
      <c r="K197" s="494">
        <f t="shared" si="36"/>
        <v>28</v>
      </c>
      <c r="L197" s="488">
        <f t="shared" si="41"/>
        <v>50130</v>
      </c>
      <c r="M197" s="299">
        <f t="shared" si="46"/>
        <v>0</v>
      </c>
      <c r="N197" s="303">
        <f t="shared" si="42"/>
        <v>0.1</v>
      </c>
      <c r="O197" s="299">
        <f t="shared" si="48"/>
        <v>0</v>
      </c>
      <c r="P197" s="299">
        <f t="shared" si="44"/>
        <v>0</v>
      </c>
      <c r="Q197" s="299">
        <f t="shared" si="37"/>
        <v>0</v>
      </c>
      <c r="R197" s="302">
        <f t="shared" si="38"/>
        <v>0</v>
      </c>
      <c r="S197" s="302">
        <f t="shared" si="39"/>
        <v>0</v>
      </c>
      <c r="T197" s="299">
        <f t="shared" si="40"/>
        <v>0</v>
      </c>
      <c r="U197" s="299">
        <f t="shared" si="45"/>
        <v>0</v>
      </c>
      <c r="V197" s="304"/>
      <c r="W197" s="505"/>
      <c r="X197" s="505"/>
      <c r="Y197" s="298">
        <f t="shared" si="47"/>
        <v>0.1</v>
      </c>
      <c r="Z197" s="309"/>
      <c r="AA197" s="306"/>
      <c r="AB197" s="307"/>
      <c r="AC197" s="297"/>
    </row>
    <row r="198" spans="3:29" x14ac:dyDescent="0.2">
      <c r="C198" s="489"/>
      <c r="D198" s="489"/>
      <c r="E198" s="494"/>
      <c r="F198" s="494">
        <v>184</v>
      </c>
      <c r="G198" s="297">
        <f t="shared" si="33"/>
        <v>2037</v>
      </c>
      <c r="H198" s="297">
        <f t="shared" si="34"/>
        <v>365</v>
      </c>
      <c r="I198" s="488">
        <f t="shared" si="35"/>
        <v>50139</v>
      </c>
      <c r="J198" s="488"/>
      <c r="K198" s="494">
        <f t="shared" si="36"/>
        <v>31</v>
      </c>
      <c r="L198" s="488">
        <f t="shared" si="41"/>
        <v>50160</v>
      </c>
      <c r="M198" s="299">
        <f t="shared" si="46"/>
        <v>0</v>
      </c>
      <c r="N198" s="303">
        <f t="shared" si="42"/>
        <v>0.1</v>
      </c>
      <c r="O198" s="299">
        <f t="shared" si="48"/>
        <v>0</v>
      </c>
      <c r="P198" s="299">
        <f t="shared" si="44"/>
        <v>0</v>
      </c>
      <c r="Q198" s="299">
        <f t="shared" si="37"/>
        <v>0</v>
      </c>
      <c r="R198" s="302">
        <f t="shared" si="38"/>
        <v>0</v>
      </c>
      <c r="S198" s="302">
        <f t="shared" si="39"/>
        <v>0</v>
      </c>
      <c r="T198" s="299">
        <f t="shared" si="40"/>
        <v>0</v>
      </c>
      <c r="U198" s="299">
        <f t="shared" si="45"/>
        <v>0</v>
      </c>
      <c r="V198" s="304"/>
      <c r="W198" s="505"/>
      <c r="X198" s="505"/>
      <c r="Y198" s="298">
        <f t="shared" si="47"/>
        <v>0.1</v>
      </c>
      <c r="Z198" s="309"/>
      <c r="AA198" s="306"/>
      <c r="AB198" s="307"/>
      <c r="AC198" s="297"/>
    </row>
    <row r="199" spans="3:29" x14ac:dyDescent="0.2">
      <c r="C199" s="489"/>
      <c r="D199" s="489"/>
      <c r="E199" s="494"/>
      <c r="F199" s="494">
        <v>185</v>
      </c>
      <c r="G199" s="297">
        <f t="shared" si="33"/>
        <v>2037</v>
      </c>
      <c r="H199" s="297">
        <f t="shared" si="34"/>
        <v>365</v>
      </c>
      <c r="I199" s="488">
        <f t="shared" si="35"/>
        <v>50169</v>
      </c>
      <c r="J199" s="488"/>
      <c r="K199" s="494">
        <f t="shared" si="36"/>
        <v>30</v>
      </c>
      <c r="L199" s="488">
        <f t="shared" si="41"/>
        <v>50191</v>
      </c>
      <c r="M199" s="299">
        <f t="shared" si="46"/>
        <v>0</v>
      </c>
      <c r="N199" s="303">
        <f t="shared" si="42"/>
        <v>0.1</v>
      </c>
      <c r="O199" s="299">
        <f t="shared" si="48"/>
        <v>0</v>
      </c>
      <c r="P199" s="299">
        <f t="shared" si="44"/>
        <v>0</v>
      </c>
      <c r="Q199" s="299">
        <f t="shared" si="37"/>
        <v>0</v>
      </c>
      <c r="R199" s="302">
        <f t="shared" si="38"/>
        <v>0</v>
      </c>
      <c r="S199" s="302">
        <f t="shared" si="39"/>
        <v>0</v>
      </c>
      <c r="T199" s="299">
        <f t="shared" si="40"/>
        <v>0</v>
      </c>
      <c r="U199" s="299">
        <f t="shared" si="45"/>
        <v>0</v>
      </c>
      <c r="V199" s="304"/>
      <c r="W199" s="505"/>
      <c r="X199" s="505"/>
      <c r="Y199" s="298">
        <f t="shared" si="47"/>
        <v>0.1</v>
      </c>
      <c r="Z199" s="309"/>
      <c r="AA199" s="306"/>
      <c r="AB199" s="307"/>
      <c r="AC199" s="297"/>
    </row>
    <row r="200" spans="3:29" x14ac:dyDescent="0.2">
      <c r="C200" s="489"/>
      <c r="D200" s="489"/>
      <c r="E200" s="494"/>
      <c r="F200" s="494">
        <v>186</v>
      </c>
      <c r="G200" s="297">
        <f t="shared" si="33"/>
        <v>2037</v>
      </c>
      <c r="H200" s="297">
        <f t="shared" si="34"/>
        <v>365</v>
      </c>
      <c r="I200" s="488">
        <f t="shared" si="35"/>
        <v>50200</v>
      </c>
      <c r="J200" s="488"/>
      <c r="K200" s="494">
        <f t="shared" si="36"/>
        <v>31</v>
      </c>
      <c r="L200" s="488">
        <f t="shared" si="41"/>
        <v>50221</v>
      </c>
      <c r="M200" s="299">
        <f t="shared" si="46"/>
        <v>0</v>
      </c>
      <c r="N200" s="303">
        <f t="shared" si="42"/>
        <v>0.1</v>
      </c>
      <c r="O200" s="299">
        <f t="shared" si="48"/>
        <v>0</v>
      </c>
      <c r="P200" s="299">
        <f t="shared" si="44"/>
        <v>0</v>
      </c>
      <c r="Q200" s="299">
        <f t="shared" si="37"/>
        <v>0</v>
      </c>
      <c r="R200" s="302">
        <f t="shared" si="38"/>
        <v>0</v>
      </c>
      <c r="S200" s="302">
        <f t="shared" si="39"/>
        <v>0</v>
      </c>
      <c r="T200" s="299">
        <f t="shared" si="40"/>
        <v>0</v>
      </c>
      <c r="U200" s="299">
        <f t="shared" si="45"/>
        <v>0</v>
      </c>
      <c r="V200" s="304"/>
      <c r="W200" s="505"/>
      <c r="X200" s="505"/>
      <c r="Y200" s="298">
        <f t="shared" si="47"/>
        <v>0.1</v>
      </c>
      <c r="Z200" s="309"/>
      <c r="AA200" s="306"/>
      <c r="AB200" s="307"/>
      <c r="AC200" s="297"/>
    </row>
    <row r="201" spans="3:29" x14ac:dyDescent="0.2">
      <c r="C201" s="489"/>
      <c r="D201" s="489"/>
      <c r="E201" s="494"/>
      <c r="F201" s="494">
        <v>187</v>
      </c>
      <c r="G201" s="297">
        <f t="shared" si="33"/>
        <v>2037</v>
      </c>
      <c r="H201" s="297">
        <f t="shared" si="34"/>
        <v>365</v>
      </c>
      <c r="I201" s="488">
        <f t="shared" si="35"/>
        <v>50230</v>
      </c>
      <c r="J201" s="488"/>
      <c r="K201" s="494">
        <f t="shared" si="36"/>
        <v>30</v>
      </c>
      <c r="L201" s="488">
        <f t="shared" si="41"/>
        <v>50252</v>
      </c>
      <c r="M201" s="299">
        <f t="shared" si="46"/>
        <v>0</v>
      </c>
      <c r="N201" s="303">
        <f t="shared" si="42"/>
        <v>0.1</v>
      </c>
      <c r="O201" s="299">
        <f t="shared" si="48"/>
        <v>0</v>
      </c>
      <c r="P201" s="299">
        <f t="shared" si="44"/>
        <v>0</v>
      </c>
      <c r="Q201" s="299">
        <f t="shared" si="37"/>
        <v>0</v>
      </c>
      <c r="R201" s="302">
        <f t="shared" si="38"/>
        <v>0</v>
      </c>
      <c r="S201" s="302">
        <f t="shared" si="39"/>
        <v>0</v>
      </c>
      <c r="T201" s="299">
        <f t="shared" si="40"/>
        <v>0</v>
      </c>
      <c r="U201" s="299">
        <f t="shared" si="45"/>
        <v>0</v>
      </c>
      <c r="V201" s="304"/>
      <c r="W201" s="505"/>
      <c r="X201" s="505"/>
      <c r="Y201" s="298">
        <f t="shared" si="47"/>
        <v>0.1</v>
      </c>
      <c r="Z201" s="309"/>
      <c r="AA201" s="306"/>
      <c r="AB201" s="307"/>
      <c r="AC201" s="297"/>
    </row>
    <row r="202" spans="3:29" x14ac:dyDescent="0.2">
      <c r="C202" s="489"/>
      <c r="D202" s="489"/>
      <c r="E202" s="494"/>
      <c r="F202" s="494">
        <v>188</v>
      </c>
      <c r="G202" s="297">
        <f t="shared" si="33"/>
        <v>2037</v>
      </c>
      <c r="H202" s="297">
        <f t="shared" si="34"/>
        <v>365</v>
      </c>
      <c r="I202" s="488">
        <f t="shared" si="35"/>
        <v>50261</v>
      </c>
      <c r="J202" s="488"/>
      <c r="K202" s="494">
        <f t="shared" si="36"/>
        <v>31</v>
      </c>
      <c r="L202" s="488">
        <f t="shared" si="41"/>
        <v>50283</v>
      </c>
      <c r="M202" s="299">
        <f t="shared" si="46"/>
        <v>0</v>
      </c>
      <c r="N202" s="303">
        <f t="shared" si="42"/>
        <v>0.1</v>
      </c>
      <c r="O202" s="299">
        <f t="shared" si="48"/>
        <v>0</v>
      </c>
      <c r="P202" s="299">
        <f t="shared" si="44"/>
        <v>0</v>
      </c>
      <c r="Q202" s="299">
        <f t="shared" si="37"/>
        <v>0</v>
      </c>
      <c r="R202" s="302">
        <f t="shared" si="38"/>
        <v>0</v>
      </c>
      <c r="S202" s="302">
        <f t="shared" si="39"/>
        <v>0</v>
      </c>
      <c r="T202" s="299">
        <f t="shared" si="40"/>
        <v>0</v>
      </c>
      <c r="U202" s="299">
        <f t="shared" si="45"/>
        <v>0</v>
      </c>
      <c r="V202" s="304"/>
      <c r="W202" s="505"/>
      <c r="X202" s="505"/>
      <c r="Y202" s="298">
        <f t="shared" si="47"/>
        <v>0.1</v>
      </c>
      <c r="Z202" s="309"/>
      <c r="AA202" s="306"/>
      <c r="AB202" s="307"/>
      <c r="AC202" s="297"/>
    </row>
    <row r="203" spans="3:29" x14ac:dyDescent="0.2">
      <c r="C203" s="489"/>
      <c r="D203" s="489"/>
      <c r="E203" s="494"/>
      <c r="F203" s="494">
        <v>189</v>
      </c>
      <c r="G203" s="297">
        <f t="shared" si="33"/>
        <v>2037</v>
      </c>
      <c r="H203" s="297">
        <f t="shared" si="34"/>
        <v>365</v>
      </c>
      <c r="I203" s="488">
        <f t="shared" si="35"/>
        <v>50292</v>
      </c>
      <c r="J203" s="488"/>
      <c r="K203" s="494">
        <f t="shared" si="36"/>
        <v>31</v>
      </c>
      <c r="L203" s="488">
        <f t="shared" si="41"/>
        <v>50313</v>
      </c>
      <c r="M203" s="299">
        <f t="shared" si="46"/>
        <v>0</v>
      </c>
      <c r="N203" s="303">
        <f t="shared" si="42"/>
        <v>0.1</v>
      </c>
      <c r="O203" s="299">
        <f t="shared" si="48"/>
        <v>0</v>
      </c>
      <c r="P203" s="299">
        <f t="shared" si="44"/>
        <v>0</v>
      </c>
      <c r="Q203" s="299">
        <f t="shared" si="37"/>
        <v>0</v>
      </c>
      <c r="R203" s="302">
        <f t="shared" si="38"/>
        <v>0</v>
      </c>
      <c r="S203" s="302">
        <f t="shared" si="39"/>
        <v>0</v>
      </c>
      <c r="T203" s="299">
        <f t="shared" si="40"/>
        <v>0</v>
      </c>
      <c r="U203" s="299">
        <f t="shared" si="45"/>
        <v>0</v>
      </c>
      <c r="V203" s="304"/>
      <c r="W203" s="505"/>
      <c r="X203" s="505"/>
      <c r="Y203" s="298">
        <f t="shared" si="47"/>
        <v>0.1</v>
      </c>
      <c r="Z203" s="309"/>
      <c r="AA203" s="306"/>
      <c r="AB203" s="307"/>
      <c r="AC203" s="297"/>
    </row>
    <row r="204" spans="3:29" x14ac:dyDescent="0.2">
      <c r="C204" s="489"/>
      <c r="D204" s="489"/>
      <c r="E204" s="494"/>
      <c r="F204" s="494">
        <v>190</v>
      </c>
      <c r="G204" s="297">
        <f t="shared" si="33"/>
        <v>2037</v>
      </c>
      <c r="H204" s="297">
        <f t="shared" si="34"/>
        <v>365</v>
      </c>
      <c r="I204" s="488">
        <f t="shared" si="35"/>
        <v>50322</v>
      </c>
      <c r="J204" s="488"/>
      <c r="K204" s="494">
        <f t="shared" si="36"/>
        <v>30</v>
      </c>
      <c r="L204" s="488">
        <f t="shared" si="41"/>
        <v>50344</v>
      </c>
      <c r="M204" s="299">
        <f t="shared" si="46"/>
        <v>0</v>
      </c>
      <c r="N204" s="303">
        <f t="shared" si="42"/>
        <v>0.1</v>
      </c>
      <c r="O204" s="299">
        <f t="shared" si="48"/>
        <v>0</v>
      </c>
      <c r="P204" s="299">
        <f t="shared" si="44"/>
        <v>0</v>
      </c>
      <c r="Q204" s="299">
        <f t="shared" si="37"/>
        <v>0</v>
      </c>
      <c r="R204" s="302">
        <f t="shared" si="38"/>
        <v>0</v>
      </c>
      <c r="S204" s="302">
        <f t="shared" si="39"/>
        <v>0</v>
      </c>
      <c r="T204" s="299">
        <f t="shared" si="40"/>
        <v>0</v>
      </c>
      <c r="U204" s="299">
        <f t="shared" si="45"/>
        <v>0</v>
      </c>
      <c r="V204" s="304"/>
      <c r="W204" s="505"/>
      <c r="X204" s="505"/>
      <c r="Y204" s="298">
        <f t="shared" si="47"/>
        <v>0.1</v>
      </c>
      <c r="Z204" s="309"/>
      <c r="AA204" s="306"/>
      <c r="AB204" s="307"/>
      <c r="AC204" s="297"/>
    </row>
    <row r="205" spans="3:29" x14ac:dyDescent="0.2">
      <c r="C205" s="489"/>
      <c r="D205" s="489"/>
      <c r="E205" s="494"/>
      <c r="F205" s="494">
        <v>191</v>
      </c>
      <c r="G205" s="297">
        <f t="shared" si="33"/>
        <v>2037</v>
      </c>
      <c r="H205" s="297">
        <f t="shared" si="34"/>
        <v>365</v>
      </c>
      <c r="I205" s="488">
        <f t="shared" si="35"/>
        <v>50353</v>
      </c>
      <c r="J205" s="488"/>
      <c r="K205" s="494">
        <f t="shared" si="36"/>
        <v>31</v>
      </c>
      <c r="L205" s="488">
        <f t="shared" si="41"/>
        <v>50374</v>
      </c>
      <c r="M205" s="299">
        <f t="shared" si="46"/>
        <v>0</v>
      </c>
      <c r="N205" s="303">
        <f t="shared" si="42"/>
        <v>0.1</v>
      </c>
      <c r="O205" s="299">
        <f t="shared" si="48"/>
        <v>0</v>
      </c>
      <c r="P205" s="299">
        <f t="shared" si="44"/>
        <v>0</v>
      </c>
      <c r="Q205" s="299">
        <f t="shared" si="37"/>
        <v>0</v>
      </c>
      <c r="R205" s="302">
        <f t="shared" si="38"/>
        <v>0</v>
      </c>
      <c r="S205" s="302">
        <f t="shared" si="39"/>
        <v>0</v>
      </c>
      <c r="T205" s="299">
        <f t="shared" si="40"/>
        <v>0</v>
      </c>
      <c r="U205" s="299">
        <f t="shared" si="45"/>
        <v>0</v>
      </c>
      <c r="V205" s="304"/>
      <c r="W205" s="505"/>
      <c r="X205" s="505"/>
      <c r="Y205" s="298">
        <f t="shared" si="47"/>
        <v>0.1</v>
      </c>
      <c r="Z205" s="309"/>
      <c r="AA205" s="306"/>
      <c r="AB205" s="307"/>
      <c r="AC205" s="297"/>
    </row>
    <row r="206" spans="3:29" x14ac:dyDescent="0.2">
      <c r="C206" s="489"/>
      <c r="D206" s="489"/>
      <c r="E206" s="494"/>
      <c r="F206" s="494">
        <v>192</v>
      </c>
      <c r="G206" s="297">
        <f t="shared" si="33"/>
        <v>2037</v>
      </c>
      <c r="H206" s="297">
        <f t="shared" si="34"/>
        <v>365</v>
      </c>
      <c r="I206" s="488">
        <f t="shared" si="35"/>
        <v>50383</v>
      </c>
      <c r="J206" s="488"/>
      <c r="K206" s="494">
        <f t="shared" si="36"/>
        <v>30</v>
      </c>
      <c r="L206" s="488">
        <f t="shared" si="41"/>
        <v>50405</v>
      </c>
      <c r="M206" s="299">
        <f t="shared" si="46"/>
        <v>0</v>
      </c>
      <c r="N206" s="303">
        <f t="shared" si="42"/>
        <v>0.1</v>
      </c>
      <c r="O206" s="299">
        <f t="shared" si="48"/>
        <v>0</v>
      </c>
      <c r="P206" s="299">
        <f t="shared" si="44"/>
        <v>0</v>
      </c>
      <c r="Q206" s="299">
        <f t="shared" si="37"/>
        <v>0</v>
      </c>
      <c r="R206" s="302">
        <f t="shared" si="38"/>
        <v>0</v>
      </c>
      <c r="S206" s="302">
        <f t="shared" si="39"/>
        <v>0</v>
      </c>
      <c r="T206" s="299">
        <f t="shared" si="40"/>
        <v>0</v>
      </c>
      <c r="U206" s="299">
        <f t="shared" si="45"/>
        <v>0</v>
      </c>
      <c r="V206" s="304"/>
      <c r="W206" s="505"/>
      <c r="X206" s="505"/>
      <c r="Y206" s="298">
        <f t="shared" si="47"/>
        <v>0.1</v>
      </c>
      <c r="Z206" s="309"/>
      <c r="AA206" s="306"/>
      <c r="AB206" s="307"/>
      <c r="AC206" s="297"/>
    </row>
    <row r="207" spans="3:29" x14ac:dyDescent="0.2">
      <c r="C207" s="489"/>
      <c r="D207" s="489"/>
      <c r="E207" s="494">
        <f>E195+1</f>
        <v>41</v>
      </c>
      <c r="F207" s="494">
        <v>193</v>
      </c>
      <c r="G207" s="297">
        <f t="shared" si="33"/>
        <v>2038</v>
      </c>
      <c r="H207" s="297">
        <f t="shared" si="34"/>
        <v>365</v>
      </c>
      <c r="I207" s="488">
        <f t="shared" si="35"/>
        <v>50414</v>
      </c>
      <c r="J207" s="488"/>
      <c r="K207" s="494">
        <f t="shared" si="36"/>
        <v>31</v>
      </c>
      <c r="L207" s="488">
        <f t="shared" si="41"/>
        <v>50436</v>
      </c>
      <c r="M207" s="299">
        <f t="shared" si="46"/>
        <v>0</v>
      </c>
      <c r="N207" s="303">
        <f t="shared" si="42"/>
        <v>0.1</v>
      </c>
      <c r="O207" s="299">
        <f t="shared" si="48"/>
        <v>0</v>
      </c>
      <c r="P207" s="299">
        <f t="shared" si="44"/>
        <v>0</v>
      </c>
      <c r="Q207" s="299">
        <f t="shared" si="37"/>
        <v>0</v>
      </c>
      <c r="R207" s="302">
        <f t="shared" si="38"/>
        <v>0</v>
      </c>
      <c r="S207" s="302">
        <f t="shared" si="39"/>
        <v>0</v>
      </c>
      <c r="T207" s="299">
        <f t="shared" si="40"/>
        <v>0</v>
      </c>
      <c r="U207" s="299">
        <f t="shared" si="45"/>
        <v>0</v>
      </c>
      <c r="V207" s="304">
        <f>IF(U207=0,0,((U207*10%+U207)*(W207+X207)))</f>
        <v>0</v>
      </c>
      <c r="W207" s="505">
        <f>INDEX('Тарифы СК'!$B$4:$C$53,MATCH($E$207,'Тарифы СК'!$A$4:$A$53,0),MATCH($AB$3,'Тарифы СК'!$B$3:$C$3,0))</f>
        <v>5.0200000000000002E-3</v>
      </c>
      <c r="X207" s="505">
        <f>'Тарифы СК'!$D$3</f>
        <v>1.1999999999999999E-3</v>
      </c>
      <c r="Y207" s="298">
        <f t="shared" si="47"/>
        <v>0.1</v>
      </c>
      <c r="Z207" s="309"/>
      <c r="AA207" s="306"/>
      <c r="AB207" s="307"/>
      <c r="AC207" s="297"/>
    </row>
    <row r="208" spans="3:29" x14ac:dyDescent="0.2">
      <c r="C208" s="489"/>
      <c r="D208" s="489"/>
      <c r="E208" s="494"/>
      <c r="F208" s="494">
        <v>194</v>
      </c>
      <c r="G208" s="297">
        <f t="shared" ref="G208:G271" si="49">YEAR(I208)</f>
        <v>2038</v>
      </c>
      <c r="H208" s="297">
        <f t="shared" ref="H208:H271" si="50">IF(MOD(G208,4),365,366)</f>
        <v>365</v>
      </c>
      <c r="I208" s="488">
        <f t="shared" ref="I208:I271" si="51">DATE(YEAR(L208),MONTH(L208),1)+$C$14</f>
        <v>50445</v>
      </c>
      <c r="J208" s="488"/>
      <c r="K208" s="494">
        <f t="shared" ref="K208:K271" si="52">I208-I207</f>
        <v>31</v>
      </c>
      <c r="L208" s="488">
        <f t="shared" si="41"/>
        <v>50464</v>
      </c>
      <c r="M208" s="299">
        <f t="shared" si="46"/>
        <v>0</v>
      </c>
      <c r="N208" s="303">
        <f t="shared" si="42"/>
        <v>0.1</v>
      </c>
      <c r="O208" s="299">
        <f t="shared" si="48"/>
        <v>0</v>
      </c>
      <c r="P208" s="299">
        <f t="shared" si="44"/>
        <v>0</v>
      </c>
      <c r="Q208" s="299">
        <f t="shared" ref="Q208:Q271" si="53">IFERROR(IF(M208&lt;0.001,0,PMT(N208/12,$U$10,-$U$4)),0)</f>
        <v>0</v>
      </c>
      <c r="R208" s="302">
        <f t="shared" ref="R208:R271" si="54">Q208+V208</f>
        <v>0</v>
      </c>
      <c r="S208" s="302">
        <f t="shared" ref="S208:S271" si="55">O208</f>
        <v>0</v>
      </c>
      <c r="T208" s="299">
        <f t="shared" ref="T208:T271" si="56">MIN(P208-S208+AA208,M208)</f>
        <v>0</v>
      </c>
      <c r="U208" s="299">
        <f t="shared" si="45"/>
        <v>0</v>
      </c>
      <c r="V208" s="304"/>
      <c r="W208" s="505"/>
      <c r="X208" s="505"/>
      <c r="Y208" s="298">
        <f t="shared" si="47"/>
        <v>0.1</v>
      </c>
      <c r="Z208" s="309"/>
      <c r="AA208" s="306"/>
      <c r="AB208" s="307"/>
      <c r="AC208" s="297"/>
    </row>
    <row r="209" spans="3:29" x14ac:dyDescent="0.2">
      <c r="C209" s="489"/>
      <c r="D209" s="489"/>
      <c r="E209" s="494"/>
      <c r="F209" s="494">
        <v>195</v>
      </c>
      <c r="G209" s="297">
        <f t="shared" si="49"/>
        <v>2038</v>
      </c>
      <c r="H209" s="297">
        <f t="shared" si="50"/>
        <v>365</v>
      </c>
      <c r="I209" s="488">
        <f t="shared" si="51"/>
        <v>50473</v>
      </c>
      <c r="J209" s="488"/>
      <c r="K209" s="494">
        <f t="shared" si="52"/>
        <v>28</v>
      </c>
      <c r="L209" s="488">
        <f t="shared" ref="L209:L272" si="57">EOMONTH($U$2,F209-1)</f>
        <v>50495</v>
      </c>
      <c r="M209" s="299">
        <f t="shared" si="46"/>
        <v>0</v>
      </c>
      <c r="N209" s="303">
        <f t="shared" ref="N209:N272" si="58">Y209</f>
        <v>0.1</v>
      </c>
      <c r="O209" s="299">
        <f t="shared" si="48"/>
        <v>0</v>
      </c>
      <c r="P209" s="299">
        <f t="shared" ref="P209:P272" si="59">IF(M209&lt;INT(Q209),M209+S209,INT(Q209))</f>
        <v>0</v>
      </c>
      <c r="Q209" s="299">
        <f t="shared" si="53"/>
        <v>0</v>
      </c>
      <c r="R209" s="302">
        <f t="shared" si="54"/>
        <v>0</v>
      </c>
      <c r="S209" s="302">
        <f t="shared" si="55"/>
        <v>0</v>
      </c>
      <c r="T209" s="299">
        <f t="shared" si="56"/>
        <v>0</v>
      </c>
      <c r="U209" s="299">
        <f t="shared" ref="U209:U272" si="60">ROUND(M209-T209,4)</f>
        <v>0</v>
      </c>
      <c r="V209" s="304"/>
      <c r="W209" s="505"/>
      <c r="X209" s="505"/>
      <c r="Y209" s="298">
        <f t="shared" si="47"/>
        <v>0.1</v>
      </c>
      <c r="Z209" s="309"/>
      <c r="AA209" s="306"/>
      <c r="AB209" s="307"/>
      <c r="AC209" s="297"/>
    </row>
    <row r="210" spans="3:29" x14ac:dyDescent="0.2">
      <c r="C210" s="489"/>
      <c r="D210" s="489"/>
      <c r="E210" s="494"/>
      <c r="F210" s="494">
        <v>196</v>
      </c>
      <c r="G210" s="297">
        <f t="shared" si="49"/>
        <v>2038</v>
      </c>
      <c r="H210" s="297">
        <f t="shared" si="50"/>
        <v>365</v>
      </c>
      <c r="I210" s="488">
        <f t="shared" si="51"/>
        <v>50504</v>
      </c>
      <c r="J210" s="488"/>
      <c r="K210" s="494">
        <f t="shared" si="52"/>
        <v>31</v>
      </c>
      <c r="L210" s="488">
        <f t="shared" si="57"/>
        <v>50525</v>
      </c>
      <c r="M210" s="299">
        <f t="shared" ref="M210:M273" si="61">U209</f>
        <v>0</v>
      </c>
      <c r="N210" s="303">
        <f t="shared" si="58"/>
        <v>0.1</v>
      </c>
      <c r="O210" s="299">
        <f t="shared" si="48"/>
        <v>0</v>
      </c>
      <c r="P210" s="299">
        <f t="shared" si="59"/>
        <v>0</v>
      </c>
      <c r="Q210" s="299">
        <f t="shared" si="53"/>
        <v>0</v>
      </c>
      <c r="R210" s="302">
        <f t="shared" si="54"/>
        <v>0</v>
      </c>
      <c r="S210" s="302">
        <f t="shared" si="55"/>
        <v>0</v>
      </c>
      <c r="T210" s="299">
        <f t="shared" si="56"/>
        <v>0</v>
      </c>
      <c r="U210" s="299">
        <f t="shared" si="60"/>
        <v>0</v>
      </c>
      <c r="V210" s="304"/>
      <c r="W210" s="505"/>
      <c r="X210" s="505"/>
      <c r="Y210" s="298">
        <f t="shared" ref="Y210:Y273" si="62">IF(Z210="",Y209,Z210)</f>
        <v>0.1</v>
      </c>
      <c r="Z210" s="309"/>
      <c r="AA210" s="306"/>
      <c r="AB210" s="307"/>
      <c r="AC210" s="297"/>
    </row>
    <row r="211" spans="3:29" x14ac:dyDescent="0.2">
      <c r="C211" s="489"/>
      <c r="D211" s="489"/>
      <c r="E211" s="494"/>
      <c r="F211" s="494">
        <v>197</v>
      </c>
      <c r="G211" s="297">
        <f t="shared" si="49"/>
        <v>2038</v>
      </c>
      <c r="H211" s="297">
        <f t="shared" si="50"/>
        <v>365</v>
      </c>
      <c r="I211" s="488">
        <f t="shared" si="51"/>
        <v>50534</v>
      </c>
      <c r="J211" s="488"/>
      <c r="K211" s="494">
        <f t="shared" si="52"/>
        <v>30</v>
      </c>
      <c r="L211" s="488">
        <f t="shared" si="57"/>
        <v>50556</v>
      </c>
      <c r="M211" s="299">
        <f t="shared" si="61"/>
        <v>0</v>
      </c>
      <c r="N211" s="303">
        <f t="shared" si="58"/>
        <v>0.1</v>
      </c>
      <c r="O211" s="299">
        <f t="shared" si="48"/>
        <v>0</v>
      </c>
      <c r="P211" s="299">
        <f t="shared" si="59"/>
        <v>0</v>
      </c>
      <c r="Q211" s="299">
        <f t="shared" si="53"/>
        <v>0</v>
      </c>
      <c r="R211" s="302">
        <f t="shared" si="54"/>
        <v>0</v>
      </c>
      <c r="S211" s="302">
        <f t="shared" si="55"/>
        <v>0</v>
      </c>
      <c r="T211" s="299">
        <f t="shared" si="56"/>
        <v>0</v>
      </c>
      <c r="U211" s="299">
        <f t="shared" si="60"/>
        <v>0</v>
      </c>
      <c r="V211" s="304"/>
      <c r="W211" s="505"/>
      <c r="X211" s="505"/>
      <c r="Y211" s="298">
        <f t="shared" si="62"/>
        <v>0.1</v>
      </c>
      <c r="Z211" s="309"/>
      <c r="AA211" s="306"/>
      <c r="AB211" s="307"/>
      <c r="AC211" s="297"/>
    </row>
    <row r="212" spans="3:29" x14ac:dyDescent="0.2">
      <c r="C212" s="489"/>
      <c r="D212" s="489"/>
      <c r="E212" s="494"/>
      <c r="F212" s="494">
        <v>198</v>
      </c>
      <c r="G212" s="297">
        <f t="shared" si="49"/>
        <v>2038</v>
      </c>
      <c r="H212" s="297">
        <f t="shared" si="50"/>
        <v>365</v>
      </c>
      <c r="I212" s="488">
        <f t="shared" si="51"/>
        <v>50565</v>
      </c>
      <c r="J212" s="488"/>
      <c r="K212" s="494">
        <f t="shared" si="52"/>
        <v>31</v>
      </c>
      <c r="L212" s="488">
        <f t="shared" si="57"/>
        <v>50586</v>
      </c>
      <c r="M212" s="299">
        <f t="shared" si="61"/>
        <v>0</v>
      </c>
      <c r="N212" s="303">
        <f t="shared" si="58"/>
        <v>0.1</v>
      </c>
      <c r="O212" s="299">
        <f t="shared" si="48"/>
        <v>0</v>
      </c>
      <c r="P212" s="299">
        <f t="shared" si="59"/>
        <v>0</v>
      </c>
      <c r="Q212" s="299">
        <f t="shared" si="53"/>
        <v>0</v>
      </c>
      <c r="R212" s="302">
        <f t="shared" si="54"/>
        <v>0</v>
      </c>
      <c r="S212" s="302">
        <f t="shared" si="55"/>
        <v>0</v>
      </c>
      <c r="T212" s="299">
        <f t="shared" si="56"/>
        <v>0</v>
      </c>
      <c r="U212" s="299">
        <f t="shared" si="60"/>
        <v>0</v>
      </c>
      <c r="V212" s="304"/>
      <c r="W212" s="505"/>
      <c r="X212" s="505"/>
      <c r="Y212" s="298">
        <f t="shared" si="62"/>
        <v>0.1</v>
      </c>
      <c r="Z212" s="309"/>
      <c r="AA212" s="306"/>
      <c r="AB212" s="307"/>
      <c r="AC212" s="297"/>
    </row>
    <row r="213" spans="3:29" x14ac:dyDescent="0.2">
      <c r="C213" s="489"/>
      <c r="D213" s="489"/>
      <c r="E213" s="494"/>
      <c r="F213" s="494">
        <v>199</v>
      </c>
      <c r="G213" s="297">
        <f t="shared" si="49"/>
        <v>2038</v>
      </c>
      <c r="H213" s="297">
        <f t="shared" si="50"/>
        <v>365</v>
      </c>
      <c r="I213" s="488">
        <f t="shared" si="51"/>
        <v>50595</v>
      </c>
      <c r="J213" s="488"/>
      <c r="K213" s="494">
        <f t="shared" si="52"/>
        <v>30</v>
      </c>
      <c r="L213" s="488">
        <f t="shared" si="57"/>
        <v>50617</v>
      </c>
      <c r="M213" s="299">
        <f t="shared" si="61"/>
        <v>0</v>
      </c>
      <c r="N213" s="303">
        <f t="shared" si="58"/>
        <v>0.1</v>
      </c>
      <c r="O213" s="299">
        <f t="shared" si="48"/>
        <v>0</v>
      </c>
      <c r="P213" s="299">
        <f t="shared" si="59"/>
        <v>0</v>
      </c>
      <c r="Q213" s="299">
        <f t="shared" si="53"/>
        <v>0</v>
      </c>
      <c r="R213" s="302">
        <f t="shared" si="54"/>
        <v>0</v>
      </c>
      <c r="S213" s="302">
        <f t="shared" si="55"/>
        <v>0</v>
      </c>
      <c r="T213" s="299">
        <f t="shared" si="56"/>
        <v>0</v>
      </c>
      <c r="U213" s="299">
        <f t="shared" si="60"/>
        <v>0</v>
      </c>
      <c r="V213" s="304"/>
      <c r="W213" s="505"/>
      <c r="X213" s="505"/>
      <c r="Y213" s="298">
        <f t="shared" si="62"/>
        <v>0.1</v>
      </c>
      <c r="Z213" s="309"/>
      <c r="AA213" s="306"/>
      <c r="AB213" s="307"/>
      <c r="AC213" s="297"/>
    </row>
    <row r="214" spans="3:29" x14ac:dyDescent="0.2">
      <c r="C214" s="489"/>
      <c r="D214" s="489"/>
      <c r="E214" s="494"/>
      <c r="F214" s="494">
        <v>200</v>
      </c>
      <c r="G214" s="297">
        <f t="shared" si="49"/>
        <v>2038</v>
      </c>
      <c r="H214" s="297">
        <f t="shared" si="50"/>
        <v>365</v>
      </c>
      <c r="I214" s="488">
        <f t="shared" si="51"/>
        <v>50626</v>
      </c>
      <c r="J214" s="488"/>
      <c r="K214" s="494">
        <f t="shared" si="52"/>
        <v>31</v>
      </c>
      <c r="L214" s="488">
        <f t="shared" si="57"/>
        <v>50648</v>
      </c>
      <c r="M214" s="299">
        <f t="shared" si="61"/>
        <v>0</v>
      </c>
      <c r="N214" s="303">
        <f t="shared" si="58"/>
        <v>0.1</v>
      </c>
      <c r="O214" s="299">
        <f t="shared" si="48"/>
        <v>0</v>
      </c>
      <c r="P214" s="299">
        <f t="shared" si="59"/>
        <v>0</v>
      </c>
      <c r="Q214" s="299">
        <f t="shared" si="53"/>
        <v>0</v>
      </c>
      <c r="R214" s="302">
        <f t="shared" si="54"/>
        <v>0</v>
      </c>
      <c r="S214" s="302">
        <f t="shared" si="55"/>
        <v>0</v>
      </c>
      <c r="T214" s="299">
        <f t="shared" si="56"/>
        <v>0</v>
      </c>
      <c r="U214" s="299">
        <f t="shared" si="60"/>
        <v>0</v>
      </c>
      <c r="V214" s="304"/>
      <c r="W214" s="505"/>
      <c r="X214" s="505"/>
      <c r="Y214" s="298">
        <f t="shared" si="62"/>
        <v>0.1</v>
      </c>
      <c r="Z214" s="309"/>
      <c r="AA214" s="306"/>
      <c r="AB214" s="307"/>
      <c r="AC214" s="297"/>
    </row>
    <row r="215" spans="3:29" x14ac:dyDescent="0.2">
      <c r="C215" s="489"/>
      <c r="D215" s="489"/>
      <c r="E215" s="494"/>
      <c r="F215" s="494">
        <v>201</v>
      </c>
      <c r="G215" s="297">
        <f t="shared" si="49"/>
        <v>2038</v>
      </c>
      <c r="H215" s="297">
        <f t="shared" si="50"/>
        <v>365</v>
      </c>
      <c r="I215" s="488">
        <f t="shared" si="51"/>
        <v>50657</v>
      </c>
      <c r="J215" s="488"/>
      <c r="K215" s="494">
        <f t="shared" si="52"/>
        <v>31</v>
      </c>
      <c r="L215" s="488">
        <f t="shared" si="57"/>
        <v>50678</v>
      </c>
      <c r="M215" s="299">
        <f t="shared" si="61"/>
        <v>0</v>
      </c>
      <c r="N215" s="303">
        <f t="shared" si="58"/>
        <v>0.1</v>
      </c>
      <c r="O215" s="299">
        <f t="shared" si="48"/>
        <v>0</v>
      </c>
      <c r="P215" s="299">
        <f t="shared" si="59"/>
        <v>0</v>
      </c>
      <c r="Q215" s="299">
        <f t="shared" si="53"/>
        <v>0</v>
      </c>
      <c r="R215" s="302">
        <f t="shared" si="54"/>
        <v>0</v>
      </c>
      <c r="S215" s="302">
        <f t="shared" si="55"/>
        <v>0</v>
      </c>
      <c r="T215" s="299">
        <f t="shared" si="56"/>
        <v>0</v>
      </c>
      <c r="U215" s="299">
        <f t="shared" si="60"/>
        <v>0</v>
      </c>
      <c r="V215" s="304"/>
      <c r="W215" s="505"/>
      <c r="X215" s="505"/>
      <c r="Y215" s="298">
        <f t="shared" si="62"/>
        <v>0.1</v>
      </c>
      <c r="Z215" s="309"/>
      <c r="AA215" s="306"/>
      <c r="AB215" s="307"/>
      <c r="AC215" s="297"/>
    </row>
    <row r="216" spans="3:29" x14ac:dyDescent="0.2">
      <c r="C216" s="489"/>
      <c r="D216" s="489"/>
      <c r="E216" s="494"/>
      <c r="F216" s="494">
        <v>202</v>
      </c>
      <c r="G216" s="297">
        <f t="shared" si="49"/>
        <v>2038</v>
      </c>
      <c r="H216" s="297">
        <f t="shared" si="50"/>
        <v>365</v>
      </c>
      <c r="I216" s="488">
        <f t="shared" si="51"/>
        <v>50687</v>
      </c>
      <c r="J216" s="488"/>
      <c r="K216" s="494">
        <f t="shared" si="52"/>
        <v>30</v>
      </c>
      <c r="L216" s="488">
        <f t="shared" si="57"/>
        <v>50709</v>
      </c>
      <c r="M216" s="299">
        <f t="shared" si="61"/>
        <v>0</v>
      </c>
      <c r="N216" s="303">
        <f t="shared" si="58"/>
        <v>0.1</v>
      </c>
      <c r="O216" s="299">
        <f t="shared" si="48"/>
        <v>0</v>
      </c>
      <c r="P216" s="299">
        <f t="shared" si="59"/>
        <v>0</v>
      </c>
      <c r="Q216" s="299">
        <f t="shared" si="53"/>
        <v>0</v>
      </c>
      <c r="R216" s="302">
        <f t="shared" si="54"/>
        <v>0</v>
      </c>
      <c r="S216" s="302">
        <f t="shared" si="55"/>
        <v>0</v>
      </c>
      <c r="T216" s="299">
        <f t="shared" si="56"/>
        <v>0</v>
      </c>
      <c r="U216" s="299">
        <f t="shared" si="60"/>
        <v>0</v>
      </c>
      <c r="V216" s="304"/>
      <c r="W216" s="505"/>
      <c r="X216" s="505"/>
      <c r="Y216" s="298">
        <f t="shared" si="62"/>
        <v>0.1</v>
      </c>
      <c r="Z216" s="309"/>
      <c r="AA216" s="306"/>
      <c r="AB216" s="307"/>
      <c r="AC216" s="297"/>
    </row>
    <row r="217" spans="3:29" x14ac:dyDescent="0.2">
      <c r="C217" s="489"/>
      <c r="D217" s="489"/>
      <c r="E217" s="494"/>
      <c r="F217" s="494">
        <v>203</v>
      </c>
      <c r="G217" s="297">
        <f t="shared" si="49"/>
        <v>2038</v>
      </c>
      <c r="H217" s="297">
        <f t="shared" si="50"/>
        <v>365</v>
      </c>
      <c r="I217" s="488">
        <f t="shared" si="51"/>
        <v>50718</v>
      </c>
      <c r="J217" s="488"/>
      <c r="K217" s="494">
        <f t="shared" si="52"/>
        <v>31</v>
      </c>
      <c r="L217" s="488">
        <f t="shared" si="57"/>
        <v>50739</v>
      </c>
      <c r="M217" s="299">
        <f t="shared" si="61"/>
        <v>0</v>
      </c>
      <c r="N217" s="303">
        <f t="shared" si="58"/>
        <v>0.1</v>
      </c>
      <c r="O217" s="299">
        <f t="shared" si="48"/>
        <v>0</v>
      </c>
      <c r="P217" s="299">
        <f t="shared" si="59"/>
        <v>0</v>
      </c>
      <c r="Q217" s="299">
        <f t="shared" si="53"/>
        <v>0</v>
      </c>
      <c r="R217" s="302">
        <f t="shared" si="54"/>
        <v>0</v>
      </c>
      <c r="S217" s="302">
        <f t="shared" si="55"/>
        <v>0</v>
      </c>
      <c r="T217" s="299">
        <f t="shared" si="56"/>
        <v>0</v>
      </c>
      <c r="U217" s="299">
        <f t="shared" si="60"/>
        <v>0</v>
      </c>
      <c r="V217" s="304"/>
      <c r="W217" s="505"/>
      <c r="X217" s="505"/>
      <c r="Y217" s="298">
        <f t="shared" si="62"/>
        <v>0.1</v>
      </c>
      <c r="Z217" s="309"/>
      <c r="AA217" s="306"/>
      <c r="AB217" s="307"/>
      <c r="AC217" s="297"/>
    </row>
    <row r="218" spans="3:29" x14ac:dyDescent="0.2">
      <c r="C218" s="489"/>
      <c r="D218" s="489"/>
      <c r="E218" s="494"/>
      <c r="F218" s="494">
        <v>204</v>
      </c>
      <c r="G218" s="297">
        <f t="shared" si="49"/>
        <v>2038</v>
      </c>
      <c r="H218" s="297">
        <f t="shared" si="50"/>
        <v>365</v>
      </c>
      <c r="I218" s="488">
        <f t="shared" si="51"/>
        <v>50748</v>
      </c>
      <c r="J218" s="488"/>
      <c r="K218" s="494">
        <f t="shared" si="52"/>
        <v>30</v>
      </c>
      <c r="L218" s="488">
        <f t="shared" si="57"/>
        <v>50770</v>
      </c>
      <c r="M218" s="299">
        <f t="shared" si="61"/>
        <v>0</v>
      </c>
      <c r="N218" s="303">
        <f t="shared" si="58"/>
        <v>0.1</v>
      </c>
      <c r="O218" s="299">
        <f t="shared" si="48"/>
        <v>0</v>
      </c>
      <c r="P218" s="299">
        <f t="shared" si="59"/>
        <v>0</v>
      </c>
      <c r="Q218" s="299">
        <f t="shared" si="53"/>
        <v>0</v>
      </c>
      <c r="R218" s="302">
        <f t="shared" si="54"/>
        <v>0</v>
      </c>
      <c r="S218" s="302">
        <f t="shared" si="55"/>
        <v>0</v>
      </c>
      <c r="T218" s="299">
        <f t="shared" si="56"/>
        <v>0</v>
      </c>
      <c r="U218" s="299">
        <f t="shared" si="60"/>
        <v>0</v>
      </c>
      <c r="V218" s="304"/>
      <c r="W218" s="505"/>
      <c r="X218" s="505"/>
      <c r="Y218" s="298">
        <f t="shared" si="62"/>
        <v>0.1</v>
      </c>
      <c r="Z218" s="309"/>
      <c r="AA218" s="306"/>
      <c r="AB218" s="307"/>
      <c r="AC218" s="297"/>
    </row>
    <row r="219" spans="3:29" x14ac:dyDescent="0.2">
      <c r="C219" s="489"/>
      <c r="D219" s="489"/>
      <c r="E219" s="494">
        <f>E207+1</f>
        <v>42</v>
      </c>
      <c r="F219" s="494">
        <v>205</v>
      </c>
      <c r="G219" s="297">
        <f t="shared" si="49"/>
        <v>2039</v>
      </c>
      <c r="H219" s="297">
        <f t="shared" si="50"/>
        <v>365</v>
      </c>
      <c r="I219" s="488">
        <f t="shared" si="51"/>
        <v>50779</v>
      </c>
      <c r="J219" s="488"/>
      <c r="K219" s="494">
        <f t="shared" si="52"/>
        <v>31</v>
      </c>
      <c r="L219" s="488">
        <f t="shared" si="57"/>
        <v>50801</v>
      </c>
      <c r="M219" s="299">
        <f t="shared" si="61"/>
        <v>0</v>
      </c>
      <c r="N219" s="303">
        <f t="shared" si="58"/>
        <v>0.1</v>
      </c>
      <c r="O219" s="299">
        <f t="shared" si="48"/>
        <v>0</v>
      </c>
      <c r="P219" s="299">
        <f t="shared" si="59"/>
        <v>0</v>
      </c>
      <c r="Q219" s="299">
        <f t="shared" si="53"/>
        <v>0</v>
      </c>
      <c r="R219" s="302">
        <f t="shared" si="54"/>
        <v>0</v>
      </c>
      <c r="S219" s="302">
        <f t="shared" si="55"/>
        <v>0</v>
      </c>
      <c r="T219" s="299">
        <f t="shared" si="56"/>
        <v>0</v>
      </c>
      <c r="U219" s="299">
        <f t="shared" si="60"/>
        <v>0</v>
      </c>
      <c r="V219" s="304">
        <f>IF(U219=0,0,((U219*10%+U219)*(W219+X219)))</f>
        <v>0</v>
      </c>
      <c r="W219" s="505">
        <f>INDEX('Тарифы СК'!$B$4:$C$53,MATCH($E$219,'Тарифы СК'!$A$4:$A$53,0),MATCH($AB$3,'Тарифы СК'!$B$3:$C$3,0))</f>
        <v>5.3E-3</v>
      </c>
      <c r="X219" s="505">
        <f>'Тарифы СК'!$D$3</f>
        <v>1.1999999999999999E-3</v>
      </c>
      <c r="Y219" s="298">
        <f t="shared" si="62"/>
        <v>0.1</v>
      </c>
      <c r="Z219" s="309"/>
      <c r="AA219" s="306"/>
      <c r="AB219" s="307"/>
      <c r="AC219" s="297"/>
    </row>
    <row r="220" spans="3:29" x14ac:dyDescent="0.2">
      <c r="C220" s="489"/>
      <c r="D220" s="489"/>
      <c r="E220" s="494"/>
      <c r="F220" s="494">
        <v>206</v>
      </c>
      <c r="G220" s="297">
        <f t="shared" si="49"/>
        <v>2039</v>
      </c>
      <c r="H220" s="297">
        <f t="shared" si="50"/>
        <v>365</v>
      </c>
      <c r="I220" s="488">
        <f t="shared" si="51"/>
        <v>50810</v>
      </c>
      <c r="J220" s="488"/>
      <c r="K220" s="494">
        <f t="shared" si="52"/>
        <v>31</v>
      </c>
      <c r="L220" s="488">
        <f t="shared" si="57"/>
        <v>50829</v>
      </c>
      <c r="M220" s="299">
        <f t="shared" si="61"/>
        <v>0</v>
      </c>
      <c r="N220" s="303">
        <f t="shared" si="58"/>
        <v>0.1</v>
      </c>
      <c r="O220" s="299">
        <f t="shared" si="48"/>
        <v>0</v>
      </c>
      <c r="P220" s="299">
        <f t="shared" si="59"/>
        <v>0</v>
      </c>
      <c r="Q220" s="299">
        <f t="shared" si="53"/>
        <v>0</v>
      </c>
      <c r="R220" s="302">
        <f t="shared" si="54"/>
        <v>0</v>
      </c>
      <c r="S220" s="302">
        <f t="shared" si="55"/>
        <v>0</v>
      </c>
      <c r="T220" s="299">
        <f t="shared" si="56"/>
        <v>0</v>
      </c>
      <c r="U220" s="299">
        <f t="shared" si="60"/>
        <v>0</v>
      </c>
      <c r="V220" s="304"/>
      <c r="W220" s="505"/>
      <c r="X220" s="505"/>
      <c r="Y220" s="298">
        <f t="shared" si="62"/>
        <v>0.1</v>
      </c>
      <c r="Z220" s="309"/>
      <c r="AA220" s="306"/>
      <c r="AB220" s="307"/>
      <c r="AC220" s="297"/>
    </row>
    <row r="221" spans="3:29" x14ac:dyDescent="0.2">
      <c r="C221" s="489"/>
      <c r="D221" s="489"/>
      <c r="E221" s="494"/>
      <c r="F221" s="494">
        <v>207</v>
      </c>
      <c r="G221" s="297">
        <f t="shared" si="49"/>
        <v>2039</v>
      </c>
      <c r="H221" s="297">
        <f t="shared" si="50"/>
        <v>365</v>
      </c>
      <c r="I221" s="488">
        <f t="shared" si="51"/>
        <v>50838</v>
      </c>
      <c r="J221" s="488"/>
      <c r="K221" s="494">
        <f t="shared" si="52"/>
        <v>28</v>
      </c>
      <c r="L221" s="488">
        <f t="shared" si="57"/>
        <v>50860</v>
      </c>
      <c r="M221" s="299">
        <f t="shared" si="61"/>
        <v>0</v>
      </c>
      <c r="N221" s="303">
        <f t="shared" si="58"/>
        <v>0.1</v>
      </c>
      <c r="O221" s="299">
        <f t="shared" si="48"/>
        <v>0</v>
      </c>
      <c r="P221" s="299">
        <f t="shared" si="59"/>
        <v>0</v>
      </c>
      <c r="Q221" s="299">
        <f t="shared" si="53"/>
        <v>0</v>
      </c>
      <c r="R221" s="302">
        <f t="shared" si="54"/>
        <v>0</v>
      </c>
      <c r="S221" s="302">
        <f t="shared" si="55"/>
        <v>0</v>
      </c>
      <c r="T221" s="299">
        <f t="shared" si="56"/>
        <v>0</v>
      </c>
      <c r="U221" s="299">
        <f t="shared" si="60"/>
        <v>0</v>
      </c>
      <c r="V221" s="304"/>
      <c r="W221" s="505"/>
      <c r="X221" s="505"/>
      <c r="Y221" s="298">
        <f t="shared" si="62"/>
        <v>0.1</v>
      </c>
      <c r="Z221" s="309"/>
      <c r="AA221" s="306"/>
      <c r="AB221" s="307"/>
      <c r="AC221" s="297"/>
    </row>
    <row r="222" spans="3:29" x14ac:dyDescent="0.2">
      <c r="C222" s="489"/>
      <c r="D222" s="489"/>
      <c r="E222" s="494"/>
      <c r="F222" s="494">
        <v>208</v>
      </c>
      <c r="G222" s="297">
        <f t="shared" si="49"/>
        <v>2039</v>
      </c>
      <c r="H222" s="297">
        <f t="shared" si="50"/>
        <v>365</v>
      </c>
      <c r="I222" s="488">
        <f t="shared" si="51"/>
        <v>50869</v>
      </c>
      <c r="J222" s="488"/>
      <c r="K222" s="494">
        <f t="shared" si="52"/>
        <v>31</v>
      </c>
      <c r="L222" s="488">
        <f t="shared" si="57"/>
        <v>50890</v>
      </c>
      <c r="M222" s="299">
        <f t="shared" si="61"/>
        <v>0</v>
      </c>
      <c r="N222" s="303">
        <f t="shared" si="58"/>
        <v>0.1</v>
      </c>
      <c r="O222" s="299">
        <f t="shared" si="48"/>
        <v>0</v>
      </c>
      <c r="P222" s="299">
        <f t="shared" si="59"/>
        <v>0</v>
      </c>
      <c r="Q222" s="299">
        <f t="shared" si="53"/>
        <v>0</v>
      </c>
      <c r="R222" s="302">
        <f t="shared" si="54"/>
        <v>0</v>
      </c>
      <c r="S222" s="302">
        <f t="shared" si="55"/>
        <v>0</v>
      </c>
      <c r="T222" s="299">
        <f t="shared" si="56"/>
        <v>0</v>
      </c>
      <c r="U222" s="299">
        <f t="shared" si="60"/>
        <v>0</v>
      </c>
      <c r="V222" s="304"/>
      <c r="W222" s="505"/>
      <c r="X222" s="505"/>
      <c r="Y222" s="298">
        <f t="shared" si="62"/>
        <v>0.1</v>
      </c>
      <c r="Z222" s="309"/>
      <c r="AA222" s="306"/>
      <c r="AB222" s="307"/>
      <c r="AC222" s="297"/>
    </row>
    <row r="223" spans="3:29" x14ac:dyDescent="0.2">
      <c r="C223" s="489"/>
      <c r="D223" s="489"/>
      <c r="E223" s="494"/>
      <c r="F223" s="494">
        <v>209</v>
      </c>
      <c r="G223" s="297">
        <f t="shared" si="49"/>
        <v>2039</v>
      </c>
      <c r="H223" s="297">
        <f t="shared" si="50"/>
        <v>365</v>
      </c>
      <c r="I223" s="488">
        <f t="shared" si="51"/>
        <v>50899</v>
      </c>
      <c r="J223" s="488"/>
      <c r="K223" s="494">
        <f t="shared" si="52"/>
        <v>30</v>
      </c>
      <c r="L223" s="488">
        <f t="shared" si="57"/>
        <v>50921</v>
      </c>
      <c r="M223" s="299">
        <f t="shared" si="61"/>
        <v>0</v>
      </c>
      <c r="N223" s="303">
        <f t="shared" si="58"/>
        <v>0.1</v>
      </c>
      <c r="O223" s="299">
        <f t="shared" si="48"/>
        <v>0</v>
      </c>
      <c r="P223" s="299">
        <f t="shared" si="59"/>
        <v>0</v>
      </c>
      <c r="Q223" s="299">
        <f t="shared" si="53"/>
        <v>0</v>
      </c>
      <c r="R223" s="302">
        <f t="shared" si="54"/>
        <v>0</v>
      </c>
      <c r="S223" s="302">
        <f t="shared" si="55"/>
        <v>0</v>
      </c>
      <c r="T223" s="299">
        <f t="shared" si="56"/>
        <v>0</v>
      </c>
      <c r="U223" s="299">
        <f t="shared" si="60"/>
        <v>0</v>
      </c>
      <c r="V223" s="304"/>
      <c r="W223" s="505"/>
      <c r="X223" s="505"/>
      <c r="Y223" s="298">
        <f t="shared" si="62"/>
        <v>0.1</v>
      </c>
      <c r="Z223" s="309"/>
      <c r="AA223" s="306"/>
      <c r="AB223" s="307"/>
      <c r="AC223" s="297"/>
    </row>
    <row r="224" spans="3:29" x14ac:dyDescent="0.2">
      <c r="C224" s="489"/>
      <c r="D224" s="489"/>
      <c r="E224" s="494"/>
      <c r="F224" s="494">
        <v>210</v>
      </c>
      <c r="G224" s="297">
        <f t="shared" si="49"/>
        <v>2039</v>
      </c>
      <c r="H224" s="297">
        <f t="shared" si="50"/>
        <v>365</v>
      </c>
      <c r="I224" s="488">
        <f t="shared" si="51"/>
        <v>50930</v>
      </c>
      <c r="J224" s="488"/>
      <c r="K224" s="494">
        <f t="shared" si="52"/>
        <v>31</v>
      </c>
      <c r="L224" s="488">
        <f t="shared" si="57"/>
        <v>50951</v>
      </c>
      <c r="M224" s="299">
        <f t="shared" si="61"/>
        <v>0</v>
      </c>
      <c r="N224" s="303">
        <f t="shared" si="58"/>
        <v>0.1</v>
      </c>
      <c r="O224" s="299">
        <f t="shared" si="48"/>
        <v>0</v>
      </c>
      <c r="P224" s="299">
        <f t="shared" si="59"/>
        <v>0</v>
      </c>
      <c r="Q224" s="299">
        <f t="shared" si="53"/>
        <v>0</v>
      </c>
      <c r="R224" s="302">
        <f t="shared" si="54"/>
        <v>0</v>
      </c>
      <c r="S224" s="302">
        <f t="shared" si="55"/>
        <v>0</v>
      </c>
      <c r="T224" s="299">
        <f t="shared" si="56"/>
        <v>0</v>
      </c>
      <c r="U224" s="299">
        <f t="shared" si="60"/>
        <v>0</v>
      </c>
      <c r="V224" s="304"/>
      <c r="W224" s="505"/>
      <c r="X224" s="505"/>
      <c r="Y224" s="298">
        <f t="shared" si="62"/>
        <v>0.1</v>
      </c>
      <c r="Z224" s="309"/>
      <c r="AA224" s="306"/>
      <c r="AB224" s="307"/>
      <c r="AC224" s="297"/>
    </row>
    <row r="225" spans="3:29" x14ac:dyDescent="0.2">
      <c r="C225" s="489"/>
      <c r="D225" s="489"/>
      <c r="E225" s="494"/>
      <c r="F225" s="494">
        <v>211</v>
      </c>
      <c r="G225" s="297">
        <f t="shared" si="49"/>
        <v>2039</v>
      </c>
      <c r="H225" s="297">
        <f t="shared" si="50"/>
        <v>365</v>
      </c>
      <c r="I225" s="488">
        <f t="shared" si="51"/>
        <v>50960</v>
      </c>
      <c r="J225" s="488"/>
      <c r="K225" s="494">
        <f t="shared" si="52"/>
        <v>30</v>
      </c>
      <c r="L225" s="488">
        <f t="shared" si="57"/>
        <v>50982</v>
      </c>
      <c r="M225" s="299">
        <f t="shared" si="61"/>
        <v>0</v>
      </c>
      <c r="N225" s="303">
        <f t="shared" si="58"/>
        <v>0.1</v>
      </c>
      <c r="O225" s="299">
        <f t="shared" si="48"/>
        <v>0</v>
      </c>
      <c r="P225" s="299">
        <f t="shared" si="59"/>
        <v>0</v>
      </c>
      <c r="Q225" s="299">
        <f t="shared" si="53"/>
        <v>0</v>
      </c>
      <c r="R225" s="302">
        <f t="shared" si="54"/>
        <v>0</v>
      </c>
      <c r="S225" s="302">
        <f t="shared" si="55"/>
        <v>0</v>
      </c>
      <c r="T225" s="299">
        <f t="shared" si="56"/>
        <v>0</v>
      </c>
      <c r="U225" s="299">
        <f t="shared" si="60"/>
        <v>0</v>
      </c>
      <c r="V225" s="304"/>
      <c r="W225" s="505"/>
      <c r="X225" s="505"/>
      <c r="Y225" s="298">
        <f t="shared" si="62"/>
        <v>0.1</v>
      </c>
      <c r="Z225" s="309"/>
      <c r="AA225" s="306"/>
      <c r="AB225" s="307"/>
      <c r="AC225" s="297"/>
    </row>
    <row r="226" spans="3:29" x14ac:dyDescent="0.2">
      <c r="C226" s="489"/>
      <c r="D226" s="489"/>
      <c r="E226" s="494"/>
      <c r="F226" s="494">
        <v>212</v>
      </c>
      <c r="G226" s="297">
        <f t="shared" si="49"/>
        <v>2039</v>
      </c>
      <c r="H226" s="297">
        <f t="shared" si="50"/>
        <v>365</v>
      </c>
      <c r="I226" s="488">
        <f t="shared" si="51"/>
        <v>50991</v>
      </c>
      <c r="J226" s="488"/>
      <c r="K226" s="494">
        <f t="shared" si="52"/>
        <v>31</v>
      </c>
      <c r="L226" s="488">
        <f t="shared" si="57"/>
        <v>51013</v>
      </c>
      <c r="M226" s="299">
        <f t="shared" si="61"/>
        <v>0</v>
      </c>
      <c r="N226" s="303">
        <f t="shared" si="58"/>
        <v>0.1</v>
      </c>
      <c r="O226" s="299">
        <f t="shared" si="48"/>
        <v>0</v>
      </c>
      <c r="P226" s="299">
        <f t="shared" si="59"/>
        <v>0</v>
      </c>
      <c r="Q226" s="299">
        <f t="shared" si="53"/>
        <v>0</v>
      </c>
      <c r="R226" s="302">
        <f t="shared" si="54"/>
        <v>0</v>
      </c>
      <c r="S226" s="302">
        <f t="shared" si="55"/>
        <v>0</v>
      </c>
      <c r="T226" s="299">
        <f t="shared" si="56"/>
        <v>0</v>
      </c>
      <c r="U226" s="299">
        <f t="shared" si="60"/>
        <v>0</v>
      </c>
      <c r="V226" s="304"/>
      <c r="W226" s="505"/>
      <c r="X226" s="505"/>
      <c r="Y226" s="298">
        <f t="shared" si="62"/>
        <v>0.1</v>
      </c>
      <c r="Z226" s="309"/>
      <c r="AA226" s="306"/>
      <c r="AB226" s="307"/>
      <c r="AC226" s="297"/>
    </row>
    <row r="227" spans="3:29" x14ac:dyDescent="0.2">
      <c r="C227" s="489"/>
      <c r="D227" s="489"/>
      <c r="E227" s="494"/>
      <c r="F227" s="494">
        <v>213</v>
      </c>
      <c r="G227" s="297">
        <f t="shared" si="49"/>
        <v>2039</v>
      </c>
      <c r="H227" s="297">
        <f t="shared" si="50"/>
        <v>365</v>
      </c>
      <c r="I227" s="488">
        <f t="shared" si="51"/>
        <v>51022</v>
      </c>
      <c r="J227" s="488"/>
      <c r="K227" s="494">
        <f t="shared" si="52"/>
        <v>31</v>
      </c>
      <c r="L227" s="488">
        <f t="shared" si="57"/>
        <v>51043</v>
      </c>
      <c r="M227" s="299">
        <f t="shared" si="61"/>
        <v>0</v>
      </c>
      <c r="N227" s="303">
        <f t="shared" si="58"/>
        <v>0.1</v>
      </c>
      <c r="O227" s="299">
        <f t="shared" si="48"/>
        <v>0</v>
      </c>
      <c r="P227" s="299">
        <f t="shared" si="59"/>
        <v>0</v>
      </c>
      <c r="Q227" s="299">
        <f t="shared" si="53"/>
        <v>0</v>
      </c>
      <c r="R227" s="302">
        <f t="shared" si="54"/>
        <v>0</v>
      </c>
      <c r="S227" s="302">
        <f t="shared" si="55"/>
        <v>0</v>
      </c>
      <c r="T227" s="299">
        <f t="shared" si="56"/>
        <v>0</v>
      </c>
      <c r="U227" s="299">
        <f t="shared" si="60"/>
        <v>0</v>
      </c>
      <c r="V227" s="304"/>
      <c r="W227" s="505"/>
      <c r="X227" s="505"/>
      <c r="Y227" s="298">
        <f t="shared" si="62"/>
        <v>0.1</v>
      </c>
      <c r="Z227" s="309"/>
      <c r="AA227" s="306"/>
      <c r="AB227" s="307"/>
      <c r="AC227" s="297"/>
    </row>
    <row r="228" spans="3:29" x14ac:dyDescent="0.2">
      <c r="C228" s="489"/>
      <c r="D228" s="489"/>
      <c r="E228" s="494"/>
      <c r="F228" s="494">
        <v>214</v>
      </c>
      <c r="G228" s="297">
        <f t="shared" si="49"/>
        <v>2039</v>
      </c>
      <c r="H228" s="297">
        <f t="shared" si="50"/>
        <v>365</v>
      </c>
      <c r="I228" s="488">
        <f t="shared" si="51"/>
        <v>51052</v>
      </c>
      <c r="J228" s="488"/>
      <c r="K228" s="494">
        <f t="shared" si="52"/>
        <v>30</v>
      </c>
      <c r="L228" s="488">
        <f t="shared" si="57"/>
        <v>51074</v>
      </c>
      <c r="M228" s="299">
        <f t="shared" si="61"/>
        <v>0</v>
      </c>
      <c r="N228" s="303">
        <f t="shared" si="58"/>
        <v>0.1</v>
      </c>
      <c r="O228" s="299">
        <f t="shared" si="48"/>
        <v>0</v>
      </c>
      <c r="P228" s="299">
        <f t="shared" si="59"/>
        <v>0</v>
      </c>
      <c r="Q228" s="299">
        <f t="shared" si="53"/>
        <v>0</v>
      </c>
      <c r="R228" s="302">
        <f t="shared" si="54"/>
        <v>0</v>
      </c>
      <c r="S228" s="302">
        <f t="shared" si="55"/>
        <v>0</v>
      </c>
      <c r="T228" s="299">
        <f t="shared" si="56"/>
        <v>0</v>
      </c>
      <c r="U228" s="299">
        <f t="shared" si="60"/>
        <v>0</v>
      </c>
      <c r="V228" s="304"/>
      <c r="W228" s="505"/>
      <c r="X228" s="505"/>
      <c r="Y228" s="298">
        <f t="shared" si="62"/>
        <v>0.1</v>
      </c>
      <c r="Z228" s="309"/>
      <c r="AA228" s="306"/>
      <c r="AB228" s="307"/>
      <c r="AC228" s="297"/>
    </row>
    <row r="229" spans="3:29" x14ac:dyDescent="0.2">
      <c r="C229" s="489"/>
      <c r="D229" s="489"/>
      <c r="E229" s="494"/>
      <c r="F229" s="494">
        <v>215</v>
      </c>
      <c r="G229" s="297">
        <f t="shared" si="49"/>
        <v>2039</v>
      </c>
      <c r="H229" s="297">
        <f t="shared" si="50"/>
        <v>365</v>
      </c>
      <c r="I229" s="488">
        <f t="shared" si="51"/>
        <v>51083</v>
      </c>
      <c r="J229" s="488"/>
      <c r="K229" s="494">
        <f t="shared" si="52"/>
        <v>31</v>
      </c>
      <c r="L229" s="488">
        <f t="shared" si="57"/>
        <v>51104</v>
      </c>
      <c r="M229" s="299">
        <f t="shared" si="61"/>
        <v>0</v>
      </c>
      <c r="N229" s="303">
        <f t="shared" si="58"/>
        <v>0.1</v>
      </c>
      <c r="O229" s="299">
        <f t="shared" si="48"/>
        <v>0</v>
      </c>
      <c r="P229" s="299">
        <f t="shared" si="59"/>
        <v>0</v>
      </c>
      <c r="Q229" s="299">
        <f t="shared" si="53"/>
        <v>0</v>
      </c>
      <c r="R229" s="302">
        <f t="shared" si="54"/>
        <v>0</v>
      </c>
      <c r="S229" s="302">
        <f t="shared" si="55"/>
        <v>0</v>
      </c>
      <c r="T229" s="299">
        <f t="shared" si="56"/>
        <v>0</v>
      </c>
      <c r="U229" s="299">
        <f t="shared" si="60"/>
        <v>0</v>
      </c>
      <c r="V229" s="304"/>
      <c r="W229" s="505"/>
      <c r="X229" s="505"/>
      <c r="Y229" s="298">
        <f t="shared" si="62"/>
        <v>0.1</v>
      </c>
      <c r="Z229" s="309"/>
      <c r="AA229" s="306"/>
      <c r="AB229" s="307"/>
      <c r="AC229" s="297"/>
    </row>
    <row r="230" spans="3:29" x14ac:dyDescent="0.2">
      <c r="C230" s="489"/>
      <c r="D230" s="489"/>
      <c r="E230" s="494"/>
      <c r="F230" s="494">
        <v>216</v>
      </c>
      <c r="G230" s="297">
        <f t="shared" si="49"/>
        <v>2039</v>
      </c>
      <c r="H230" s="297">
        <f t="shared" si="50"/>
        <v>365</v>
      </c>
      <c r="I230" s="488">
        <f t="shared" si="51"/>
        <v>51113</v>
      </c>
      <c r="J230" s="488"/>
      <c r="K230" s="494">
        <f t="shared" si="52"/>
        <v>30</v>
      </c>
      <c r="L230" s="488">
        <f t="shared" si="57"/>
        <v>51135</v>
      </c>
      <c r="M230" s="299">
        <f t="shared" si="61"/>
        <v>0</v>
      </c>
      <c r="N230" s="303">
        <f t="shared" si="58"/>
        <v>0.1</v>
      </c>
      <c r="O230" s="299">
        <f t="shared" si="48"/>
        <v>0</v>
      </c>
      <c r="P230" s="299">
        <f t="shared" si="59"/>
        <v>0</v>
      </c>
      <c r="Q230" s="299">
        <f t="shared" si="53"/>
        <v>0</v>
      </c>
      <c r="R230" s="302">
        <f t="shared" si="54"/>
        <v>0</v>
      </c>
      <c r="S230" s="302">
        <f t="shared" si="55"/>
        <v>0</v>
      </c>
      <c r="T230" s="299">
        <f t="shared" si="56"/>
        <v>0</v>
      </c>
      <c r="U230" s="299">
        <f t="shared" si="60"/>
        <v>0</v>
      </c>
      <c r="V230" s="304"/>
      <c r="W230" s="505"/>
      <c r="X230" s="505"/>
      <c r="Y230" s="298">
        <f t="shared" si="62"/>
        <v>0.1</v>
      </c>
      <c r="Z230" s="309"/>
      <c r="AA230" s="306"/>
      <c r="AB230" s="307"/>
      <c r="AC230" s="297"/>
    </row>
    <row r="231" spans="3:29" x14ac:dyDescent="0.2">
      <c r="C231" s="489"/>
      <c r="D231" s="489"/>
      <c r="E231" s="494">
        <f>E219+1</f>
        <v>43</v>
      </c>
      <c r="F231" s="494">
        <v>217</v>
      </c>
      <c r="G231" s="297">
        <f t="shared" si="49"/>
        <v>2040</v>
      </c>
      <c r="H231" s="297">
        <f t="shared" si="50"/>
        <v>366</v>
      </c>
      <c r="I231" s="488">
        <f t="shared" si="51"/>
        <v>51144</v>
      </c>
      <c r="J231" s="488"/>
      <c r="K231" s="494">
        <f t="shared" si="52"/>
        <v>31</v>
      </c>
      <c r="L231" s="488">
        <f t="shared" si="57"/>
        <v>51166</v>
      </c>
      <c r="M231" s="299">
        <f t="shared" si="61"/>
        <v>0</v>
      </c>
      <c r="N231" s="303">
        <f t="shared" si="58"/>
        <v>0.1</v>
      </c>
      <c r="O231" s="299">
        <f t="shared" si="48"/>
        <v>0</v>
      </c>
      <c r="P231" s="299">
        <f t="shared" si="59"/>
        <v>0</v>
      </c>
      <c r="Q231" s="299">
        <f t="shared" si="53"/>
        <v>0</v>
      </c>
      <c r="R231" s="302">
        <f t="shared" si="54"/>
        <v>0</v>
      </c>
      <c r="S231" s="302">
        <f t="shared" si="55"/>
        <v>0</v>
      </c>
      <c r="T231" s="299">
        <f t="shared" si="56"/>
        <v>0</v>
      </c>
      <c r="U231" s="299">
        <f t="shared" si="60"/>
        <v>0</v>
      </c>
      <c r="V231" s="304">
        <f>IF(U231=0,0,((U231*10%+U231)*(W231+X231)))</f>
        <v>0</v>
      </c>
      <c r="W231" s="505">
        <f>INDEX('Тарифы СК'!$B$4:$C$53,MATCH($E$231,'Тарифы СК'!$A$4:$A$53,0),MATCH($AB$3,'Тарифы СК'!$B$3:$C$3,0))</f>
        <v>5.6299999999999996E-3</v>
      </c>
      <c r="X231" s="505">
        <f>'Тарифы СК'!$D$3</f>
        <v>1.1999999999999999E-3</v>
      </c>
      <c r="Y231" s="298">
        <f t="shared" si="62"/>
        <v>0.1</v>
      </c>
      <c r="Z231" s="309"/>
      <c r="AA231" s="306"/>
      <c r="AB231" s="307"/>
      <c r="AC231" s="297"/>
    </row>
    <row r="232" spans="3:29" x14ac:dyDescent="0.2">
      <c r="C232" s="489"/>
      <c r="D232" s="489"/>
      <c r="E232" s="494"/>
      <c r="F232" s="494">
        <v>218</v>
      </c>
      <c r="G232" s="297">
        <f t="shared" si="49"/>
        <v>2040</v>
      </c>
      <c r="H232" s="297">
        <f t="shared" si="50"/>
        <v>366</v>
      </c>
      <c r="I232" s="488">
        <f t="shared" si="51"/>
        <v>51175</v>
      </c>
      <c r="J232" s="488"/>
      <c r="K232" s="494">
        <f t="shared" si="52"/>
        <v>31</v>
      </c>
      <c r="L232" s="488">
        <f t="shared" si="57"/>
        <v>51195</v>
      </c>
      <c r="M232" s="299">
        <f t="shared" si="61"/>
        <v>0</v>
      </c>
      <c r="N232" s="303">
        <f t="shared" si="58"/>
        <v>0.1</v>
      </c>
      <c r="O232" s="299">
        <f t="shared" si="48"/>
        <v>0</v>
      </c>
      <c r="P232" s="299">
        <f t="shared" si="59"/>
        <v>0</v>
      </c>
      <c r="Q232" s="299">
        <f t="shared" si="53"/>
        <v>0</v>
      </c>
      <c r="R232" s="302">
        <f t="shared" si="54"/>
        <v>0</v>
      </c>
      <c r="S232" s="302">
        <f t="shared" si="55"/>
        <v>0</v>
      </c>
      <c r="T232" s="299">
        <f t="shared" si="56"/>
        <v>0</v>
      </c>
      <c r="U232" s="299">
        <f t="shared" si="60"/>
        <v>0</v>
      </c>
      <c r="V232" s="304"/>
      <c r="W232" s="505"/>
      <c r="X232" s="505"/>
      <c r="Y232" s="298">
        <f t="shared" si="62"/>
        <v>0.1</v>
      </c>
      <c r="Z232" s="309"/>
      <c r="AA232" s="306"/>
      <c r="AB232" s="307"/>
      <c r="AC232" s="297"/>
    </row>
    <row r="233" spans="3:29" x14ac:dyDescent="0.2">
      <c r="C233" s="489"/>
      <c r="D233" s="489"/>
      <c r="E233" s="494"/>
      <c r="F233" s="494">
        <v>219</v>
      </c>
      <c r="G233" s="297">
        <f t="shared" si="49"/>
        <v>2040</v>
      </c>
      <c r="H233" s="297">
        <f t="shared" si="50"/>
        <v>366</v>
      </c>
      <c r="I233" s="488">
        <f t="shared" si="51"/>
        <v>51204</v>
      </c>
      <c r="J233" s="488"/>
      <c r="K233" s="494">
        <f t="shared" si="52"/>
        <v>29</v>
      </c>
      <c r="L233" s="488">
        <f t="shared" si="57"/>
        <v>51226</v>
      </c>
      <c r="M233" s="299">
        <f t="shared" si="61"/>
        <v>0</v>
      </c>
      <c r="N233" s="303">
        <f t="shared" si="58"/>
        <v>0.1</v>
      </c>
      <c r="O233" s="299">
        <f t="shared" si="48"/>
        <v>0</v>
      </c>
      <c r="P233" s="299">
        <f t="shared" si="59"/>
        <v>0</v>
      </c>
      <c r="Q233" s="299">
        <f t="shared" si="53"/>
        <v>0</v>
      </c>
      <c r="R233" s="302">
        <f t="shared" si="54"/>
        <v>0</v>
      </c>
      <c r="S233" s="302">
        <f t="shared" si="55"/>
        <v>0</v>
      </c>
      <c r="T233" s="299">
        <f t="shared" si="56"/>
        <v>0</v>
      </c>
      <c r="U233" s="299">
        <f t="shared" si="60"/>
        <v>0</v>
      </c>
      <c r="V233" s="304"/>
      <c r="W233" s="505"/>
      <c r="X233" s="505"/>
      <c r="Y233" s="298">
        <f t="shared" si="62"/>
        <v>0.1</v>
      </c>
      <c r="Z233" s="309"/>
      <c r="AA233" s="306"/>
      <c r="AB233" s="307"/>
      <c r="AC233" s="297"/>
    </row>
    <row r="234" spans="3:29" x14ac:dyDescent="0.2">
      <c r="C234" s="489"/>
      <c r="D234" s="489"/>
      <c r="E234" s="494"/>
      <c r="F234" s="494">
        <v>220</v>
      </c>
      <c r="G234" s="297">
        <f t="shared" si="49"/>
        <v>2040</v>
      </c>
      <c r="H234" s="297">
        <f t="shared" si="50"/>
        <v>366</v>
      </c>
      <c r="I234" s="488">
        <f t="shared" si="51"/>
        <v>51235</v>
      </c>
      <c r="J234" s="488"/>
      <c r="K234" s="494">
        <f t="shared" si="52"/>
        <v>31</v>
      </c>
      <c r="L234" s="488">
        <f t="shared" si="57"/>
        <v>51256</v>
      </c>
      <c r="M234" s="299">
        <f t="shared" si="61"/>
        <v>0</v>
      </c>
      <c r="N234" s="303">
        <f t="shared" si="58"/>
        <v>0.1</v>
      </c>
      <c r="O234" s="299">
        <f t="shared" si="48"/>
        <v>0</v>
      </c>
      <c r="P234" s="299">
        <f t="shared" si="59"/>
        <v>0</v>
      </c>
      <c r="Q234" s="299">
        <f t="shared" si="53"/>
        <v>0</v>
      </c>
      <c r="R234" s="302">
        <f t="shared" si="54"/>
        <v>0</v>
      </c>
      <c r="S234" s="302">
        <f t="shared" si="55"/>
        <v>0</v>
      </c>
      <c r="T234" s="299">
        <f t="shared" si="56"/>
        <v>0</v>
      </c>
      <c r="U234" s="299">
        <f t="shared" si="60"/>
        <v>0</v>
      </c>
      <c r="V234" s="304"/>
      <c r="W234" s="505"/>
      <c r="X234" s="505"/>
      <c r="Y234" s="298">
        <f t="shared" si="62"/>
        <v>0.1</v>
      </c>
      <c r="Z234" s="309"/>
      <c r="AA234" s="306"/>
      <c r="AB234" s="307"/>
      <c r="AC234" s="297"/>
    </row>
    <row r="235" spans="3:29" x14ac:dyDescent="0.2">
      <c r="C235" s="489"/>
      <c r="D235" s="489"/>
      <c r="E235" s="494"/>
      <c r="F235" s="494">
        <v>221</v>
      </c>
      <c r="G235" s="297">
        <f t="shared" si="49"/>
        <v>2040</v>
      </c>
      <c r="H235" s="297">
        <f t="shared" si="50"/>
        <v>366</v>
      </c>
      <c r="I235" s="488">
        <f t="shared" si="51"/>
        <v>51265</v>
      </c>
      <c r="J235" s="488"/>
      <c r="K235" s="494">
        <f t="shared" si="52"/>
        <v>30</v>
      </c>
      <c r="L235" s="488">
        <f t="shared" si="57"/>
        <v>51287</v>
      </c>
      <c r="M235" s="299">
        <f t="shared" si="61"/>
        <v>0</v>
      </c>
      <c r="N235" s="303">
        <f t="shared" si="58"/>
        <v>0.1</v>
      </c>
      <c r="O235" s="299">
        <f t="shared" si="48"/>
        <v>0</v>
      </c>
      <c r="P235" s="299">
        <f t="shared" si="59"/>
        <v>0</v>
      </c>
      <c r="Q235" s="299">
        <f t="shared" si="53"/>
        <v>0</v>
      </c>
      <c r="R235" s="302">
        <f t="shared" si="54"/>
        <v>0</v>
      </c>
      <c r="S235" s="302">
        <f t="shared" si="55"/>
        <v>0</v>
      </c>
      <c r="T235" s="299">
        <f t="shared" si="56"/>
        <v>0</v>
      </c>
      <c r="U235" s="299">
        <f t="shared" si="60"/>
        <v>0</v>
      </c>
      <c r="V235" s="304"/>
      <c r="W235" s="505"/>
      <c r="X235" s="505"/>
      <c r="Y235" s="298">
        <f t="shared" si="62"/>
        <v>0.1</v>
      </c>
      <c r="Z235" s="309"/>
      <c r="AA235" s="306"/>
      <c r="AB235" s="307"/>
      <c r="AC235" s="297"/>
    </row>
    <row r="236" spans="3:29" x14ac:dyDescent="0.2">
      <c r="C236" s="489"/>
      <c r="D236" s="489"/>
      <c r="E236" s="494"/>
      <c r="F236" s="494">
        <v>222</v>
      </c>
      <c r="G236" s="297">
        <f t="shared" si="49"/>
        <v>2040</v>
      </c>
      <c r="H236" s="297">
        <f t="shared" si="50"/>
        <v>366</v>
      </c>
      <c r="I236" s="488">
        <f t="shared" si="51"/>
        <v>51296</v>
      </c>
      <c r="J236" s="488"/>
      <c r="K236" s="494">
        <f t="shared" si="52"/>
        <v>31</v>
      </c>
      <c r="L236" s="488">
        <f t="shared" si="57"/>
        <v>51317</v>
      </c>
      <c r="M236" s="299">
        <f t="shared" si="61"/>
        <v>0</v>
      </c>
      <c r="N236" s="303">
        <f t="shared" si="58"/>
        <v>0.1</v>
      </c>
      <c r="O236" s="299">
        <f t="shared" si="48"/>
        <v>0</v>
      </c>
      <c r="P236" s="299">
        <f t="shared" si="59"/>
        <v>0</v>
      </c>
      <c r="Q236" s="299">
        <f t="shared" si="53"/>
        <v>0</v>
      </c>
      <c r="R236" s="302">
        <f t="shared" si="54"/>
        <v>0</v>
      </c>
      <c r="S236" s="302">
        <f t="shared" si="55"/>
        <v>0</v>
      </c>
      <c r="T236" s="299">
        <f t="shared" si="56"/>
        <v>0</v>
      </c>
      <c r="U236" s="299">
        <f t="shared" si="60"/>
        <v>0</v>
      </c>
      <c r="V236" s="304"/>
      <c r="W236" s="505"/>
      <c r="X236" s="505"/>
      <c r="Y236" s="298">
        <f t="shared" si="62"/>
        <v>0.1</v>
      </c>
      <c r="Z236" s="309"/>
      <c r="AA236" s="306"/>
      <c r="AB236" s="307"/>
      <c r="AC236" s="297"/>
    </row>
    <row r="237" spans="3:29" x14ac:dyDescent="0.2">
      <c r="C237" s="489"/>
      <c r="D237" s="489"/>
      <c r="E237" s="494"/>
      <c r="F237" s="494">
        <v>223</v>
      </c>
      <c r="G237" s="297">
        <f t="shared" si="49"/>
        <v>2040</v>
      </c>
      <c r="H237" s="297">
        <f t="shared" si="50"/>
        <v>366</v>
      </c>
      <c r="I237" s="488">
        <f t="shared" si="51"/>
        <v>51326</v>
      </c>
      <c r="J237" s="488"/>
      <c r="K237" s="494">
        <f t="shared" si="52"/>
        <v>30</v>
      </c>
      <c r="L237" s="488">
        <f t="shared" si="57"/>
        <v>51348</v>
      </c>
      <c r="M237" s="299">
        <f t="shared" si="61"/>
        <v>0</v>
      </c>
      <c r="N237" s="303">
        <f t="shared" si="58"/>
        <v>0.1</v>
      </c>
      <c r="O237" s="299">
        <f t="shared" si="48"/>
        <v>0</v>
      </c>
      <c r="P237" s="299">
        <f t="shared" si="59"/>
        <v>0</v>
      </c>
      <c r="Q237" s="299">
        <f t="shared" si="53"/>
        <v>0</v>
      </c>
      <c r="R237" s="302">
        <f t="shared" si="54"/>
        <v>0</v>
      </c>
      <c r="S237" s="302">
        <f t="shared" si="55"/>
        <v>0</v>
      </c>
      <c r="T237" s="299">
        <f t="shared" si="56"/>
        <v>0</v>
      </c>
      <c r="U237" s="299">
        <f t="shared" si="60"/>
        <v>0</v>
      </c>
      <c r="V237" s="304"/>
      <c r="W237" s="505"/>
      <c r="X237" s="505"/>
      <c r="Y237" s="298">
        <f t="shared" si="62"/>
        <v>0.1</v>
      </c>
      <c r="Z237" s="309"/>
      <c r="AA237" s="306"/>
      <c r="AB237" s="307"/>
      <c r="AC237" s="297"/>
    </row>
    <row r="238" spans="3:29" x14ac:dyDescent="0.2">
      <c r="C238" s="489"/>
      <c r="D238" s="489"/>
      <c r="E238" s="494"/>
      <c r="F238" s="494">
        <v>224</v>
      </c>
      <c r="G238" s="297">
        <f t="shared" si="49"/>
        <v>2040</v>
      </c>
      <c r="H238" s="297">
        <f t="shared" si="50"/>
        <v>366</v>
      </c>
      <c r="I238" s="488">
        <f t="shared" si="51"/>
        <v>51357</v>
      </c>
      <c r="J238" s="488"/>
      <c r="K238" s="494">
        <f t="shared" si="52"/>
        <v>31</v>
      </c>
      <c r="L238" s="488">
        <f t="shared" si="57"/>
        <v>51379</v>
      </c>
      <c r="M238" s="299">
        <f t="shared" si="61"/>
        <v>0</v>
      </c>
      <c r="N238" s="303">
        <f t="shared" si="58"/>
        <v>0.1</v>
      </c>
      <c r="O238" s="299">
        <f t="shared" si="48"/>
        <v>0</v>
      </c>
      <c r="P238" s="299">
        <f t="shared" si="59"/>
        <v>0</v>
      </c>
      <c r="Q238" s="299">
        <f t="shared" si="53"/>
        <v>0</v>
      </c>
      <c r="R238" s="302">
        <f t="shared" si="54"/>
        <v>0</v>
      </c>
      <c r="S238" s="302">
        <f t="shared" si="55"/>
        <v>0</v>
      </c>
      <c r="T238" s="299">
        <f t="shared" si="56"/>
        <v>0</v>
      </c>
      <c r="U238" s="299">
        <f t="shared" si="60"/>
        <v>0</v>
      </c>
      <c r="V238" s="304"/>
      <c r="W238" s="505"/>
      <c r="X238" s="505"/>
      <c r="Y238" s="298">
        <f t="shared" si="62"/>
        <v>0.1</v>
      </c>
      <c r="Z238" s="309"/>
      <c r="AA238" s="306"/>
      <c r="AB238" s="307"/>
      <c r="AC238" s="297"/>
    </row>
    <row r="239" spans="3:29" x14ac:dyDescent="0.2">
      <c r="C239" s="489"/>
      <c r="D239" s="489"/>
      <c r="E239" s="494"/>
      <c r="F239" s="494">
        <v>225</v>
      </c>
      <c r="G239" s="297">
        <f t="shared" si="49"/>
        <v>2040</v>
      </c>
      <c r="H239" s="297">
        <f t="shared" si="50"/>
        <v>366</v>
      </c>
      <c r="I239" s="488">
        <f t="shared" si="51"/>
        <v>51388</v>
      </c>
      <c r="J239" s="488"/>
      <c r="K239" s="494">
        <f t="shared" si="52"/>
        <v>31</v>
      </c>
      <c r="L239" s="488">
        <f t="shared" si="57"/>
        <v>51409</v>
      </c>
      <c r="M239" s="299">
        <f t="shared" si="61"/>
        <v>0</v>
      </c>
      <c r="N239" s="303">
        <f t="shared" si="58"/>
        <v>0.1</v>
      </c>
      <c r="O239" s="299">
        <f t="shared" si="48"/>
        <v>0</v>
      </c>
      <c r="P239" s="299">
        <f t="shared" si="59"/>
        <v>0</v>
      </c>
      <c r="Q239" s="299">
        <f t="shared" si="53"/>
        <v>0</v>
      </c>
      <c r="R239" s="302">
        <f t="shared" si="54"/>
        <v>0</v>
      </c>
      <c r="S239" s="302">
        <f t="shared" si="55"/>
        <v>0</v>
      </c>
      <c r="T239" s="299">
        <f t="shared" si="56"/>
        <v>0</v>
      </c>
      <c r="U239" s="299">
        <f t="shared" si="60"/>
        <v>0</v>
      </c>
      <c r="V239" s="304"/>
      <c r="W239" s="505"/>
      <c r="X239" s="505"/>
      <c r="Y239" s="298">
        <f t="shared" si="62"/>
        <v>0.1</v>
      </c>
      <c r="Z239" s="309"/>
      <c r="AA239" s="306"/>
      <c r="AB239" s="307"/>
      <c r="AC239" s="297"/>
    </row>
    <row r="240" spans="3:29" x14ac:dyDescent="0.2">
      <c r="C240" s="489"/>
      <c r="D240" s="489"/>
      <c r="E240" s="494"/>
      <c r="F240" s="494">
        <v>226</v>
      </c>
      <c r="G240" s="297">
        <f t="shared" si="49"/>
        <v>2040</v>
      </c>
      <c r="H240" s="297">
        <f t="shared" si="50"/>
        <v>366</v>
      </c>
      <c r="I240" s="488">
        <f t="shared" si="51"/>
        <v>51418</v>
      </c>
      <c r="J240" s="488"/>
      <c r="K240" s="494">
        <f t="shared" si="52"/>
        <v>30</v>
      </c>
      <c r="L240" s="488">
        <f t="shared" si="57"/>
        <v>51440</v>
      </c>
      <c r="M240" s="299">
        <f t="shared" si="61"/>
        <v>0</v>
      </c>
      <c r="N240" s="303">
        <f t="shared" si="58"/>
        <v>0.1</v>
      </c>
      <c r="O240" s="299">
        <f t="shared" si="48"/>
        <v>0</v>
      </c>
      <c r="P240" s="299">
        <f t="shared" si="59"/>
        <v>0</v>
      </c>
      <c r="Q240" s="299">
        <f t="shared" si="53"/>
        <v>0</v>
      </c>
      <c r="R240" s="302">
        <f t="shared" si="54"/>
        <v>0</v>
      </c>
      <c r="S240" s="302">
        <f t="shared" si="55"/>
        <v>0</v>
      </c>
      <c r="T240" s="299">
        <f t="shared" si="56"/>
        <v>0</v>
      </c>
      <c r="U240" s="299">
        <f t="shared" si="60"/>
        <v>0</v>
      </c>
      <c r="V240" s="304"/>
      <c r="W240" s="505"/>
      <c r="X240" s="505"/>
      <c r="Y240" s="298">
        <f t="shared" si="62"/>
        <v>0.1</v>
      </c>
      <c r="Z240" s="309"/>
      <c r="AA240" s="306"/>
      <c r="AB240" s="307"/>
      <c r="AC240" s="297"/>
    </row>
    <row r="241" spans="3:29" x14ac:dyDescent="0.2">
      <c r="C241" s="489"/>
      <c r="D241" s="489"/>
      <c r="E241" s="494"/>
      <c r="F241" s="494">
        <v>227</v>
      </c>
      <c r="G241" s="297">
        <f t="shared" si="49"/>
        <v>2040</v>
      </c>
      <c r="H241" s="297">
        <f t="shared" si="50"/>
        <v>366</v>
      </c>
      <c r="I241" s="488">
        <f t="shared" si="51"/>
        <v>51449</v>
      </c>
      <c r="J241" s="488"/>
      <c r="K241" s="494">
        <f t="shared" si="52"/>
        <v>31</v>
      </c>
      <c r="L241" s="488">
        <f t="shared" si="57"/>
        <v>51470</v>
      </c>
      <c r="M241" s="299">
        <f t="shared" si="61"/>
        <v>0</v>
      </c>
      <c r="N241" s="303">
        <f t="shared" si="58"/>
        <v>0.1</v>
      </c>
      <c r="O241" s="299">
        <f t="shared" ref="O241:O304" si="63">M241*N241/H241*K241</f>
        <v>0</v>
      </c>
      <c r="P241" s="299">
        <f t="shared" si="59"/>
        <v>0</v>
      </c>
      <c r="Q241" s="299">
        <f t="shared" si="53"/>
        <v>0</v>
      </c>
      <c r="R241" s="302">
        <f t="shared" si="54"/>
        <v>0</v>
      </c>
      <c r="S241" s="302">
        <f t="shared" si="55"/>
        <v>0</v>
      </c>
      <c r="T241" s="299">
        <f t="shared" si="56"/>
        <v>0</v>
      </c>
      <c r="U241" s="299">
        <f t="shared" si="60"/>
        <v>0</v>
      </c>
      <c r="V241" s="304"/>
      <c r="W241" s="505"/>
      <c r="X241" s="505"/>
      <c r="Y241" s="298">
        <f t="shared" si="62"/>
        <v>0.1</v>
      </c>
      <c r="Z241" s="309"/>
      <c r="AA241" s="306"/>
      <c r="AB241" s="307"/>
      <c r="AC241" s="297"/>
    </row>
    <row r="242" spans="3:29" x14ac:dyDescent="0.2">
      <c r="C242" s="489"/>
      <c r="D242" s="489"/>
      <c r="E242" s="494"/>
      <c r="F242" s="494">
        <v>228</v>
      </c>
      <c r="G242" s="297">
        <f t="shared" si="49"/>
        <v>2040</v>
      </c>
      <c r="H242" s="297">
        <f t="shared" si="50"/>
        <v>366</v>
      </c>
      <c r="I242" s="488">
        <f t="shared" si="51"/>
        <v>51479</v>
      </c>
      <c r="J242" s="488"/>
      <c r="K242" s="494">
        <f t="shared" si="52"/>
        <v>30</v>
      </c>
      <c r="L242" s="488">
        <f t="shared" si="57"/>
        <v>51501</v>
      </c>
      <c r="M242" s="299">
        <f t="shared" si="61"/>
        <v>0</v>
      </c>
      <c r="N242" s="303">
        <f t="shared" si="58"/>
        <v>0.1</v>
      </c>
      <c r="O242" s="299">
        <f t="shared" si="63"/>
        <v>0</v>
      </c>
      <c r="P242" s="299">
        <f t="shared" si="59"/>
        <v>0</v>
      </c>
      <c r="Q242" s="299">
        <f t="shared" si="53"/>
        <v>0</v>
      </c>
      <c r="R242" s="302">
        <f t="shared" si="54"/>
        <v>0</v>
      </c>
      <c r="S242" s="302">
        <f t="shared" si="55"/>
        <v>0</v>
      </c>
      <c r="T242" s="299">
        <f t="shared" si="56"/>
        <v>0</v>
      </c>
      <c r="U242" s="299">
        <f t="shared" si="60"/>
        <v>0</v>
      </c>
      <c r="V242" s="304"/>
      <c r="W242" s="505"/>
      <c r="X242" s="505"/>
      <c r="Y242" s="298">
        <f t="shared" si="62"/>
        <v>0.1</v>
      </c>
      <c r="Z242" s="309"/>
      <c r="AA242" s="306"/>
      <c r="AB242" s="307"/>
      <c r="AC242" s="297"/>
    </row>
    <row r="243" spans="3:29" x14ac:dyDescent="0.2">
      <c r="C243" s="489"/>
      <c r="D243" s="489"/>
      <c r="E243" s="494">
        <f>E231+1</f>
        <v>44</v>
      </c>
      <c r="F243" s="494">
        <v>229</v>
      </c>
      <c r="G243" s="297">
        <f t="shared" si="49"/>
        <v>2041</v>
      </c>
      <c r="H243" s="297">
        <f t="shared" si="50"/>
        <v>365</v>
      </c>
      <c r="I243" s="488">
        <f t="shared" si="51"/>
        <v>51510</v>
      </c>
      <c r="J243" s="488"/>
      <c r="K243" s="494">
        <f t="shared" si="52"/>
        <v>31</v>
      </c>
      <c r="L243" s="488">
        <f t="shared" si="57"/>
        <v>51532</v>
      </c>
      <c r="M243" s="299">
        <f t="shared" si="61"/>
        <v>0</v>
      </c>
      <c r="N243" s="303">
        <f t="shared" si="58"/>
        <v>0.1</v>
      </c>
      <c r="O243" s="299">
        <f t="shared" si="63"/>
        <v>0</v>
      </c>
      <c r="P243" s="299">
        <f t="shared" si="59"/>
        <v>0</v>
      </c>
      <c r="Q243" s="299">
        <f t="shared" si="53"/>
        <v>0</v>
      </c>
      <c r="R243" s="302">
        <f t="shared" si="54"/>
        <v>0</v>
      </c>
      <c r="S243" s="302">
        <f t="shared" si="55"/>
        <v>0</v>
      </c>
      <c r="T243" s="299">
        <f t="shared" si="56"/>
        <v>0</v>
      </c>
      <c r="U243" s="299">
        <f t="shared" si="60"/>
        <v>0</v>
      </c>
      <c r="V243" s="304">
        <f>IF(U243=0,0,((U243*10%+U243)*(W243+X243)))</f>
        <v>0</v>
      </c>
      <c r="W243" s="505">
        <f>INDEX('Тарифы СК'!$B$4:$C$53,MATCH($E$243,'Тарифы СК'!$A$4:$A$53,0),MATCH($AB$3,'Тарифы СК'!$B$3:$C$3,0))</f>
        <v>5.8999999999999999E-3</v>
      </c>
      <c r="X243" s="505">
        <f>'Тарифы СК'!$D$3</f>
        <v>1.1999999999999999E-3</v>
      </c>
      <c r="Y243" s="298">
        <f t="shared" si="62"/>
        <v>0.1</v>
      </c>
      <c r="Z243" s="309"/>
      <c r="AA243" s="306"/>
      <c r="AB243" s="307"/>
      <c r="AC243" s="297"/>
    </row>
    <row r="244" spans="3:29" x14ac:dyDescent="0.2">
      <c r="C244" s="489"/>
      <c r="D244" s="489"/>
      <c r="E244" s="494"/>
      <c r="F244" s="494">
        <v>230</v>
      </c>
      <c r="G244" s="297">
        <f t="shared" si="49"/>
        <v>2041</v>
      </c>
      <c r="H244" s="297">
        <f t="shared" si="50"/>
        <v>365</v>
      </c>
      <c r="I244" s="488">
        <f t="shared" si="51"/>
        <v>51541</v>
      </c>
      <c r="J244" s="488"/>
      <c r="K244" s="494">
        <f t="shared" si="52"/>
        <v>31</v>
      </c>
      <c r="L244" s="488">
        <f t="shared" si="57"/>
        <v>51560</v>
      </c>
      <c r="M244" s="299">
        <f t="shared" si="61"/>
        <v>0</v>
      </c>
      <c r="N244" s="303">
        <f t="shared" si="58"/>
        <v>0.1</v>
      </c>
      <c r="O244" s="299">
        <f t="shared" si="63"/>
        <v>0</v>
      </c>
      <c r="P244" s="299">
        <f t="shared" si="59"/>
        <v>0</v>
      </c>
      <c r="Q244" s="299">
        <f t="shared" si="53"/>
        <v>0</v>
      </c>
      <c r="R244" s="302">
        <f t="shared" si="54"/>
        <v>0</v>
      </c>
      <c r="S244" s="302">
        <f t="shared" si="55"/>
        <v>0</v>
      </c>
      <c r="T244" s="299">
        <f t="shared" si="56"/>
        <v>0</v>
      </c>
      <c r="U244" s="299">
        <f t="shared" si="60"/>
        <v>0</v>
      </c>
      <c r="V244" s="304"/>
      <c r="W244" s="505"/>
      <c r="X244" s="505"/>
      <c r="Y244" s="298">
        <f t="shared" si="62"/>
        <v>0.1</v>
      </c>
      <c r="Z244" s="309"/>
      <c r="AA244" s="306"/>
      <c r="AB244" s="307"/>
      <c r="AC244" s="297"/>
    </row>
    <row r="245" spans="3:29" x14ac:dyDescent="0.2">
      <c r="C245" s="489"/>
      <c r="D245" s="489"/>
      <c r="E245" s="494"/>
      <c r="F245" s="494">
        <v>231</v>
      </c>
      <c r="G245" s="297">
        <f t="shared" si="49"/>
        <v>2041</v>
      </c>
      <c r="H245" s="297">
        <f t="shared" si="50"/>
        <v>365</v>
      </c>
      <c r="I245" s="488">
        <f t="shared" si="51"/>
        <v>51569</v>
      </c>
      <c r="J245" s="488"/>
      <c r="K245" s="494">
        <f t="shared" si="52"/>
        <v>28</v>
      </c>
      <c r="L245" s="488">
        <f t="shared" si="57"/>
        <v>51591</v>
      </c>
      <c r="M245" s="299">
        <f t="shared" si="61"/>
        <v>0</v>
      </c>
      <c r="N245" s="303">
        <f t="shared" si="58"/>
        <v>0.1</v>
      </c>
      <c r="O245" s="299">
        <f t="shared" si="63"/>
        <v>0</v>
      </c>
      <c r="P245" s="299">
        <f t="shared" si="59"/>
        <v>0</v>
      </c>
      <c r="Q245" s="299">
        <f t="shared" si="53"/>
        <v>0</v>
      </c>
      <c r="R245" s="302">
        <f t="shared" si="54"/>
        <v>0</v>
      </c>
      <c r="S245" s="302">
        <f t="shared" si="55"/>
        <v>0</v>
      </c>
      <c r="T245" s="299">
        <f t="shared" si="56"/>
        <v>0</v>
      </c>
      <c r="U245" s="299">
        <f t="shared" si="60"/>
        <v>0</v>
      </c>
      <c r="V245" s="304"/>
      <c r="W245" s="505"/>
      <c r="X245" s="505"/>
      <c r="Y245" s="298">
        <f t="shared" si="62"/>
        <v>0.1</v>
      </c>
      <c r="Z245" s="309"/>
      <c r="AA245" s="306"/>
      <c r="AB245" s="307"/>
      <c r="AC245" s="297"/>
    </row>
    <row r="246" spans="3:29" x14ac:dyDescent="0.2">
      <c r="C246" s="489"/>
      <c r="D246" s="489"/>
      <c r="E246" s="494"/>
      <c r="F246" s="494">
        <v>232</v>
      </c>
      <c r="G246" s="297">
        <f t="shared" si="49"/>
        <v>2041</v>
      </c>
      <c r="H246" s="297">
        <f t="shared" si="50"/>
        <v>365</v>
      </c>
      <c r="I246" s="488">
        <f t="shared" si="51"/>
        <v>51600</v>
      </c>
      <c r="J246" s="488"/>
      <c r="K246" s="494">
        <f t="shared" si="52"/>
        <v>31</v>
      </c>
      <c r="L246" s="488">
        <f t="shared" si="57"/>
        <v>51621</v>
      </c>
      <c r="M246" s="299">
        <f t="shared" si="61"/>
        <v>0</v>
      </c>
      <c r="N246" s="303">
        <f t="shared" si="58"/>
        <v>0.1</v>
      </c>
      <c r="O246" s="299">
        <f t="shared" si="63"/>
        <v>0</v>
      </c>
      <c r="P246" s="299">
        <f t="shared" si="59"/>
        <v>0</v>
      </c>
      <c r="Q246" s="299">
        <f t="shared" si="53"/>
        <v>0</v>
      </c>
      <c r="R246" s="302">
        <f t="shared" si="54"/>
        <v>0</v>
      </c>
      <c r="S246" s="302">
        <f t="shared" si="55"/>
        <v>0</v>
      </c>
      <c r="T246" s="299">
        <f t="shared" si="56"/>
        <v>0</v>
      </c>
      <c r="U246" s="299">
        <f t="shared" si="60"/>
        <v>0</v>
      </c>
      <c r="V246" s="304"/>
      <c r="W246" s="505"/>
      <c r="X246" s="505"/>
      <c r="Y246" s="298">
        <f t="shared" si="62"/>
        <v>0.1</v>
      </c>
      <c r="Z246" s="309"/>
      <c r="AA246" s="306"/>
      <c r="AB246" s="307"/>
      <c r="AC246" s="297"/>
    </row>
    <row r="247" spans="3:29" x14ac:dyDescent="0.2">
      <c r="C247" s="489"/>
      <c r="D247" s="489"/>
      <c r="E247" s="494"/>
      <c r="F247" s="494">
        <v>233</v>
      </c>
      <c r="G247" s="297">
        <f t="shared" si="49"/>
        <v>2041</v>
      </c>
      <c r="H247" s="297">
        <f t="shared" si="50"/>
        <v>365</v>
      </c>
      <c r="I247" s="488">
        <f t="shared" si="51"/>
        <v>51630</v>
      </c>
      <c r="J247" s="488"/>
      <c r="K247" s="494">
        <f t="shared" si="52"/>
        <v>30</v>
      </c>
      <c r="L247" s="488">
        <f t="shared" si="57"/>
        <v>51652</v>
      </c>
      <c r="M247" s="299">
        <f t="shared" si="61"/>
        <v>0</v>
      </c>
      <c r="N247" s="303">
        <f t="shared" si="58"/>
        <v>0.1</v>
      </c>
      <c r="O247" s="299">
        <f t="shared" si="63"/>
        <v>0</v>
      </c>
      <c r="P247" s="299">
        <f t="shared" si="59"/>
        <v>0</v>
      </c>
      <c r="Q247" s="299">
        <f t="shared" si="53"/>
        <v>0</v>
      </c>
      <c r="R247" s="302">
        <f t="shared" si="54"/>
        <v>0</v>
      </c>
      <c r="S247" s="302">
        <f t="shared" si="55"/>
        <v>0</v>
      </c>
      <c r="T247" s="299">
        <f t="shared" si="56"/>
        <v>0</v>
      </c>
      <c r="U247" s="299">
        <f t="shared" si="60"/>
        <v>0</v>
      </c>
      <c r="V247" s="304"/>
      <c r="W247" s="505"/>
      <c r="X247" s="505"/>
      <c r="Y247" s="298">
        <f t="shared" si="62"/>
        <v>0.1</v>
      </c>
      <c r="Z247" s="309"/>
      <c r="AA247" s="306"/>
      <c r="AB247" s="307"/>
      <c r="AC247" s="297"/>
    </row>
    <row r="248" spans="3:29" x14ac:dyDescent="0.2">
      <c r="C248" s="489"/>
      <c r="D248" s="489"/>
      <c r="E248" s="494"/>
      <c r="F248" s="494">
        <v>234</v>
      </c>
      <c r="G248" s="297">
        <f t="shared" si="49"/>
        <v>2041</v>
      </c>
      <c r="H248" s="297">
        <f t="shared" si="50"/>
        <v>365</v>
      </c>
      <c r="I248" s="488">
        <f t="shared" si="51"/>
        <v>51661</v>
      </c>
      <c r="J248" s="488"/>
      <c r="K248" s="494">
        <f t="shared" si="52"/>
        <v>31</v>
      </c>
      <c r="L248" s="488">
        <f t="shared" si="57"/>
        <v>51682</v>
      </c>
      <c r="M248" s="299">
        <f t="shared" si="61"/>
        <v>0</v>
      </c>
      <c r="N248" s="303">
        <f t="shared" si="58"/>
        <v>0.1</v>
      </c>
      <c r="O248" s="299">
        <f t="shared" si="63"/>
        <v>0</v>
      </c>
      <c r="P248" s="299">
        <f t="shared" si="59"/>
        <v>0</v>
      </c>
      <c r="Q248" s="299">
        <f t="shared" si="53"/>
        <v>0</v>
      </c>
      <c r="R248" s="302">
        <f t="shared" si="54"/>
        <v>0</v>
      </c>
      <c r="S248" s="302">
        <f t="shared" si="55"/>
        <v>0</v>
      </c>
      <c r="T248" s="299">
        <f t="shared" si="56"/>
        <v>0</v>
      </c>
      <c r="U248" s="299">
        <f t="shared" si="60"/>
        <v>0</v>
      </c>
      <c r="V248" s="304"/>
      <c r="W248" s="505"/>
      <c r="X248" s="505"/>
      <c r="Y248" s="298">
        <f t="shared" si="62"/>
        <v>0.1</v>
      </c>
      <c r="Z248" s="309"/>
      <c r="AA248" s="306"/>
      <c r="AB248" s="307"/>
      <c r="AC248" s="297"/>
    </row>
    <row r="249" spans="3:29" x14ac:dyDescent="0.2">
      <c r="C249" s="489"/>
      <c r="D249" s="489"/>
      <c r="E249" s="494"/>
      <c r="F249" s="494">
        <v>235</v>
      </c>
      <c r="G249" s="297">
        <f t="shared" si="49"/>
        <v>2041</v>
      </c>
      <c r="H249" s="297">
        <f t="shared" si="50"/>
        <v>365</v>
      </c>
      <c r="I249" s="488">
        <f t="shared" si="51"/>
        <v>51691</v>
      </c>
      <c r="J249" s="488"/>
      <c r="K249" s="494">
        <f t="shared" si="52"/>
        <v>30</v>
      </c>
      <c r="L249" s="488">
        <f t="shared" si="57"/>
        <v>51713</v>
      </c>
      <c r="M249" s="299">
        <f t="shared" si="61"/>
        <v>0</v>
      </c>
      <c r="N249" s="303">
        <f t="shared" si="58"/>
        <v>0.1</v>
      </c>
      <c r="O249" s="299">
        <f t="shared" si="63"/>
        <v>0</v>
      </c>
      <c r="P249" s="299">
        <f t="shared" si="59"/>
        <v>0</v>
      </c>
      <c r="Q249" s="299">
        <f t="shared" si="53"/>
        <v>0</v>
      </c>
      <c r="R249" s="302">
        <f t="shared" si="54"/>
        <v>0</v>
      </c>
      <c r="S249" s="302">
        <f t="shared" si="55"/>
        <v>0</v>
      </c>
      <c r="T249" s="299">
        <f t="shared" si="56"/>
        <v>0</v>
      </c>
      <c r="U249" s="299">
        <f t="shared" si="60"/>
        <v>0</v>
      </c>
      <c r="V249" s="304"/>
      <c r="W249" s="505"/>
      <c r="X249" s="505"/>
      <c r="Y249" s="298">
        <f t="shared" si="62"/>
        <v>0.1</v>
      </c>
      <c r="Z249" s="309"/>
      <c r="AA249" s="306"/>
      <c r="AB249" s="307"/>
      <c r="AC249" s="297"/>
    </row>
    <row r="250" spans="3:29" x14ac:dyDescent="0.2">
      <c r="C250" s="489"/>
      <c r="D250" s="489"/>
      <c r="E250" s="494"/>
      <c r="F250" s="494">
        <v>236</v>
      </c>
      <c r="G250" s="297">
        <f t="shared" si="49"/>
        <v>2041</v>
      </c>
      <c r="H250" s="297">
        <f t="shared" si="50"/>
        <v>365</v>
      </c>
      <c r="I250" s="488">
        <f t="shared" si="51"/>
        <v>51722</v>
      </c>
      <c r="J250" s="488"/>
      <c r="K250" s="494">
        <f t="shared" si="52"/>
        <v>31</v>
      </c>
      <c r="L250" s="488">
        <f t="shared" si="57"/>
        <v>51744</v>
      </c>
      <c r="M250" s="299">
        <f t="shared" si="61"/>
        <v>0</v>
      </c>
      <c r="N250" s="303">
        <f t="shared" si="58"/>
        <v>0.1</v>
      </c>
      <c r="O250" s="299">
        <f t="shared" si="63"/>
        <v>0</v>
      </c>
      <c r="P250" s="299">
        <f t="shared" si="59"/>
        <v>0</v>
      </c>
      <c r="Q250" s="299">
        <f t="shared" si="53"/>
        <v>0</v>
      </c>
      <c r="R250" s="302">
        <f t="shared" si="54"/>
        <v>0</v>
      </c>
      <c r="S250" s="302">
        <f t="shared" si="55"/>
        <v>0</v>
      </c>
      <c r="T250" s="299">
        <f t="shared" si="56"/>
        <v>0</v>
      </c>
      <c r="U250" s="299">
        <f t="shared" si="60"/>
        <v>0</v>
      </c>
      <c r="V250" s="304"/>
      <c r="W250" s="505"/>
      <c r="X250" s="505"/>
      <c r="Y250" s="298">
        <f t="shared" si="62"/>
        <v>0.1</v>
      </c>
      <c r="Z250" s="309"/>
      <c r="AA250" s="306"/>
      <c r="AB250" s="307"/>
      <c r="AC250" s="297"/>
    </row>
    <row r="251" spans="3:29" x14ac:dyDescent="0.2">
      <c r="C251" s="489"/>
      <c r="D251" s="489"/>
      <c r="E251" s="494"/>
      <c r="F251" s="494">
        <v>237</v>
      </c>
      <c r="G251" s="297">
        <f t="shared" si="49"/>
        <v>2041</v>
      </c>
      <c r="H251" s="297">
        <f t="shared" si="50"/>
        <v>365</v>
      </c>
      <c r="I251" s="488">
        <f t="shared" si="51"/>
        <v>51753</v>
      </c>
      <c r="J251" s="488"/>
      <c r="K251" s="494">
        <f t="shared" si="52"/>
        <v>31</v>
      </c>
      <c r="L251" s="488">
        <f t="shared" si="57"/>
        <v>51774</v>
      </c>
      <c r="M251" s="299">
        <f t="shared" si="61"/>
        <v>0</v>
      </c>
      <c r="N251" s="303">
        <f t="shared" si="58"/>
        <v>0.1</v>
      </c>
      <c r="O251" s="299">
        <f t="shared" si="63"/>
        <v>0</v>
      </c>
      <c r="P251" s="299">
        <f t="shared" si="59"/>
        <v>0</v>
      </c>
      <c r="Q251" s="299">
        <f t="shared" si="53"/>
        <v>0</v>
      </c>
      <c r="R251" s="302">
        <f t="shared" si="54"/>
        <v>0</v>
      </c>
      <c r="S251" s="302">
        <f t="shared" si="55"/>
        <v>0</v>
      </c>
      <c r="T251" s="299">
        <f t="shared" si="56"/>
        <v>0</v>
      </c>
      <c r="U251" s="299">
        <f t="shared" si="60"/>
        <v>0</v>
      </c>
      <c r="V251" s="304"/>
      <c r="W251" s="505"/>
      <c r="X251" s="505"/>
      <c r="Y251" s="298">
        <f t="shared" si="62"/>
        <v>0.1</v>
      </c>
      <c r="Z251" s="309"/>
      <c r="AA251" s="306"/>
      <c r="AB251" s="307"/>
      <c r="AC251" s="297"/>
    </row>
    <row r="252" spans="3:29" x14ac:dyDescent="0.2">
      <c r="C252" s="489"/>
      <c r="D252" s="489"/>
      <c r="E252" s="494"/>
      <c r="F252" s="494">
        <v>238</v>
      </c>
      <c r="G252" s="297">
        <f t="shared" si="49"/>
        <v>2041</v>
      </c>
      <c r="H252" s="297">
        <f t="shared" si="50"/>
        <v>365</v>
      </c>
      <c r="I252" s="488">
        <f t="shared" si="51"/>
        <v>51783</v>
      </c>
      <c r="J252" s="488"/>
      <c r="K252" s="494">
        <f t="shared" si="52"/>
        <v>30</v>
      </c>
      <c r="L252" s="488">
        <f t="shared" si="57"/>
        <v>51805</v>
      </c>
      <c r="M252" s="299">
        <f t="shared" si="61"/>
        <v>0</v>
      </c>
      <c r="N252" s="303">
        <f t="shared" si="58"/>
        <v>0.1</v>
      </c>
      <c r="O252" s="299">
        <f t="shared" si="63"/>
        <v>0</v>
      </c>
      <c r="P252" s="299">
        <f t="shared" si="59"/>
        <v>0</v>
      </c>
      <c r="Q252" s="299">
        <f t="shared" si="53"/>
        <v>0</v>
      </c>
      <c r="R252" s="302">
        <f t="shared" si="54"/>
        <v>0</v>
      </c>
      <c r="S252" s="302">
        <f t="shared" si="55"/>
        <v>0</v>
      </c>
      <c r="T252" s="299">
        <f t="shared" si="56"/>
        <v>0</v>
      </c>
      <c r="U252" s="299">
        <f t="shared" si="60"/>
        <v>0</v>
      </c>
      <c r="V252" s="304"/>
      <c r="W252" s="505"/>
      <c r="X252" s="505"/>
      <c r="Y252" s="298">
        <f t="shared" si="62"/>
        <v>0.1</v>
      </c>
      <c r="Z252" s="309"/>
      <c r="AA252" s="306"/>
      <c r="AB252" s="307"/>
      <c r="AC252" s="297"/>
    </row>
    <row r="253" spans="3:29" x14ac:dyDescent="0.2">
      <c r="C253" s="489"/>
      <c r="D253" s="489"/>
      <c r="E253" s="494"/>
      <c r="F253" s="494">
        <v>239</v>
      </c>
      <c r="G253" s="297">
        <f t="shared" si="49"/>
        <v>2041</v>
      </c>
      <c r="H253" s="297">
        <f t="shared" si="50"/>
        <v>365</v>
      </c>
      <c r="I253" s="488">
        <f t="shared" si="51"/>
        <v>51814</v>
      </c>
      <c r="J253" s="488"/>
      <c r="K253" s="494">
        <f t="shared" si="52"/>
        <v>31</v>
      </c>
      <c r="L253" s="488">
        <f t="shared" si="57"/>
        <v>51835</v>
      </c>
      <c r="M253" s="299">
        <f t="shared" si="61"/>
        <v>0</v>
      </c>
      <c r="N253" s="303">
        <f t="shared" si="58"/>
        <v>0.1</v>
      </c>
      <c r="O253" s="299">
        <f t="shared" si="63"/>
        <v>0</v>
      </c>
      <c r="P253" s="299">
        <f t="shared" si="59"/>
        <v>0</v>
      </c>
      <c r="Q253" s="299">
        <f t="shared" si="53"/>
        <v>0</v>
      </c>
      <c r="R253" s="302">
        <f t="shared" si="54"/>
        <v>0</v>
      </c>
      <c r="S253" s="302">
        <f t="shared" si="55"/>
        <v>0</v>
      </c>
      <c r="T253" s="299">
        <f t="shared" si="56"/>
        <v>0</v>
      </c>
      <c r="U253" s="299">
        <f t="shared" si="60"/>
        <v>0</v>
      </c>
      <c r="V253" s="304"/>
      <c r="W253" s="505"/>
      <c r="X253" s="505"/>
      <c r="Y253" s="298">
        <f t="shared" si="62"/>
        <v>0.1</v>
      </c>
      <c r="Z253" s="309"/>
      <c r="AA253" s="306"/>
      <c r="AB253" s="307"/>
      <c r="AC253" s="297"/>
    </row>
    <row r="254" spans="3:29" x14ac:dyDescent="0.2">
      <c r="C254" s="489"/>
      <c r="D254" s="489"/>
      <c r="E254" s="494"/>
      <c r="F254" s="494">
        <v>240</v>
      </c>
      <c r="G254" s="297">
        <f t="shared" si="49"/>
        <v>2041</v>
      </c>
      <c r="H254" s="297">
        <f t="shared" si="50"/>
        <v>365</v>
      </c>
      <c r="I254" s="488">
        <f t="shared" si="51"/>
        <v>51844</v>
      </c>
      <c r="J254" s="488"/>
      <c r="K254" s="494">
        <f t="shared" si="52"/>
        <v>30</v>
      </c>
      <c r="L254" s="488">
        <f t="shared" si="57"/>
        <v>51866</v>
      </c>
      <c r="M254" s="299">
        <f t="shared" si="61"/>
        <v>0</v>
      </c>
      <c r="N254" s="303">
        <f t="shared" si="58"/>
        <v>0.1</v>
      </c>
      <c r="O254" s="299">
        <f t="shared" si="63"/>
        <v>0</v>
      </c>
      <c r="P254" s="299">
        <f t="shared" si="59"/>
        <v>0</v>
      </c>
      <c r="Q254" s="299">
        <f t="shared" si="53"/>
        <v>0</v>
      </c>
      <c r="R254" s="302">
        <f t="shared" si="54"/>
        <v>0</v>
      </c>
      <c r="S254" s="302">
        <f t="shared" si="55"/>
        <v>0</v>
      </c>
      <c r="T254" s="299">
        <f t="shared" si="56"/>
        <v>0</v>
      </c>
      <c r="U254" s="299">
        <f t="shared" si="60"/>
        <v>0</v>
      </c>
      <c r="V254" s="304"/>
      <c r="W254" s="505"/>
      <c r="X254" s="505"/>
      <c r="Y254" s="298">
        <f t="shared" si="62"/>
        <v>0.1</v>
      </c>
      <c r="Z254" s="309"/>
      <c r="AA254" s="306"/>
      <c r="AB254" s="307"/>
      <c r="AC254" s="297"/>
    </row>
    <row r="255" spans="3:29" x14ac:dyDescent="0.2">
      <c r="C255" s="489"/>
      <c r="D255" s="489"/>
      <c r="E255" s="494">
        <f>E243+1</f>
        <v>45</v>
      </c>
      <c r="F255" s="494">
        <v>241</v>
      </c>
      <c r="G255" s="297">
        <f t="shared" si="49"/>
        <v>2042</v>
      </c>
      <c r="H255" s="297">
        <f t="shared" si="50"/>
        <v>365</v>
      </c>
      <c r="I255" s="488">
        <f t="shared" si="51"/>
        <v>51875</v>
      </c>
      <c r="J255" s="488"/>
      <c r="K255" s="494">
        <f t="shared" si="52"/>
        <v>31</v>
      </c>
      <c r="L255" s="488">
        <f t="shared" si="57"/>
        <v>51897</v>
      </c>
      <c r="M255" s="299">
        <f t="shared" si="61"/>
        <v>0</v>
      </c>
      <c r="N255" s="303">
        <f t="shared" si="58"/>
        <v>0.1</v>
      </c>
      <c r="O255" s="299">
        <f t="shared" si="63"/>
        <v>0</v>
      </c>
      <c r="P255" s="299">
        <f t="shared" si="59"/>
        <v>0</v>
      </c>
      <c r="Q255" s="299">
        <f t="shared" si="53"/>
        <v>0</v>
      </c>
      <c r="R255" s="302">
        <f t="shared" si="54"/>
        <v>0</v>
      </c>
      <c r="S255" s="302">
        <f t="shared" si="55"/>
        <v>0</v>
      </c>
      <c r="T255" s="299">
        <f t="shared" si="56"/>
        <v>0</v>
      </c>
      <c r="U255" s="299">
        <f t="shared" si="60"/>
        <v>0</v>
      </c>
      <c r="V255" s="304">
        <f>IF(U255=0,0,((U255*10%+U255)*(W255+X255)))</f>
        <v>0</v>
      </c>
      <c r="W255" s="505">
        <f>INDEX('Тарифы СК'!$B$4:$C$53,MATCH($E$255,'Тарифы СК'!$A$4:$A$53,0),MATCH($AB$3,'Тарифы СК'!$B$3:$C$3,0))</f>
        <v>6.1799999999999997E-3</v>
      </c>
      <c r="X255" s="505">
        <f>'Тарифы СК'!$D$3</f>
        <v>1.1999999999999999E-3</v>
      </c>
      <c r="Y255" s="298">
        <f t="shared" si="62"/>
        <v>0.1</v>
      </c>
      <c r="Z255" s="309"/>
      <c r="AA255" s="306"/>
      <c r="AB255" s="307"/>
      <c r="AC255" s="297"/>
    </row>
    <row r="256" spans="3:29" x14ac:dyDescent="0.2">
      <c r="C256" s="489"/>
      <c r="D256" s="489"/>
      <c r="E256" s="494"/>
      <c r="F256" s="494">
        <v>242</v>
      </c>
      <c r="G256" s="297">
        <f t="shared" si="49"/>
        <v>2042</v>
      </c>
      <c r="H256" s="297">
        <f t="shared" si="50"/>
        <v>365</v>
      </c>
      <c r="I256" s="488">
        <f t="shared" si="51"/>
        <v>51906</v>
      </c>
      <c r="J256" s="488"/>
      <c r="K256" s="494">
        <f t="shared" si="52"/>
        <v>31</v>
      </c>
      <c r="L256" s="488">
        <f t="shared" si="57"/>
        <v>51925</v>
      </c>
      <c r="M256" s="299">
        <f t="shared" si="61"/>
        <v>0</v>
      </c>
      <c r="N256" s="303">
        <f t="shared" si="58"/>
        <v>0.1</v>
      </c>
      <c r="O256" s="299">
        <f t="shared" si="63"/>
        <v>0</v>
      </c>
      <c r="P256" s="299">
        <f t="shared" si="59"/>
        <v>0</v>
      </c>
      <c r="Q256" s="299">
        <f t="shared" si="53"/>
        <v>0</v>
      </c>
      <c r="R256" s="302">
        <f t="shared" si="54"/>
        <v>0</v>
      </c>
      <c r="S256" s="302">
        <f t="shared" si="55"/>
        <v>0</v>
      </c>
      <c r="T256" s="299">
        <f t="shared" si="56"/>
        <v>0</v>
      </c>
      <c r="U256" s="299">
        <f t="shared" si="60"/>
        <v>0</v>
      </c>
      <c r="V256" s="304"/>
      <c r="W256" s="505"/>
      <c r="X256" s="505"/>
      <c r="Y256" s="298">
        <f t="shared" si="62"/>
        <v>0.1</v>
      </c>
      <c r="Z256" s="309"/>
      <c r="AA256" s="306"/>
      <c r="AB256" s="307"/>
      <c r="AC256" s="297"/>
    </row>
    <row r="257" spans="3:29" x14ac:dyDescent="0.2">
      <c r="C257" s="489"/>
      <c r="D257" s="489"/>
      <c r="E257" s="494"/>
      <c r="F257" s="494">
        <v>243</v>
      </c>
      <c r="G257" s="297">
        <f t="shared" si="49"/>
        <v>2042</v>
      </c>
      <c r="H257" s="297">
        <f t="shared" si="50"/>
        <v>365</v>
      </c>
      <c r="I257" s="488">
        <f t="shared" si="51"/>
        <v>51934</v>
      </c>
      <c r="J257" s="488"/>
      <c r="K257" s="494">
        <f t="shared" si="52"/>
        <v>28</v>
      </c>
      <c r="L257" s="488">
        <f t="shared" si="57"/>
        <v>51956</v>
      </c>
      <c r="M257" s="299">
        <f t="shared" si="61"/>
        <v>0</v>
      </c>
      <c r="N257" s="303">
        <f t="shared" si="58"/>
        <v>0.1</v>
      </c>
      <c r="O257" s="299">
        <f t="shared" si="63"/>
        <v>0</v>
      </c>
      <c r="P257" s="299">
        <f t="shared" si="59"/>
        <v>0</v>
      </c>
      <c r="Q257" s="299">
        <f t="shared" si="53"/>
        <v>0</v>
      </c>
      <c r="R257" s="302">
        <f t="shared" si="54"/>
        <v>0</v>
      </c>
      <c r="S257" s="302">
        <f t="shared" si="55"/>
        <v>0</v>
      </c>
      <c r="T257" s="299">
        <f t="shared" si="56"/>
        <v>0</v>
      </c>
      <c r="U257" s="299">
        <f t="shared" si="60"/>
        <v>0</v>
      </c>
      <c r="V257" s="304"/>
      <c r="W257" s="505"/>
      <c r="X257" s="505"/>
      <c r="Y257" s="298">
        <f t="shared" si="62"/>
        <v>0.1</v>
      </c>
      <c r="Z257" s="309"/>
      <c r="AA257" s="306"/>
      <c r="AB257" s="307"/>
      <c r="AC257" s="297"/>
    </row>
    <row r="258" spans="3:29" x14ac:dyDescent="0.2">
      <c r="C258" s="489"/>
      <c r="D258" s="489"/>
      <c r="E258" s="494"/>
      <c r="F258" s="494">
        <v>244</v>
      </c>
      <c r="G258" s="297">
        <f t="shared" si="49"/>
        <v>2042</v>
      </c>
      <c r="H258" s="297">
        <f t="shared" si="50"/>
        <v>365</v>
      </c>
      <c r="I258" s="488">
        <f t="shared" si="51"/>
        <v>51965</v>
      </c>
      <c r="J258" s="488"/>
      <c r="K258" s="494">
        <f t="shared" si="52"/>
        <v>31</v>
      </c>
      <c r="L258" s="488">
        <f t="shared" si="57"/>
        <v>51986</v>
      </c>
      <c r="M258" s="299">
        <f t="shared" si="61"/>
        <v>0</v>
      </c>
      <c r="N258" s="303">
        <f t="shared" si="58"/>
        <v>0.1</v>
      </c>
      <c r="O258" s="299">
        <f t="shared" si="63"/>
        <v>0</v>
      </c>
      <c r="P258" s="299">
        <f t="shared" si="59"/>
        <v>0</v>
      </c>
      <c r="Q258" s="299">
        <f t="shared" si="53"/>
        <v>0</v>
      </c>
      <c r="R258" s="302">
        <f t="shared" si="54"/>
        <v>0</v>
      </c>
      <c r="S258" s="302">
        <f t="shared" si="55"/>
        <v>0</v>
      </c>
      <c r="T258" s="299">
        <f t="shared" si="56"/>
        <v>0</v>
      </c>
      <c r="U258" s="299">
        <f t="shared" si="60"/>
        <v>0</v>
      </c>
      <c r="V258" s="304"/>
      <c r="W258" s="505"/>
      <c r="X258" s="505"/>
      <c r="Y258" s="298">
        <f t="shared" si="62"/>
        <v>0.1</v>
      </c>
      <c r="Z258" s="309"/>
      <c r="AA258" s="306"/>
      <c r="AB258" s="307"/>
      <c r="AC258" s="297"/>
    </row>
    <row r="259" spans="3:29" x14ac:dyDescent="0.2">
      <c r="C259" s="489"/>
      <c r="D259" s="489"/>
      <c r="E259" s="494"/>
      <c r="F259" s="494">
        <v>245</v>
      </c>
      <c r="G259" s="297">
        <f t="shared" si="49"/>
        <v>2042</v>
      </c>
      <c r="H259" s="297">
        <f t="shared" si="50"/>
        <v>365</v>
      </c>
      <c r="I259" s="488">
        <f t="shared" si="51"/>
        <v>51995</v>
      </c>
      <c r="J259" s="488"/>
      <c r="K259" s="494">
        <f t="shared" si="52"/>
        <v>30</v>
      </c>
      <c r="L259" s="488">
        <f t="shared" si="57"/>
        <v>52017</v>
      </c>
      <c r="M259" s="299">
        <f t="shared" si="61"/>
        <v>0</v>
      </c>
      <c r="N259" s="303">
        <f t="shared" si="58"/>
        <v>0.1</v>
      </c>
      <c r="O259" s="299">
        <f t="shared" si="63"/>
        <v>0</v>
      </c>
      <c r="P259" s="299">
        <f t="shared" si="59"/>
        <v>0</v>
      </c>
      <c r="Q259" s="299">
        <f t="shared" si="53"/>
        <v>0</v>
      </c>
      <c r="R259" s="302">
        <f t="shared" si="54"/>
        <v>0</v>
      </c>
      <c r="S259" s="302">
        <f t="shared" si="55"/>
        <v>0</v>
      </c>
      <c r="T259" s="299">
        <f t="shared" si="56"/>
        <v>0</v>
      </c>
      <c r="U259" s="299">
        <f t="shared" si="60"/>
        <v>0</v>
      </c>
      <c r="V259" s="304"/>
      <c r="W259" s="505"/>
      <c r="X259" s="505"/>
      <c r="Y259" s="298">
        <f t="shared" si="62"/>
        <v>0.1</v>
      </c>
      <c r="Z259" s="309"/>
      <c r="AA259" s="306"/>
      <c r="AB259" s="307"/>
      <c r="AC259" s="297"/>
    </row>
    <row r="260" spans="3:29" x14ac:dyDescent="0.2">
      <c r="C260" s="489"/>
      <c r="D260" s="489"/>
      <c r="E260" s="494"/>
      <c r="F260" s="494">
        <v>246</v>
      </c>
      <c r="G260" s="297">
        <f t="shared" si="49"/>
        <v>2042</v>
      </c>
      <c r="H260" s="297">
        <f t="shared" si="50"/>
        <v>365</v>
      </c>
      <c r="I260" s="488">
        <f t="shared" si="51"/>
        <v>52026</v>
      </c>
      <c r="J260" s="488"/>
      <c r="K260" s="494">
        <f t="shared" si="52"/>
        <v>31</v>
      </c>
      <c r="L260" s="488">
        <f t="shared" si="57"/>
        <v>52047</v>
      </c>
      <c r="M260" s="299">
        <f t="shared" si="61"/>
        <v>0</v>
      </c>
      <c r="N260" s="303">
        <f t="shared" si="58"/>
        <v>0.1</v>
      </c>
      <c r="O260" s="299">
        <f t="shared" si="63"/>
        <v>0</v>
      </c>
      <c r="P260" s="299">
        <f t="shared" si="59"/>
        <v>0</v>
      </c>
      <c r="Q260" s="299">
        <f t="shared" si="53"/>
        <v>0</v>
      </c>
      <c r="R260" s="302">
        <f t="shared" si="54"/>
        <v>0</v>
      </c>
      <c r="S260" s="302">
        <f t="shared" si="55"/>
        <v>0</v>
      </c>
      <c r="T260" s="299">
        <f t="shared" si="56"/>
        <v>0</v>
      </c>
      <c r="U260" s="299">
        <f t="shared" si="60"/>
        <v>0</v>
      </c>
      <c r="V260" s="304"/>
      <c r="W260" s="505"/>
      <c r="X260" s="505"/>
      <c r="Y260" s="298">
        <f t="shared" si="62"/>
        <v>0.1</v>
      </c>
      <c r="Z260" s="309"/>
      <c r="AA260" s="306"/>
      <c r="AB260" s="307"/>
      <c r="AC260" s="297"/>
    </row>
    <row r="261" spans="3:29" x14ac:dyDescent="0.2">
      <c r="C261" s="489"/>
      <c r="D261" s="489"/>
      <c r="E261" s="494"/>
      <c r="F261" s="494">
        <v>247</v>
      </c>
      <c r="G261" s="297">
        <f t="shared" si="49"/>
        <v>2042</v>
      </c>
      <c r="H261" s="297">
        <f t="shared" si="50"/>
        <v>365</v>
      </c>
      <c r="I261" s="488">
        <f t="shared" si="51"/>
        <v>52056</v>
      </c>
      <c r="J261" s="488"/>
      <c r="K261" s="494">
        <f t="shared" si="52"/>
        <v>30</v>
      </c>
      <c r="L261" s="488">
        <f t="shared" si="57"/>
        <v>52078</v>
      </c>
      <c r="M261" s="299">
        <f t="shared" si="61"/>
        <v>0</v>
      </c>
      <c r="N261" s="303">
        <f t="shared" si="58"/>
        <v>0.1</v>
      </c>
      <c r="O261" s="299">
        <f t="shared" si="63"/>
        <v>0</v>
      </c>
      <c r="P261" s="299">
        <f t="shared" si="59"/>
        <v>0</v>
      </c>
      <c r="Q261" s="299">
        <f t="shared" si="53"/>
        <v>0</v>
      </c>
      <c r="R261" s="302">
        <f t="shared" si="54"/>
        <v>0</v>
      </c>
      <c r="S261" s="302">
        <f t="shared" si="55"/>
        <v>0</v>
      </c>
      <c r="T261" s="299">
        <f t="shared" si="56"/>
        <v>0</v>
      </c>
      <c r="U261" s="299">
        <f t="shared" si="60"/>
        <v>0</v>
      </c>
      <c r="V261" s="304"/>
      <c r="W261" s="505"/>
      <c r="X261" s="505"/>
      <c r="Y261" s="298">
        <f t="shared" si="62"/>
        <v>0.1</v>
      </c>
      <c r="Z261" s="309"/>
      <c r="AA261" s="306"/>
      <c r="AB261" s="307"/>
      <c r="AC261" s="297"/>
    </row>
    <row r="262" spans="3:29" x14ac:dyDescent="0.2">
      <c r="C262" s="489"/>
      <c r="D262" s="489"/>
      <c r="E262" s="494"/>
      <c r="F262" s="494">
        <v>248</v>
      </c>
      <c r="G262" s="297">
        <f t="shared" si="49"/>
        <v>2042</v>
      </c>
      <c r="H262" s="297">
        <f t="shared" si="50"/>
        <v>365</v>
      </c>
      <c r="I262" s="488">
        <f t="shared" si="51"/>
        <v>52087</v>
      </c>
      <c r="J262" s="488"/>
      <c r="K262" s="494">
        <f t="shared" si="52"/>
        <v>31</v>
      </c>
      <c r="L262" s="488">
        <f t="shared" si="57"/>
        <v>52109</v>
      </c>
      <c r="M262" s="299">
        <f t="shared" si="61"/>
        <v>0</v>
      </c>
      <c r="N262" s="303">
        <f t="shared" si="58"/>
        <v>0.1</v>
      </c>
      <c r="O262" s="299">
        <f t="shared" si="63"/>
        <v>0</v>
      </c>
      <c r="P262" s="299">
        <f t="shared" si="59"/>
        <v>0</v>
      </c>
      <c r="Q262" s="299">
        <f t="shared" si="53"/>
        <v>0</v>
      </c>
      <c r="R262" s="302">
        <f t="shared" si="54"/>
        <v>0</v>
      </c>
      <c r="S262" s="302">
        <f t="shared" si="55"/>
        <v>0</v>
      </c>
      <c r="T262" s="299">
        <f t="shared" si="56"/>
        <v>0</v>
      </c>
      <c r="U262" s="299">
        <f t="shared" si="60"/>
        <v>0</v>
      </c>
      <c r="V262" s="304"/>
      <c r="W262" s="505"/>
      <c r="X262" s="505"/>
      <c r="Y262" s="298">
        <f t="shared" si="62"/>
        <v>0.1</v>
      </c>
      <c r="Z262" s="309"/>
      <c r="AA262" s="306"/>
      <c r="AB262" s="307"/>
      <c r="AC262" s="297"/>
    </row>
    <row r="263" spans="3:29" x14ac:dyDescent="0.2">
      <c r="C263" s="489"/>
      <c r="D263" s="489"/>
      <c r="E263" s="494"/>
      <c r="F263" s="494">
        <v>249</v>
      </c>
      <c r="G263" s="297">
        <f t="shared" si="49"/>
        <v>2042</v>
      </c>
      <c r="H263" s="297">
        <f t="shared" si="50"/>
        <v>365</v>
      </c>
      <c r="I263" s="488">
        <f t="shared" si="51"/>
        <v>52118</v>
      </c>
      <c r="J263" s="488"/>
      <c r="K263" s="494">
        <f t="shared" si="52"/>
        <v>31</v>
      </c>
      <c r="L263" s="488">
        <f t="shared" si="57"/>
        <v>52139</v>
      </c>
      <c r="M263" s="299">
        <f t="shared" si="61"/>
        <v>0</v>
      </c>
      <c r="N263" s="303">
        <f t="shared" si="58"/>
        <v>0.1</v>
      </c>
      <c r="O263" s="299">
        <f t="shared" si="63"/>
        <v>0</v>
      </c>
      <c r="P263" s="299">
        <f t="shared" si="59"/>
        <v>0</v>
      </c>
      <c r="Q263" s="299">
        <f t="shared" si="53"/>
        <v>0</v>
      </c>
      <c r="R263" s="302">
        <f t="shared" si="54"/>
        <v>0</v>
      </c>
      <c r="S263" s="302">
        <f t="shared" si="55"/>
        <v>0</v>
      </c>
      <c r="T263" s="299">
        <f t="shared" si="56"/>
        <v>0</v>
      </c>
      <c r="U263" s="299">
        <f t="shared" si="60"/>
        <v>0</v>
      </c>
      <c r="V263" s="304"/>
      <c r="W263" s="505"/>
      <c r="X263" s="505"/>
      <c r="Y263" s="298">
        <f t="shared" si="62"/>
        <v>0.1</v>
      </c>
      <c r="Z263" s="309"/>
      <c r="AA263" s="306"/>
      <c r="AB263" s="307"/>
      <c r="AC263" s="297"/>
    </row>
    <row r="264" spans="3:29" x14ac:dyDescent="0.2">
      <c r="C264" s="489"/>
      <c r="D264" s="489"/>
      <c r="E264" s="494"/>
      <c r="F264" s="494">
        <v>250</v>
      </c>
      <c r="G264" s="297">
        <f t="shared" si="49"/>
        <v>2042</v>
      </c>
      <c r="H264" s="297">
        <f t="shared" si="50"/>
        <v>365</v>
      </c>
      <c r="I264" s="488">
        <f t="shared" si="51"/>
        <v>52148</v>
      </c>
      <c r="J264" s="488"/>
      <c r="K264" s="494">
        <f t="shared" si="52"/>
        <v>30</v>
      </c>
      <c r="L264" s="488">
        <f t="shared" si="57"/>
        <v>52170</v>
      </c>
      <c r="M264" s="299">
        <f t="shared" si="61"/>
        <v>0</v>
      </c>
      <c r="N264" s="303">
        <f t="shared" si="58"/>
        <v>0.1</v>
      </c>
      <c r="O264" s="299">
        <f t="shared" si="63"/>
        <v>0</v>
      </c>
      <c r="P264" s="299">
        <f t="shared" si="59"/>
        <v>0</v>
      </c>
      <c r="Q264" s="299">
        <f t="shared" si="53"/>
        <v>0</v>
      </c>
      <c r="R264" s="302">
        <f t="shared" si="54"/>
        <v>0</v>
      </c>
      <c r="S264" s="302">
        <f t="shared" si="55"/>
        <v>0</v>
      </c>
      <c r="T264" s="299">
        <f t="shared" si="56"/>
        <v>0</v>
      </c>
      <c r="U264" s="299">
        <f t="shared" si="60"/>
        <v>0</v>
      </c>
      <c r="V264" s="304"/>
      <c r="W264" s="505"/>
      <c r="X264" s="505"/>
      <c r="Y264" s="298">
        <f t="shared" si="62"/>
        <v>0.1</v>
      </c>
      <c r="Z264" s="309"/>
      <c r="AA264" s="306"/>
      <c r="AB264" s="307"/>
      <c r="AC264" s="297"/>
    </row>
    <row r="265" spans="3:29" x14ac:dyDescent="0.2">
      <c r="C265" s="489"/>
      <c r="D265" s="489"/>
      <c r="E265" s="494"/>
      <c r="F265" s="494">
        <v>251</v>
      </c>
      <c r="G265" s="297">
        <f t="shared" si="49"/>
        <v>2042</v>
      </c>
      <c r="H265" s="297">
        <f t="shared" si="50"/>
        <v>365</v>
      </c>
      <c r="I265" s="488">
        <f t="shared" si="51"/>
        <v>52179</v>
      </c>
      <c r="J265" s="488"/>
      <c r="K265" s="494">
        <f t="shared" si="52"/>
        <v>31</v>
      </c>
      <c r="L265" s="488">
        <f t="shared" si="57"/>
        <v>52200</v>
      </c>
      <c r="M265" s="299">
        <f t="shared" si="61"/>
        <v>0</v>
      </c>
      <c r="N265" s="303">
        <f t="shared" si="58"/>
        <v>0.1</v>
      </c>
      <c r="O265" s="299">
        <f t="shared" si="63"/>
        <v>0</v>
      </c>
      <c r="P265" s="299">
        <f t="shared" si="59"/>
        <v>0</v>
      </c>
      <c r="Q265" s="299">
        <f t="shared" si="53"/>
        <v>0</v>
      </c>
      <c r="R265" s="302">
        <f t="shared" si="54"/>
        <v>0</v>
      </c>
      <c r="S265" s="302">
        <f t="shared" si="55"/>
        <v>0</v>
      </c>
      <c r="T265" s="299">
        <f t="shared" si="56"/>
        <v>0</v>
      </c>
      <c r="U265" s="299">
        <f t="shared" si="60"/>
        <v>0</v>
      </c>
      <c r="V265" s="304"/>
      <c r="W265" s="505"/>
      <c r="X265" s="505"/>
      <c r="Y265" s="298">
        <f t="shared" si="62"/>
        <v>0.1</v>
      </c>
      <c r="Z265" s="309"/>
      <c r="AA265" s="306"/>
      <c r="AB265" s="307"/>
      <c r="AC265" s="297"/>
    </row>
    <row r="266" spans="3:29" x14ac:dyDescent="0.2">
      <c r="C266" s="489"/>
      <c r="D266" s="489"/>
      <c r="E266" s="494"/>
      <c r="F266" s="494">
        <v>252</v>
      </c>
      <c r="G266" s="297">
        <f t="shared" si="49"/>
        <v>2042</v>
      </c>
      <c r="H266" s="297">
        <f t="shared" si="50"/>
        <v>365</v>
      </c>
      <c r="I266" s="488">
        <f t="shared" si="51"/>
        <v>52209</v>
      </c>
      <c r="J266" s="488"/>
      <c r="K266" s="494">
        <f t="shared" si="52"/>
        <v>30</v>
      </c>
      <c r="L266" s="488">
        <f t="shared" si="57"/>
        <v>52231</v>
      </c>
      <c r="M266" s="299">
        <f t="shared" si="61"/>
        <v>0</v>
      </c>
      <c r="N266" s="303">
        <f t="shared" si="58"/>
        <v>0.1</v>
      </c>
      <c r="O266" s="299">
        <f t="shared" si="63"/>
        <v>0</v>
      </c>
      <c r="P266" s="299">
        <f t="shared" si="59"/>
        <v>0</v>
      </c>
      <c r="Q266" s="299">
        <f t="shared" si="53"/>
        <v>0</v>
      </c>
      <c r="R266" s="302">
        <f t="shared" si="54"/>
        <v>0</v>
      </c>
      <c r="S266" s="302">
        <f t="shared" si="55"/>
        <v>0</v>
      </c>
      <c r="T266" s="299">
        <f t="shared" si="56"/>
        <v>0</v>
      </c>
      <c r="U266" s="299">
        <f t="shared" si="60"/>
        <v>0</v>
      </c>
      <c r="V266" s="304"/>
      <c r="W266" s="505"/>
      <c r="X266" s="505"/>
      <c r="Y266" s="298">
        <f t="shared" si="62"/>
        <v>0.1</v>
      </c>
      <c r="Z266" s="309"/>
      <c r="AA266" s="306"/>
      <c r="AB266" s="307"/>
      <c r="AC266" s="297"/>
    </row>
    <row r="267" spans="3:29" x14ac:dyDescent="0.2">
      <c r="C267" s="489"/>
      <c r="D267" s="489"/>
      <c r="E267" s="494">
        <f>E255+1</f>
        <v>46</v>
      </c>
      <c r="F267" s="494">
        <v>253</v>
      </c>
      <c r="G267" s="297">
        <f t="shared" si="49"/>
        <v>2043</v>
      </c>
      <c r="H267" s="297">
        <f t="shared" si="50"/>
        <v>365</v>
      </c>
      <c r="I267" s="488">
        <f t="shared" si="51"/>
        <v>52240</v>
      </c>
      <c r="J267" s="488"/>
      <c r="K267" s="494">
        <f t="shared" si="52"/>
        <v>31</v>
      </c>
      <c r="L267" s="488">
        <f t="shared" si="57"/>
        <v>52262</v>
      </c>
      <c r="M267" s="299">
        <f t="shared" si="61"/>
        <v>0</v>
      </c>
      <c r="N267" s="303">
        <f t="shared" si="58"/>
        <v>0.1</v>
      </c>
      <c r="O267" s="299">
        <f t="shared" si="63"/>
        <v>0</v>
      </c>
      <c r="P267" s="299">
        <f t="shared" si="59"/>
        <v>0</v>
      </c>
      <c r="Q267" s="299">
        <f t="shared" si="53"/>
        <v>0</v>
      </c>
      <c r="R267" s="302">
        <f t="shared" si="54"/>
        <v>0</v>
      </c>
      <c r="S267" s="302">
        <f t="shared" si="55"/>
        <v>0</v>
      </c>
      <c r="T267" s="299">
        <f t="shared" si="56"/>
        <v>0</v>
      </c>
      <c r="U267" s="299">
        <f t="shared" si="60"/>
        <v>0</v>
      </c>
      <c r="V267" s="304">
        <f>IF(U267=0,0,((U267*10%+U267)*(W267+X267)))</f>
        <v>0</v>
      </c>
      <c r="W267" s="505">
        <f>INDEX('Тарифы СК'!$B$4:$C$53,MATCH($E$267,'Тарифы СК'!$A$4:$A$53,0),MATCH($AB$3,'Тарифы СК'!$B$3:$C$3,0))</f>
        <v>6.8500000000000011E-3</v>
      </c>
      <c r="X267" s="505">
        <f>'Тарифы СК'!$D$3</f>
        <v>1.1999999999999999E-3</v>
      </c>
      <c r="Y267" s="298">
        <f t="shared" si="62"/>
        <v>0.1</v>
      </c>
      <c r="Z267" s="309"/>
      <c r="AA267" s="306"/>
      <c r="AB267" s="307"/>
      <c r="AC267" s="297"/>
    </row>
    <row r="268" spans="3:29" x14ac:dyDescent="0.2">
      <c r="C268" s="489"/>
      <c r="D268" s="489"/>
      <c r="E268" s="494"/>
      <c r="F268" s="494">
        <v>254</v>
      </c>
      <c r="G268" s="297">
        <f t="shared" si="49"/>
        <v>2043</v>
      </c>
      <c r="H268" s="297">
        <f t="shared" si="50"/>
        <v>365</v>
      </c>
      <c r="I268" s="488">
        <f t="shared" si="51"/>
        <v>52271</v>
      </c>
      <c r="J268" s="488"/>
      <c r="K268" s="494">
        <f t="shared" si="52"/>
        <v>31</v>
      </c>
      <c r="L268" s="488">
        <f t="shared" si="57"/>
        <v>52290</v>
      </c>
      <c r="M268" s="299">
        <f t="shared" si="61"/>
        <v>0</v>
      </c>
      <c r="N268" s="303">
        <f t="shared" si="58"/>
        <v>0.1</v>
      </c>
      <c r="O268" s="299">
        <f t="shared" si="63"/>
        <v>0</v>
      </c>
      <c r="P268" s="299">
        <f t="shared" si="59"/>
        <v>0</v>
      </c>
      <c r="Q268" s="299">
        <f t="shared" si="53"/>
        <v>0</v>
      </c>
      <c r="R268" s="302">
        <f t="shared" si="54"/>
        <v>0</v>
      </c>
      <c r="S268" s="302">
        <f t="shared" si="55"/>
        <v>0</v>
      </c>
      <c r="T268" s="299">
        <f t="shared" si="56"/>
        <v>0</v>
      </c>
      <c r="U268" s="299">
        <f t="shared" si="60"/>
        <v>0</v>
      </c>
      <c r="V268" s="304"/>
      <c r="W268" s="505"/>
      <c r="X268" s="505"/>
      <c r="Y268" s="298">
        <f t="shared" si="62"/>
        <v>0.1</v>
      </c>
      <c r="Z268" s="309"/>
      <c r="AA268" s="306"/>
      <c r="AB268" s="307"/>
      <c r="AC268" s="297"/>
    </row>
    <row r="269" spans="3:29" x14ac:dyDescent="0.2">
      <c r="C269" s="489"/>
      <c r="D269" s="489"/>
      <c r="E269" s="494"/>
      <c r="F269" s="494">
        <v>255</v>
      </c>
      <c r="G269" s="297">
        <f t="shared" si="49"/>
        <v>2043</v>
      </c>
      <c r="H269" s="297">
        <f t="shared" si="50"/>
        <v>365</v>
      </c>
      <c r="I269" s="488">
        <f t="shared" si="51"/>
        <v>52299</v>
      </c>
      <c r="J269" s="488"/>
      <c r="K269" s="494">
        <f t="shared" si="52"/>
        <v>28</v>
      </c>
      <c r="L269" s="488">
        <f t="shared" si="57"/>
        <v>52321</v>
      </c>
      <c r="M269" s="299">
        <f t="shared" si="61"/>
        <v>0</v>
      </c>
      <c r="N269" s="303">
        <f t="shared" si="58"/>
        <v>0.1</v>
      </c>
      <c r="O269" s="299">
        <f t="shared" si="63"/>
        <v>0</v>
      </c>
      <c r="P269" s="299">
        <f t="shared" si="59"/>
        <v>0</v>
      </c>
      <c r="Q269" s="299">
        <f t="shared" si="53"/>
        <v>0</v>
      </c>
      <c r="R269" s="302">
        <f t="shared" si="54"/>
        <v>0</v>
      </c>
      <c r="S269" s="302">
        <f t="shared" si="55"/>
        <v>0</v>
      </c>
      <c r="T269" s="299">
        <f t="shared" si="56"/>
        <v>0</v>
      </c>
      <c r="U269" s="299">
        <f t="shared" si="60"/>
        <v>0</v>
      </c>
      <c r="V269" s="304"/>
      <c r="W269" s="505"/>
      <c r="X269" s="505"/>
      <c r="Y269" s="298">
        <f t="shared" si="62"/>
        <v>0.1</v>
      </c>
      <c r="Z269" s="309"/>
      <c r="AA269" s="306"/>
      <c r="AB269" s="307"/>
      <c r="AC269" s="297"/>
    </row>
    <row r="270" spans="3:29" x14ac:dyDescent="0.2">
      <c r="C270" s="489"/>
      <c r="D270" s="489"/>
      <c r="E270" s="494"/>
      <c r="F270" s="494">
        <v>256</v>
      </c>
      <c r="G270" s="297">
        <f t="shared" si="49"/>
        <v>2043</v>
      </c>
      <c r="H270" s="297">
        <f t="shared" si="50"/>
        <v>365</v>
      </c>
      <c r="I270" s="488">
        <f t="shared" si="51"/>
        <v>52330</v>
      </c>
      <c r="J270" s="488"/>
      <c r="K270" s="494">
        <f t="shared" si="52"/>
        <v>31</v>
      </c>
      <c r="L270" s="488">
        <f t="shared" si="57"/>
        <v>52351</v>
      </c>
      <c r="M270" s="299">
        <f t="shared" si="61"/>
        <v>0</v>
      </c>
      <c r="N270" s="303">
        <f t="shared" si="58"/>
        <v>0.1</v>
      </c>
      <c r="O270" s="299">
        <f t="shared" si="63"/>
        <v>0</v>
      </c>
      <c r="P270" s="299">
        <f t="shared" si="59"/>
        <v>0</v>
      </c>
      <c r="Q270" s="299">
        <f t="shared" si="53"/>
        <v>0</v>
      </c>
      <c r="R270" s="302">
        <f t="shared" si="54"/>
        <v>0</v>
      </c>
      <c r="S270" s="302">
        <f t="shared" si="55"/>
        <v>0</v>
      </c>
      <c r="T270" s="299">
        <f t="shared" si="56"/>
        <v>0</v>
      </c>
      <c r="U270" s="299">
        <f t="shared" si="60"/>
        <v>0</v>
      </c>
      <c r="V270" s="304"/>
      <c r="W270" s="505"/>
      <c r="X270" s="505"/>
      <c r="Y270" s="298">
        <f t="shared" si="62"/>
        <v>0.1</v>
      </c>
      <c r="Z270" s="309"/>
      <c r="AA270" s="306"/>
      <c r="AB270" s="307"/>
      <c r="AC270" s="297"/>
    </row>
    <row r="271" spans="3:29" x14ac:dyDescent="0.2">
      <c r="C271" s="489"/>
      <c r="D271" s="489"/>
      <c r="E271" s="494"/>
      <c r="F271" s="494">
        <v>257</v>
      </c>
      <c r="G271" s="297">
        <f t="shared" si="49"/>
        <v>2043</v>
      </c>
      <c r="H271" s="297">
        <f t="shared" si="50"/>
        <v>365</v>
      </c>
      <c r="I271" s="488">
        <f t="shared" si="51"/>
        <v>52360</v>
      </c>
      <c r="J271" s="488"/>
      <c r="K271" s="494">
        <f t="shared" si="52"/>
        <v>30</v>
      </c>
      <c r="L271" s="488">
        <f t="shared" si="57"/>
        <v>52382</v>
      </c>
      <c r="M271" s="299">
        <f t="shared" si="61"/>
        <v>0</v>
      </c>
      <c r="N271" s="303">
        <f t="shared" si="58"/>
        <v>0.1</v>
      </c>
      <c r="O271" s="299">
        <f t="shared" si="63"/>
        <v>0</v>
      </c>
      <c r="P271" s="299">
        <f t="shared" si="59"/>
        <v>0</v>
      </c>
      <c r="Q271" s="299">
        <f t="shared" si="53"/>
        <v>0</v>
      </c>
      <c r="R271" s="302">
        <f t="shared" si="54"/>
        <v>0</v>
      </c>
      <c r="S271" s="302">
        <f t="shared" si="55"/>
        <v>0</v>
      </c>
      <c r="T271" s="299">
        <f t="shared" si="56"/>
        <v>0</v>
      </c>
      <c r="U271" s="299">
        <f t="shared" si="60"/>
        <v>0</v>
      </c>
      <c r="V271" s="304"/>
      <c r="W271" s="505"/>
      <c r="X271" s="505"/>
      <c r="Y271" s="298">
        <f t="shared" si="62"/>
        <v>0.1</v>
      </c>
      <c r="Z271" s="309"/>
      <c r="AA271" s="306"/>
      <c r="AB271" s="307"/>
      <c r="AC271" s="297"/>
    </row>
    <row r="272" spans="3:29" x14ac:dyDescent="0.2">
      <c r="C272" s="489"/>
      <c r="D272" s="489"/>
      <c r="E272" s="494"/>
      <c r="F272" s="494">
        <v>258</v>
      </c>
      <c r="G272" s="297">
        <f t="shared" ref="G272:G335" si="64">YEAR(I272)</f>
        <v>2043</v>
      </c>
      <c r="H272" s="297">
        <f t="shared" ref="H272:H335" si="65">IF(MOD(G272,4),365,366)</f>
        <v>365</v>
      </c>
      <c r="I272" s="488">
        <f t="shared" ref="I272:I335" si="66">DATE(YEAR(L272),MONTH(L272),1)+$C$14</f>
        <v>52391</v>
      </c>
      <c r="J272" s="488"/>
      <c r="K272" s="494">
        <f t="shared" ref="K272:K335" si="67">I272-I271</f>
        <v>31</v>
      </c>
      <c r="L272" s="488">
        <f t="shared" si="57"/>
        <v>52412</v>
      </c>
      <c r="M272" s="299">
        <f t="shared" si="61"/>
        <v>0</v>
      </c>
      <c r="N272" s="303">
        <f t="shared" si="58"/>
        <v>0.1</v>
      </c>
      <c r="O272" s="299">
        <f t="shared" si="63"/>
        <v>0</v>
      </c>
      <c r="P272" s="299">
        <f t="shared" si="59"/>
        <v>0</v>
      </c>
      <c r="Q272" s="299">
        <f t="shared" ref="Q272:Q335" si="68">IFERROR(IF(M272&lt;0.001,0,PMT(N272/12,$U$10,-$U$4)),0)</f>
        <v>0</v>
      </c>
      <c r="R272" s="302">
        <f t="shared" ref="R272:R335" si="69">Q272+V272</f>
        <v>0</v>
      </c>
      <c r="S272" s="302">
        <f t="shared" ref="S272:S335" si="70">O272</f>
        <v>0</v>
      </c>
      <c r="T272" s="299">
        <f t="shared" ref="T272:T335" si="71">MIN(P272-S272+AA272,M272)</f>
        <v>0</v>
      </c>
      <c r="U272" s="299">
        <f t="shared" si="60"/>
        <v>0</v>
      </c>
      <c r="V272" s="304"/>
      <c r="W272" s="505"/>
      <c r="X272" s="505"/>
      <c r="Y272" s="298">
        <f t="shared" si="62"/>
        <v>0.1</v>
      </c>
      <c r="Z272" s="309"/>
      <c r="AA272" s="306"/>
      <c r="AB272" s="307"/>
      <c r="AC272" s="297"/>
    </row>
    <row r="273" spans="3:29" x14ac:dyDescent="0.2">
      <c r="C273" s="489"/>
      <c r="D273" s="489"/>
      <c r="E273" s="494"/>
      <c r="F273" s="494">
        <v>259</v>
      </c>
      <c r="G273" s="297">
        <f t="shared" si="64"/>
        <v>2043</v>
      </c>
      <c r="H273" s="297">
        <f t="shared" si="65"/>
        <v>365</v>
      </c>
      <c r="I273" s="488">
        <f t="shared" si="66"/>
        <v>52421</v>
      </c>
      <c r="J273" s="488"/>
      <c r="K273" s="494">
        <f t="shared" si="67"/>
        <v>30</v>
      </c>
      <c r="L273" s="488">
        <f t="shared" ref="L273:L336" si="72">EOMONTH($U$2,F273-1)</f>
        <v>52443</v>
      </c>
      <c r="M273" s="299">
        <f t="shared" si="61"/>
        <v>0</v>
      </c>
      <c r="N273" s="303">
        <f t="shared" ref="N273:N336" si="73">Y273</f>
        <v>0.1</v>
      </c>
      <c r="O273" s="299">
        <f t="shared" si="63"/>
        <v>0</v>
      </c>
      <c r="P273" s="299">
        <f t="shared" ref="P273:P336" si="74">IF(M273&lt;INT(Q273),M273+S273,INT(Q273))</f>
        <v>0</v>
      </c>
      <c r="Q273" s="299">
        <f t="shared" si="68"/>
        <v>0</v>
      </c>
      <c r="R273" s="302">
        <f t="shared" si="69"/>
        <v>0</v>
      </c>
      <c r="S273" s="302">
        <f t="shared" si="70"/>
        <v>0</v>
      </c>
      <c r="T273" s="299">
        <f t="shared" si="71"/>
        <v>0</v>
      </c>
      <c r="U273" s="299">
        <f t="shared" ref="U273:U336" si="75">ROUND(M273-T273,4)</f>
        <v>0</v>
      </c>
      <c r="V273" s="304"/>
      <c r="W273" s="505"/>
      <c r="X273" s="505"/>
      <c r="Y273" s="298">
        <f t="shared" si="62"/>
        <v>0.1</v>
      </c>
      <c r="Z273" s="309"/>
      <c r="AA273" s="306"/>
      <c r="AB273" s="307"/>
      <c r="AC273" s="297"/>
    </row>
    <row r="274" spans="3:29" x14ac:dyDescent="0.2">
      <c r="C274" s="489"/>
      <c r="D274" s="489"/>
      <c r="E274" s="494"/>
      <c r="F274" s="494">
        <v>260</v>
      </c>
      <c r="G274" s="297">
        <f t="shared" si="64"/>
        <v>2043</v>
      </c>
      <c r="H274" s="297">
        <f t="shared" si="65"/>
        <v>365</v>
      </c>
      <c r="I274" s="488">
        <f t="shared" si="66"/>
        <v>52452</v>
      </c>
      <c r="J274" s="488"/>
      <c r="K274" s="494">
        <f t="shared" si="67"/>
        <v>31</v>
      </c>
      <c r="L274" s="488">
        <f t="shared" si="72"/>
        <v>52474</v>
      </c>
      <c r="M274" s="299">
        <f t="shared" ref="M274:M337" si="76">U273</f>
        <v>0</v>
      </c>
      <c r="N274" s="303">
        <f t="shared" si="73"/>
        <v>0.1</v>
      </c>
      <c r="O274" s="299">
        <f t="shared" si="63"/>
        <v>0</v>
      </c>
      <c r="P274" s="299">
        <f t="shared" si="74"/>
        <v>0</v>
      </c>
      <c r="Q274" s="299">
        <f t="shared" si="68"/>
        <v>0</v>
      </c>
      <c r="R274" s="302">
        <f t="shared" si="69"/>
        <v>0</v>
      </c>
      <c r="S274" s="302">
        <f t="shared" si="70"/>
        <v>0</v>
      </c>
      <c r="T274" s="299">
        <f t="shared" si="71"/>
        <v>0</v>
      </c>
      <c r="U274" s="299">
        <f t="shared" si="75"/>
        <v>0</v>
      </c>
      <c r="V274" s="304"/>
      <c r="W274" s="505"/>
      <c r="X274" s="505"/>
      <c r="Y274" s="298">
        <f t="shared" ref="Y274:Y337" si="77">IF(Z274="",Y273,Z274)</f>
        <v>0.1</v>
      </c>
      <c r="Z274" s="309"/>
      <c r="AA274" s="306"/>
      <c r="AB274" s="307"/>
      <c r="AC274" s="297"/>
    </row>
    <row r="275" spans="3:29" x14ac:dyDescent="0.2">
      <c r="C275" s="489"/>
      <c r="D275" s="489"/>
      <c r="E275" s="494"/>
      <c r="F275" s="494">
        <v>261</v>
      </c>
      <c r="G275" s="297">
        <f t="shared" si="64"/>
        <v>2043</v>
      </c>
      <c r="H275" s="297">
        <f t="shared" si="65"/>
        <v>365</v>
      </c>
      <c r="I275" s="488">
        <f t="shared" si="66"/>
        <v>52483</v>
      </c>
      <c r="J275" s="488"/>
      <c r="K275" s="494">
        <f t="shared" si="67"/>
        <v>31</v>
      </c>
      <c r="L275" s="488">
        <f t="shared" si="72"/>
        <v>52504</v>
      </c>
      <c r="M275" s="299">
        <f t="shared" si="76"/>
        <v>0</v>
      </c>
      <c r="N275" s="303">
        <f t="shared" si="73"/>
        <v>0.1</v>
      </c>
      <c r="O275" s="299">
        <f t="shared" si="63"/>
        <v>0</v>
      </c>
      <c r="P275" s="299">
        <f t="shared" si="74"/>
        <v>0</v>
      </c>
      <c r="Q275" s="299">
        <f t="shared" si="68"/>
        <v>0</v>
      </c>
      <c r="R275" s="302">
        <f t="shared" si="69"/>
        <v>0</v>
      </c>
      <c r="S275" s="302">
        <f t="shared" si="70"/>
        <v>0</v>
      </c>
      <c r="T275" s="299">
        <f t="shared" si="71"/>
        <v>0</v>
      </c>
      <c r="U275" s="299">
        <f t="shared" si="75"/>
        <v>0</v>
      </c>
      <c r="V275" s="304"/>
      <c r="W275" s="505"/>
      <c r="X275" s="505"/>
      <c r="Y275" s="298">
        <f t="shared" si="77"/>
        <v>0.1</v>
      </c>
      <c r="Z275" s="309"/>
      <c r="AA275" s="306"/>
      <c r="AB275" s="307"/>
      <c r="AC275" s="297"/>
    </row>
    <row r="276" spans="3:29" x14ac:dyDescent="0.2">
      <c r="C276" s="489"/>
      <c r="D276" s="489"/>
      <c r="E276" s="494"/>
      <c r="F276" s="494">
        <v>262</v>
      </c>
      <c r="G276" s="297">
        <f t="shared" si="64"/>
        <v>2043</v>
      </c>
      <c r="H276" s="297">
        <f t="shared" si="65"/>
        <v>365</v>
      </c>
      <c r="I276" s="488">
        <f t="shared" si="66"/>
        <v>52513</v>
      </c>
      <c r="J276" s="488"/>
      <c r="K276" s="494">
        <f t="shared" si="67"/>
        <v>30</v>
      </c>
      <c r="L276" s="488">
        <f t="shared" si="72"/>
        <v>52535</v>
      </c>
      <c r="M276" s="299">
        <f t="shared" si="76"/>
        <v>0</v>
      </c>
      <c r="N276" s="303">
        <f t="shared" si="73"/>
        <v>0.1</v>
      </c>
      <c r="O276" s="299">
        <f t="shared" si="63"/>
        <v>0</v>
      </c>
      <c r="P276" s="299">
        <f t="shared" si="74"/>
        <v>0</v>
      </c>
      <c r="Q276" s="299">
        <f t="shared" si="68"/>
        <v>0</v>
      </c>
      <c r="R276" s="302">
        <f t="shared" si="69"/>
        <v>0</v>
      </c>
      <c r="S276" s="302">
        <f t="shared" si="70"/>
        <v>0</v>
      </c>
      <c r="T276" s="299">
        <f t="shared" si="71"/>
        <v>0</v>
      </c>
      <c r="U276" s="299">
        <f t="shared" si="75"/>
        <v>0</v>
      </c>
      <c r="V276" s="304"/>
      <c r="W276" s="505"/>
      <c r="X276" s="505"/>
      <c r="Y276" s="298">
        <f t="shared" si="77"/>
        <v>0.1</v>
      </c>
      <c r="Z276" s="309"/>
      <c r="AA276" s="306"/>
      <c r="AB276" s="307"/>
      <c r="AC276" s="297"/>
    </row>
    <row r="277" spans="3:29" x14ac:dyDescent="0.2">
      <c r="C277" s="489"/>
      <c r="D277" s="489"/>
      <c r="E277" s="494"/>
      <c r="F277" s="494">
        <v>263</v>
      </c>
      <c r="G277" s="297">
        <f t="shared" si="64"/>
        <v>2043</v>
      </c>
      <c r="H277" s="297">
        <f t="shared" si="65"/>
        <v>365</v>
      </c>
      <c r="I277" s="488">
        <f t="shared" si="66"/>
        <v>52544</v>
      </c>
      <c r="J277" s="488"/>
      <c r="K277" s="494">
        <f t="shared" si="67"/>
        <v>31</v>
      </c>
      <c r="L277" s="488">
        <f t="shared" si="72"/>
        <v>52565</v>
      </c>
      <c r="M277" s="299">
        <f t="shared" si="76"/>
        <v>0</v>
      </c>
      <c r="N277" s="303">
        <f t="shared" si="73"/>
        <v>0.1</v>
      </c>
      <c r="O277" s="299">
        <f t="shared" si="63"/>
        <v>0</v>
      </c>
      <c r="P277" s="299">
        <f t="shared" si="74"/>
        <v>0</v>
      </c>
      <c r="Q277" s="299">
        <f t="shared" si="68"/>
        <v>0</v>
      </c>
      <c r="R277" s="302">
        <f t="shared" si="69"/>
        <v>0</v>
      </c>
      <c r="S277" s="302">
        <f t="shared" si="70"/>
        <v>0</v>
      </c>
      <c r="T277" s="299">
        <f t="shared" si="71"/>
        <v>0</v>
      </c>
      <c r="U277" s="299">
        <f t="shared" si="75"/>
        <v>0</v>
      </c>
      <c r="V277" s="304"/>
      <c r="W277" s="505"/>
      <c r="X277" s="505"/>
      <c r="Y277" s="298">
        <f t="shared" si="77"/>
        <v>0.1</v>
      </c>
      <c r="Z277" s="309"/>
      <c r="AA277" s="306"/>
      <c r="AB277" s="307"/>
      <c r="AC277" s="297"/>
    </row>
    <row r="278" spans="3:29" x14ac:dyDescent="0.2">
      <c r="C278" s="489"/>
      <c r="D278" s="489"/>
      <c r="E278" s="494"/>
      <c r="F278" s="494">
        <v>264</v>
      </c>
      <c r="G278" s="297">
        <f t="shared" si="64"/>
        <v>2043</v>
      </c>
      <c r="H278" s="297">
        <f t="shared" si="65"/>
        <v>365</v>
      </c>
      <c r="I278" s="488">
        <f t="shared" si="66"/>
        <v>52574</v>
      </c>
      <c r="J278" s="488"/>
      <c r="K278" s="494">
        <f t="shared" si="67"/>
        <v>30</v>
      </c>
      <c r="L278" s="488">
        <f t="shared" si="72"/>
        <v>52596</v>
      </c>
      <c r="M278" s="299">
        <f t="shared" si="76"/>
        <v>0</v>
      </c>
      <c r="N278" s="303">
        <f t="shared" si="73"/>
        <v>0.1</v>
      </c>
      <c r="O278" s="299">
        <f t="shared" si="63"/>
        <v>0</v>
      </c>
      <c r="P278" s="299">
        <f t="shared" si="74"/>
        <v>0</v>
      </c>
      <c r="Q278" s="299">
        <f t="shared" si="68"/>
        <v>0</v>
      </c>
      <c r="R278" s="302">
        <f t="shared" si="69"/>
        <v>0</v>
      </c>
      <c r="S278" s="302">
        <f t="shared" si="70"/>
        <v>0</v>
      </c>
      <c r="T278" s="299">
        <f t="shared" si="71"/>
        <v>0</v>
      </c>
      <c r="U278" s="299">
        <f t="shared" si="75"/>
        <v>0</v>
      </c>
      <c r="V278" s="304"/>
      <c r="W278" s="505"/>
      <c r="X278" s="505"/>
      <c r="Y278" s="298">
        <f t="shared" si="77"/>
        <v>0.1</v>
      </c>
      <c r="Z278" s="309"/>
      <c r="AA278" s="306"/>
      <c r="AB278" s="307"/>
      <c r="AC278" s="297"/>
    </row>
    <row r="279" spans="3:29" x14ac:dyDescent="0.2">
      <c r="C279" s="489"/>
      <c r="D279" s="489"/>
      <c r="E279" s="494">
        <f>E267+1</f>
        <v>47</v>
      </c>
      <c r="F279" s="494">
        <v>265</v>
      </c>
      <c r="G279" s="297">
        <f t="shared" si="64"/>
        <v>2044</v>
      </c>
      <c r="H279" s="297">
        <f t="shared" si="65"/>
        <v>366</v>
      </c>
      <c r="I279" s="488">
        <f t="shared" si="66"/>
        <v>52605</v>
      </c>
      <c r="J279" s="488"/>
      <c r="K279" s="494">
        <f t="shared" si="67"/>
        <v>31</v>
      </c>
      <c r="L279" s="488">
        <f t="shared" si="72"/>
        <v>52627</v>
      </c>
      <c r="M279" s="299">
        <f t="shared" si="76"/>
        <v>0</v>
      </c>
      <c r="N279" s="303">
        <f t="shared" si="73"/>
        <v>0.1</v>
      </c>
      <c r="O279" s="299">
        <f t="shared" si="63"/>
        <v>0</v>
      </c>
      <c r="P279" s="299">
        <f t="shared" si="74"/>
        <v>0</v>
      </c>
      <c r="Q279" s="299">
        <f t="shared" si="68"/>
        <v>0</v>
      </c>
      <c r="R279" s="302">
        <f t="shared" si="69"/>
        <v>0</v>
      </c>
      <c r="S279" s="302">
        <f t="shared" si="70"/>
        <v>0</v>
      </c>
      <c r="T279" s="299">
        <f t="shared" si="71"/>
        <v>0</v>
      </c>
      <c r="U279" s="299">
        <f t="shared" si="75"/>
        <v>0</v>
      </c>
      <c r="V279" s="304">
        <f>IF(U279=0,0,((U279*10%+U279)*(W279+X279)))</f>
        <v>0</v>
      </c>
      <c r="W279" s="505">
        <f>INDEX('Тарифы СК'!$B$4:$C$53,MATCH($E$279,'Тарифы СК'!$A$4:$A$53,0),MATCH($AB$3,'Тарифы СК'!$B$3:$C$3,0))</f>
        <v>7.3899999999999999E-3</v>
      </c>
      <c r="X279" s="505">
        <f>'Тарифы СК'!$D$3</f>
        <v>1.1999999999999999E-3</v>
      </c>
      <c r="Y279" s="298">
        <f t="shared" si="77"/>
        <v>0.1</v>
      </c>
      <c r="Z279" s="309"/>
      <c r="AA279" s="306"/>
      <c r="AB279" s="307"/>
      <c r="AC279" s="297"/>
    </row>
    <row r="280" spans="3:29" x14ac:dyDescent="0.2">
      <c r="C280" s="489"/>
      <c r="D280" s="489"/>
      <c r="E280" s="494"/>
      <c r="F280" s="494">
        <v>266</v>
      </c>
      <c r="G280" s="297">
        <f t="shared" si="64"/>
        <v>2044</v>
      </c>
      <c r="H280" s="297">
        <f t="shared" si="65"/>
        <v>366</v>
      </c>
      <c r="I280" s="488">
        <f t="shared" si="66"/>
        <v>52636</v>
      </c>
      <c r="J280" s="488"/>
      <c r="K280" s="494">
        <f t="shared" si="67"/>
        <v>31</v>
      </c>
      <c r="L280" s="488">
        <f t="shared" si="72"/>
        <v>52656</v>
      </c>
      <c r="M280" s="299">
        <f t="shared" si="76"/>
        <v>0</v>
      </c>
      <c r="N280" s="303">
        <f t="shared" si="73"/>
        <v>0.1</v>
      </c>
      <c r="O280" s="299">
        <f t="shared" si="63"/>
        <v>0</v>
      </c>
      <c r="P280" s="299">
        <f t="shared" si="74"/>
        <v>0</v>
      </c>
      <c r="Q280" s="299">
        <f t="shared" si="68"/>
        <v>0</v>
      </c>
      <c r="R280" s="302">
        <f t="shared" si="69"/>
        <v>0</v>
      </c>
      <c r="S280" s="302">
        <f t="shared" si="70"/>
        <v>0</v>
      </c>
      <c r="T280" s="299">
        <f t="shared" si="71"/>
        <v>0</v>
      </c>
      <c r="U280" s="299">
        <f t="shared" si="75"/>
        <v>0</v>
      </c>
      <c r="V280" s="304"/>
      <c r="W280" s="505"/>
      <c r="X280" s="505"/>
      <c r="Y280" s="298">
        <f t="shared" si="77"/>
        <v>0.1</v>
      </c>
      <c r="Z280" s="309"/>
      <c r="AA280" s="306"/>
      <c r="AB280" s="307"/>
      <c r="AC280" s="297"/>
    </row>
    <row r="281" spans="3:29" x14ac:dyDescent="0.2">
      <c r="C281" s="489"/>
      <c r="D281" s="489"/>
      <c r="E281" s="494"/>
      <c r="F281" s="494">
        <v>267</v>
      </c>
      <c r="G281" s="297">
        <f t="shared" si="64"/>
        <v>2044</v>
      </c>
      <c r="H281" s="297">
        <f t="shared" si="65"/>
        <v>366</v>
      </c>
      <c r="I281" s="488">
        <f t="shared" si="66"/>
        <v>52665</v>
      </c>
      <c r="J281" s="488"/>
      <c r="K281" s="494">
        <f t="shared" si="67"/>
        <v>29</v>
      </c>
      <c r="L281" s="488">
        <f t="shared" si="72"/>
        <v>52687</v>
      </c>
      <c r="M281" s="299">
        <f t="shared" si="76"/>
        <v>0</v>
      </c>
      <c r="N281" s="303">
        <f t="shared" si="73"/>
        <v>0.1</v>
      </c>
      <c r="O281" s="299">
        <f t="shared" si="63"/>
        <v>0</v>
      </c>
      <c r="P281" s="299">
        <f t="shared" si="74"/>
        <v>0</v>
      </c>
      <c r="Q281" s="299">
        <f t="shared" si="68"/>
        <v>0</v>
      </c>
      <c r="R281" s="302">
        <f t="shared" si="69"/>
        <v>0</v>
      </c>
      <c r="S281" s="302">
        <f t="shared" si="70"/>
        <v>0</v>
      </c>
      <c r="T281" s="299">
        <f t="shared" si="71"/>
        <v>0</v>
      </c>
      <c r="U281" s="299">
        <f t="shared" si="75"/>
        <v>0</v>
      </c>
      <c r="V281" s="304"/>
      <c r="W281" s="505"/>
      <c r="X281" s="505"/>
      <c r="Y281" s="298">
        <f t="shared" si="77"/>
        <v>0.1</v>
      </c>
      <c r="Z281" s="309"/>
      <c r="AA281" s="306"/>
      <c r="AB281" s="307"/>
      <c r="AC281" s="297"/>
    </row>
    <row r="282" spans="3:29" x14ac:dyDescent="0.2">
      <c r="C282" s="489"/>
      <c r="D282" s="489"/>
      <c r="E282" s="494"/>
      <c r="F282" s="494">
        <v>268</v>
      </c>
      <c r="G282" s="297">
        <f t="shared" si="64"/>
        <v>2044</v>
      </c>
      <c r="H282" s="297">
        <f t="shared" si="65"/>
        <v>366</v>
      </c>
      <c r="I282" s="488">
        <f t="shared" si="66"/>
        <v>52696</v>
      </c>
      <c r="J282" s="488"/>
      <c r="K282" s="494">
        <f t="shared" si="67"/>
        <v>31</v>
      </c>
      <c r="L282" s="488">
        <f t="shared" si="72"/>
        <v>52717</v>
      </c>
      <c r="M282" s="299">
        <f t="shared" si="76"/>
        <v>0</v>
      </c>
      <c r="N282" s="303">
        <f t="shared" si="73"/>
        <v>0.1</v>
      </c>
      <c r="O282" s="299">
        <f t="shared" si="63"/>
        <v>0</v>
      </c>
      <c r="P282" s="299">
        <f t="shared" si="74"/>
        <v>0</v>
      </c>
      <c r="Q282" s="299">
        <f t="shared" si="68"/>
        <v>0</v>
      </c>
      <c r="R282" s="302">
        <f t="shared" si="69"/>
        <v>0</v>
      </c>
      <c r="S282" s="302">
        <f t="shared" si="70"/>
        <v>0</v>
      </c>
      <c r="T282" s="299">
        <f t="shared" si="71"/>
        <v>0</v>
      </c>
      <c r="U282" s="299">
        <f t="shared" si="75"/>
        <v>0</v>
      </c>
      <c r="V282" s="304"/>
      <c r="W282" s="505"/>
      <c r="X282" s="505"/>
      <c r="Y282" s="298">
        <f t="shared" si="77"/>
        <v>0.1</v>
      </c>
      <c r="Z282" s="309"/>
      <c r="AA282" s="306"/>
      <c r="AB282" s="307"/>
      <c r="AC282" s="297"/>
    </row>
    <row r="283" spans="3:29" x14ac:dyDescent="0.2">
      <c r="C283" s="489"/>
      <c r="D283" s="489"/>
      <c r="E283" s="494"/>
      <c r="F283" s="494">
        <v>269</v>
      </c>
      <c r="G283" s="297">
        <f t="shared" si="64"/>
        <v>2044</v>
      </c>
      <c r="H283" s="297">
        <f t="shared" si="65"/>
        <v>366</v>
      </c>
      <c r="I283" s="488">
        <f t="shared" si="66"/>
        <v>52726</v>
      </c>
      <c r="J283" s="488"/>
      <c r="K283" s="494">
        <f t="shared" si="67"/>
        <v>30</v>
      </c>
      <c r="L283" s="488">
        <f t="shared" si="72"/>
        <v>52748</v>
      </c>
      <c r="M283" s="299">
        <f t="shared" si="76"/>
        <v>0</v>
      </c>
      <c r="N283" s="303">
        <f t="shared" si="73"/>
        <v>0.1</v>
      </c>
      <c r="O283" s="299">
        <f t="shared" si="63"/>
        <v>0</v>
      </c>
      <c r="P283" s="299">
        <f t="shared" si="74"/>
        <v>0</v>
      </c>
      <c r="Q283" s="299">
        <f t="shared" si="68"/>
        <v>0</v>
      </c>
      <c r="R283" s="302">
        <f t="shared" si="69"/>
        <v>0</v>
      </c>
      <c r="S283" s="302">
        <f t="shared" si="70"/>
        <v>0</v>
      </c>
      <c r="T283" s="299">
        <f t="shared" si="71"/>
        <v>0</v>
      </c>
      <c r="U283" s="299">
        <f t="shared" si="75"/>
        <v>0</v>
      </c>
      <c r="V283" s="304"/>
      <c r="W283" s="505"/>
      <c r="X283" s="505"/>
      <c r="Y283" s="298">
        <f t="shared" si="77"/>
        <v>0.1</v>
      </c>
      <c r="Z283" s="309"/>
      <c r="AA283" s="306"/>
      <c r="AB283" s="307"/>
      <c r="AC283" s="297"/>
    </row>
    <row r="284" spans="3:29" x14ac:dyDescent="0.2">
      <c r="C284" s="489"/>
      <c r="D284" s="489"/>
      <c r="E284" s="494"/>
      <c r="F284" s="494">
        <v>270</v>
      </c>
      <c r="G284" s="297">
        <f t="shared" si="64"/>
        <v>2044</v>
      </c>
      <c r="H284" s="297">
        <f t="shared" si="65"/>
        <v>366</v>
      </c>
      <c r="I284" s="488">
        <f t="shared" si="66"/>
        <v>52757</v>
      </c>
      <c r="J284" s="488"/>
      <c r="K284" s="494">
        <f t="shared" si="67"/>
        <v>31</v>
      </c>
      <c r="L284" s="488">
        <f t="shared" si="72"/>
        <v>52778</v>
      </c>
      <c r="M284" s="299">
        <f t="shared" si="76"/>
        <v>0</v>
      </c>
      <c r="N284" s="303">
        <f t="shared" si="73"/>
        <v>0.1</v>
      </c>
      <c r="O284" s="299">
        <f t="shared" si="63"/>
        <v>0</v>
      </c>
      <c r="P284" s="299">
        <f t="shared" si="74"/>
        <v>0</v>
      </c>
      <c r="Q284" s="299">
        <f t="shared" si="68"/>
        <v>0</v>
      </c>
      <c r="R284" s="302">
        <f t="shared" si="69"/>
        <v>0</v>
      </c>
      <c r="S284" s="302">
        <f t="shared" si="70"/>
        <v>0</v>
      </c>
      <c r="T284" s="299">
        <f t="shared" si="71"/>
        <v>0</v>
      </c>
      <c r="U284" s="299">
        <f t="shared" si="75"/>
        <v>0</v>
      </c>
      <c r="V284" s="304"/>
      <c r="W284" s="505"/>
      <c r="X284" s="505"/>
      <c r="Y284" s="298">
        <f t="shared" si="77"/>
        <v>0.1</v>
      </c>
      <c r="Z284" s="309"/>
      <c r="AA284" s="306"/>
      <c r="AB284" s="307"/>
      <c r="AC284" s="297"/>
    </row>
    <row r="285" spans="3:29" x14ac:dyDescent="0.2">
      <c r="C285" s="489"/>
      <c r="D285" s="489"/>
      <c r="E285" s="494"/>
      <c r="F285" s="494">
        <v>271</v>
      </c>
      <c r="G285" s="297">
        <f t="shared" si="64"/>
        <v>2044</v>
      </c>
      <c r="H285" s="297">
        <f t="shared" si="65"/>
        <v>366</v>
      </c>
      <c r="I285" s="488">
        <f t="shared" si="66"/>
        <v>52787</v>
      </c>
      <c r="J285" s="488"/>
      <c r="K285" s="494">
        <f t="shared" si="67"/>
        <v>30</v>
      </c>
      <c r="L285" s="488">
        <f t="shared" si="72"/>
        <v>52809</v>
      </c>
      <c r="M285" s="299">
        <f t="shared" si="76"/>
        <v>0</v>
      </c>
      <c r="N285" s="303">
        <f t="shared" si="73"/>
        <v>0.1</v>
      </c>
      <c r="O285" s="299">
        <f t="shared" si="63"/>
        <v>0</v>
      </c>
      <c r="P285" s="299">
        <f t="shared" si="74"/>
        <v>0</v>
      </c>
      <c r="Q285" s="299">
        <f t="shared" si="68"/>
        <v>0</v>
      </c>
      <c r="R285" s="302">
        <f t="shared" si="69"/>
        <v>0</v>
      </c>
      <c r="S285" s="302">
        <f t="shared" si="70"/>
        <v>0</v>
      </c>
      <c r="T285" s="299">
        <f t="shared" si="71"/>
        <v>0</v>
      </c>
      <c r="U285" s="299">
        <f t="shared" si="75"/>
        <v>0</v>
      </c>
      <c r="V285" s="304"/>
      <c r="W285" s="505"/>
      <c r="X285" s="505"/>
      <c r="Y285" s="298">
        <f t="shared" si="77"/>
        <v>0.1</v>
      </c>
      <c r="Z285" s="309"/>
      <c r="AA285" s="306"/>
      <c r="AB285" s="307"/>
      <c r="AC285" s="297"/>
    </row>
    <row r="286" spans="3:29" x14ac:dyDescent="0.2">
      <c r="C286" s="489"/>
      <c r="D286" s="489"/>
      <c r="E286" s="494"/>
      <c r="F286" s="494">
        <v>272</v>
      </c>
      <c r="G286" s="297">
        <f t="shared" si="64"/>
        <v>2044</v>
      </c>
      <c r="H286" s="297">
        <f t="shared" si="65"/>
        <v>366</v>
      </c>
      <c r="I286" s="488">
        <f t="shared" si="66"/>
        <v>52818</v>
      </c>
      <c r="J286" s="488"/>
      <c r="K286" s="494">
        <f t="shared" si="67"/>
        <v>31</v>
      </c>
      <c r="L286" s="488">
        <f t="shared" si="72"/>
        <v>52840</v>
      </c>
      <c r="M286" s="299">
        <f t="shared" si="76"/>
        <v>0</v>
      </c>
      <c r="N286" s="303">
        <f t="shared" si="73"/>
        <v>0.1</v>
      </c>
      <c r="O286" s="299">
        <f t="shared" si="63"/>
        <v>0</v>
      </c>
      <c r="P286" s="299">
        <f t="shared" si="74"/>
        <v>0</v>
      </c>
      <c r="Q286" s="299">
        <f t="shared" si="68"/>
        <v>0</v>
      </c>
      <c r="R286" s="302">
        <f t="shared" si="69"/>
        <v>0</v>
      </c>
      <c r="S286" s="302">
        <f t="shared" si="70"/>
        <v>0</v>
      </c>
      <c r="T286" s="299">
        <f t="shared" si="71"/>
        <v>0</v>
      </c>
      <c r="U286" s="299">
        <f t="shared" si="75"/>
        <v>0</v>
      </c>
      <c r="V286" s="304"/>
      <c r="W286" s="505"/>
      <c r="X286" s="505"/>
      <c r="Y286" s="298">
        <f t="shared" si="77"/>
        <v>0.1</v>
      </c>
      <c r="Z286" s="309"/>
      <c r="AA286" s="306"/>
      <c r="AB286" s="307"/>
      <c r="AC286" s="297"/>
    </row>
    <row r="287" spans="3:29" x14ac:dyDescent="0.2">
      <c r="C287" s="489"/>
      <c r="D287" s="489"/>
      <c r="E287" s="494"/>
      <c r="F287" s="494">
        <v>273</v>
      </c>
      <c r="G287" s="297">
        <f t="shared" si="64"/>
        <v>2044</v>
      </c>
      <c r="H287" s="297">
        <f t="shared" si="65"/>
        <v>366</v>
      </c>
      <c r="I287" s="488">
        <f t="shared" si="66"/>
        <v>52849</v>
      </c>
      <c r="J287" s="488"/>
      <c r="K287" s="494">
        <f t="shared" si="67"/>
        <v>31</v>
      </c>
      <c r="L287" s="488">
        <f t="shared" si="72"/>
        <v>52870</v>
      </c>
      <c r="M287" s="299">
        <f t="shared" si="76"/>
        <v>0</v>
      </c>
      <c r="N287" s="303">
        <f t="shared" si="73"/>
        <v>0.1</v>
      </c>
      <c r="O287" s="299">
        <f t="shared" si="63"/>
        <v>0</v>
      </c>
      <c r="P287" s="299">
        <f t="shared" si="74"/>
        <v>0</v>
      </c>
      <c r="Q287" s="299">
        <f t="shared" si="68"/>
        <v>0</v>
      </c>
      <c r="R287" s="302">
        <f t="shared" si="69"/>
        <v>0</v>
      </c>
      <c r="S287" s="302">
        <f t="shared" si="70"/>
        <v>0</v>
      </c>
      <c r="T287" s="299">
        <f t="shared" si="71"/>
        <v>0</v>
      </c>
      <c r="U287" s="299">
        <f t="shared" si="75"/>
        <v>0</v>
      </c>
      <c r="V287" s="304"/>
      <c r="W287" s="505"/>
      <c r="X287" s="505"/>
      <c r="Y287" s="298">
        <f t="shared" si="77"/>
        <v>0.1</v>
      </c>
      <c r="Z287" s="309"/>
      <c r="AA287" s="306"/>
      <c r="AB287" s="307"/>
      <c r="AC287" s="297"/>
    </row>
    <row r="288" spans="3:29" x14ac:dyDescent="0.2">
      <c r="C288" s="489"/>
      <c r="D288" s="489"/>
      <c r="E288" s="494"/>
      <c r="F288" s="494">
        <v>274</v>
      </c>
      <c r="G288" s="297">
        <f t="shared" si="64"/>
        <v>2044</v>
      </c>
      <c r="H288" s="297">
        <f t="shared" si="65"/>
        <v>366</v>
      </c>
      <c r="I288" s="488">
        <f t="shared" si="66"/>
        <v>52879</v>
      </c>
      <c r="J288" s="488"/>
      <c r="K288" s="494">
        <f t="shared" si="67"/>
        <v>30</v>
      </c>
      <c r="L288" s="488">
        <f t="shared" si="72"/>
        <v>52901</v>
      </c>
      <c r="M288" s="299">
        <f t="shared" si="76"/>
        <v>0</v>
      </c>
      <c r="N288" s="303">
        <f t="shared" si="73"/>
        <v>0.1</v>
      </c>
      <c r="O288" s="299">
        <f t="shared" si="63"/>
        <v>0</v>
      </c>
      <c r="P288" s="299">
        <f t="shared" si="74"/>
        <v>0</v>
      </c>
      <c r="Q288" s="299">
        <f t="shared" si="68"/>
        <v>0</v>
      </c>
      <c r="R288" s="302">
        <f t="shared" si="69"/>
        <v>0</v>
      </c>
      <c r="S288" s="302">
        <f t="shared" si="70"/>
        <v>0</v>
      </c>
      <c r="T288" s="299">
        <f t="shared" si="71"/>
        <v>0</v>
      </c>
      <c r="U288" s="299">
        <f t="shared" si="75"/>
        <v>0</v>
      </c>
      <c r="V288" s="304"/>
      <c r="W288" s="505"/>
      <c r="X288" s="505"/>
      <c r="Y288" s="298">
        <f t="shared" si="77"/>
        <v>0.1</v>
      </c>
      <c r="Z288" s="309"/>
      <c r="AA288" s="306"/>
      <c r="AB288" s="307"/>
      <c r="AC288" s="297"/>
    </row>
    <row r="289" spans="3:29" x14ac:dyDescent="0.2">
      <c r="C289" s="489"/>
      <c r="D289" s="489"/>
      <c r="E289" s="494"/>
      <c r="F289" s="494">
        <v>275</v>
      </c>
      <c r="G289" s="297">
        <f t="shared" si="64"/>
        <v>2044</v>
      </c>
      <c r="H289" s="297">
        <f t="shared" si="65"/>
        <v>366</v>
      </c>
      <c r="I289" s="488">
        <f t="shared" si="66"/>
        <v>52910</v>
      </c>
      <c r="J289" s="488"/>
      <c r="K289" s="494">
        <f t="shared" si="67"/>
        <v>31</v>
      </c>
      <c r="L289" s="488">
        <f t="shared" si="72"/>
        <v>52931</v>
      </c>
      <c r="M289" s="299">
        <f t="shared" si="76"/>
        <v>0</v>
      </c>
      <c r="N289" s="303">
        <f t="shared" si="73"/>
        <v>0.1</v>
      </c>
      <c r="O289" s="299">
        <f t="shared" si="63"/>
        <v>0</v>
      </c>
      <c r="P289" s="299">
        <f t="shared" si="74"/>
        <v>0</v>
      </c>
      <c r="Q289" s="299">
        <f t="shared" si="68"/>
        <v>0</v>
      </c>
      <c r="R289" s="302">
        <f t="shared" si="69"/>
        <v>0</v>
      </c>
      <c r="S289" s="302">
        <f t="shared" si="70"/>
        <v>0</v>
      </c>
      <c r="T289" s="299">
        <f t="shared" si="71"/>
        <v>0</v>
      </c>
      <c r="U289" s="299">
        <f t="shared" si="75"/>
        <v>0</v>
      </c>
      <c r="V289" s="304"/>
      <c r="W289" s="505"/>
      <c r="X289" s="505"/>
      <c r="Y289" s="298">
        <f t="shared" si="77"/>
        <v>0.1</v>
      </c>
      <c r="Z289" s="309"/>
      <c r="AA289" s="306"/>
      <c r="AB289" s="307"/>
      <c r="AC289" s="297"/>
    </row>
    <row r="290" spans="3:29" x14ac:dyDescent="0.2">
      <c r="C290" s="489"/>
      <c r="D290" s="489"/>
      <c r="E290" s="494"/>
      <c r="F290" s="494">
        <v>276</v>
      </c>
      <c r="G290" s="297">
        <f t="shared" si="64"/>
        <v>2044</v>
      </c>
      <c r="H290" s="297">
        <f t="shared" si="65"/>
        <v>366</v>
      </c>
      <c r="I290" s="488">
        <f t="shared" si="66"/>
        <v>52940</v>
      </c>
      <c r="J290" s="488"/>
      <c r="K290" s="494">
        <f t="shared" si="67"/>
        <v>30</v>
      </c>
      <c r="L290" s="488">
        <f t="shared" si="72"/>
        <v>52962</v>
      </c>
      <c r="M290" s="299">
        <f t="shared" si="76"/>
        <v>0</v>
      </c>
      <c r="N290" s="303">
        <f t="shared" si="73"/>
        <v>0.1</v>
      </c>
      <c r="O290" s="299">
        <f t="shared" si="63"/>
        <v>0</v>
      </c>
      <c r="P290" s="299">
        <f t="shared" si="74"/>
        <v>0</v>
      </c>
      <c r="Q290" s="299">
        <f t="shared" si="68"/>
        <v>0</v>
      </c>
      <c r="R290" s="302">
        <f t="shared" si="69"/>
        <v>0</v>
      </c>
      <c r="S290" s="302">
        <f t="shared" si="70"/>
        <v>0</v>
      </c>
      <c r="T290" s="299">
        <f t="shared" si="71"/>
        <v>0</v>
      </c>
      <c r="U290" s="299">
        <f t="shared" si="75"/>
        <v>0</v>
      </c>
      <c r="V290" s="304"/>
      <c r="W290" s="505"/>
      <c r="X290" s="505"/>
      <c r="Y290" s="298">
        <f t="shared" si="77"/>
        <v>0.1</v>
      </c>
      <c r="Z290" s="309"/>
      <c r="AA290" s="306"/>
      <c r="AB290" s="307"/>
      <c r="AC290" s="297"/>
    </row>
    <row r="291" spans="3:29" x14ac:dyDescent="0.2">
      <c r="C291" s="489"/>
      <c r="D291" s="489"/>
      <c r="E291" s="494">
        <f>E279+1</f>
        <v>48</v>
      </c>
      <c r="F291" s="494">
        <v>277</v>
      </c>
      <c r="G291" s="297">
        <f t="shared" si="64"/>
        <v>2045</v>
      </c>
      <c r="H291" s="297">
        <f t="shared" si="65"/>
        <v>365</v>
      </c>
      <c r="I291" s="488">
        <f t="shared" si="66"/>
        <v>52971</v>
      </c>
      <c r="J291" s="488"/>
      <c r="K291" s="494">
        <f t="shared" si="67"/>
        <v>31</v>
      </c>
      <c r="L291" s="488">
        <f t="shared" si="72"/>
        <v>52993</v>
      </c>
      <c r="M291" s="299">
        <f t="shared" si="76"/>
        <v>0</v>
      </c>
      <c r="N291" s="303">
        <f t="shared" si="73"/>
        <v>0.1</v>
      </c>
      <c r="O291" s="299">
        <f t="shared" si="63"/>
        <v>0</v>
      </c>
      <c r="P291" s="299">
        <f t="shared" si="74"/>
        <v>0</v>
      </c>
      <c r="Q291" s="299">
        <f t="shared" si="68"/>
        <v>0</v>
      </c>
      <c r="R291" s="302">
        <f t="shared" si="69"/>
        <v>0</v>
      </c>
      <c r="S291" s="302">
        <f t="shared" si="70"/>
        <v>0</v>
      </c>
      <c r="T291" s="299">
        <f t="shared" si="71"/>
        <v>0</v>
      </c>
      <c r="U291" s="299">
        <f t="shared" si="75"/>
        <v>0</v>
      </c>
      <c r="V291" s="304">
        <f>IF(U291=0,0,((U291*10%+U291)*(W291+X291)))</f>
        <v>0</v>
      </c>
      <c r="W291" s="505">
        <f>INDEX('Тарифы СК'!$B$4:$C$53,MATCH($E$291,'Тарифы СК'!$A$4:$A$53,0),MATCH($AB$3,'Тарифы СК'!$B$3:$C$3,0))</f>
        <v>8.0700000000000008E-3</v>
      </c>
      <c r="X291" s="505">
        <f>'Тарифы СК'!$D$3</f>
        <v>1.1999999999999999E-3</v>
      </c>
      <c r="Y291" s="298">
        <f t="shared" si="77"/>
        <v>0.1</v>
      </c>
      <c r="Z291" s="309"/>
      <c r="AA291" s="306"/>
      <c r="AB291" s="307"/>
      <c r="AC291" s="297"/>
    </row>
    <row r="292" spans="3:29" x14ac:dyDescent="0.2">
      <c r="C292" s="489"/>
      <c r="D292" s="489"/>
      <c r="E292" s="494"/>
      <c r="F292" s="494">
        <v>278</v>
      </c>
      <c r="G292" s="297">
        <f t="shared" si="64"/>
        <v>2045</v>
      </c>
      <c r="H292" s="297">
        <f t="shared" si="65"/>
        <v>365</v>
      </c>
      <c r="I292" s="488">
        <f t="shared" si="66"/>
        <v>53002</v>
      </c>
      <c r="J292" s="488"/>
      <c r="K292" s="494">
        <f t="shared" si="67"/>
        <v>31</v>
      </c>
      <c r="L292" s="488">
        <f t="shared" si="72"/>
        <v>53021</v>
      </c>
      <c r="M292" s="299">
        <f t="shared" si="76"/>
        <v>0</v>
      </c>
      <c r="N292" s="303">
        <f t="shared" si="73"/>
        <v>0.1</v>
      </c>
      <c r="O292" s="299">
        <f t="shared" si="63"/>
        <v>0</v>
      </c>
      <c r="P292" s="299">
        <f t="shared" si="74"/>
        <v>0</v>
      </c>
      <c r="Q292" s="299">
        <f t="shared" si="68"/>
        <v>0</v>
      </c>
      <c r="R292" s="302">
        <f t="shared" si="69"/>
        <v>0</v>
      </c>
      <c r="S292" s="302">
        <f t="shared" si="70"/>
        <v>0</v>
      </c>
      <c r="T292" s="299">
        <f t="shared" si="71"/>
        <v>0</v>
      </c>
      <c r="U292" s="299">
        <f t="shared" si="75"/>
        <v>0</v>
      </c>
      <c r="V292" s="304"/>
      <c r="W292" s="505"/>
      <c r="X292" s="505"/>
      <c r="Y292" s="298">
        <f t="shared" si="77"/>
        <v>0.1</v>
      </c>
      <c r="Z292" s="309"/>
      <c r="AA292" s="306"/>
      <c r="AB292" s="307"/>
      <c r="AC292" s="297"/>
    </row>
    <row r="293" spans="3:29" x14ac:dyDescent="0.2">
      <c r="C293" s="489"/>
      <c r="D293" s="489"/>
      <c r="E293" s="494"/>
      <c r="F293" s="494">
        <v>279</v>
      </c>
      <c r="G293" s="297">
        <f t="shared" si="64"/>
        <v>2045</v>
      </c>
      <c r="H293" s="297">
        <f t="shared" si="65"/>
        <v>365</v>
      </c>
      <c r="I293" s="488">
        <f t="shared" si="66"/>
        <v>53030</v>
      </c>
      <c r="J293" s="488"/>
      <c r="K293" s="494">
        <f t="shared" si="67"/>
        <v>28</v>
      </c>
      <c r="L293" s="488">
        <f t="shared" si="72"/>
        <v>53052</v>
      </c>
      <c r="M293" s="299">
        <f t="shared" si="76"/>
        <v>0</v>
      </c>
      <c r="N293" s="303">
        <f t="shared" si="73"/>
        <v>0.1</v>
      </c>
      <c r="O293" s="299">
        <f t="shared" si="63"/>
        <v>0</v>
      </c>
      <c r="P293" s="299">
        <f t="shared" si="74"/>
        <v>0</v>
      </c>
      <c r="Q293" s="299">
        <f t="shared" si="68"/>
        <v>0</v>
      </c>
      <c r="R293" s="302">
        <f t="shared" si="69"/>
        <v>0</v>
      </c>
      <c r="S293" s="302">
        <f t="shared" si="70"/>
        <v>0</v>
      </c>
      <c r="T293" s="299">
        <f t="shared" si="71"/>
        <v>0</v>
      </c>
      <c r="U293" s="299">
        <f t="shared" si="75"/>
        <v>0</v>
      </c>
      <c r="V293" s="304"/>
      <c r="W293" s="505"/>
      <c r="X293" s="505"/>
      <c r="Y293" s="298">
        <f t="shared" si="77"/>
        <v>0.1</v>
      </c>
      <c r="Z293" s="309"/>
      <c r="AA293" s="306"/>
      <c r="AB293" s="307"/>
      <c r="AC293" s="297"/>
    </row>
    <row r="294" spans="3:29" x14ac:dyDescent="0.2">
      <c r="C294" s="489"/>
      <c r="D294" s="489"/>
      <c r="E294" s="494"/>
      <c r="F294" s="494">
        <v>280</v>
      </c>
      <c r="G294" s="297">
        <f t="shared" si="64"/>
        <v>2045</v>
      </c>
      <c r="H294" s="297">
        <f t="shared" si="65"/>
        <v>365</v>
      </c>
      <c r="I294" s="488">
        <f t="shared" si="66"/>
        <v>53061</v>
      </c>
      <c r="J294" s="488"/>
      <c r="K294" s="494">
        <f t="shared" si="67"/>
        <v>31</v>
      </c>
      <c r="L294" s="488">
        <f t="shared" si="72"/>
        <v>53082</v>
      </c>
      <c r="M294" s="299">
        <f t="shared" si="76"/>
        <v>0</v>
      </c>
      <c r="N294" s="303">
        <f t="shared" si="73"/>
        <v>0.1</v>
      </c>
      <c r="O294" s="299">
        <f t="shared" si="63"/>
        <v>0</v>
      </c>
      <c r="P294" s="299">
        <f t="shared" si="74"/>
        <v>0</v>
      </c>
      <c r="Q294" s="299">
        <f t="shared" si="68"/>
        <v>0</v>
      </c>
      <c r="R294" s="302">
        <f t="shared" si="69"/>
        <v>0</v>
      </c>
      <c r="S294" s="302">
        <f t="shared" si="70"/>
        <v>0</v>
      </c>
      <c r="T294" s="299">
        <f t="shared" si="71"/>
        <v>0</v>
      </c>
      <c r="U294" s="299">
        <f t="shared" si="75"/>
        <v>0</v>
      </c>
      <c r="V294" s="304"/>
      <c r="W294" s="505"/>
      <c r="X294" s="505"/>
      <c r="Y294" s="298">
        <f t="shared" si="77"/>
        <v>0.1</v>
      </c>
      <c r="Z294" s="309"/>
      <c r="AA294" s="306"/>
      <c r="AB294" s="307"/>
      <c r="AC294" s="297"/>
    </row>
    <row r="295" spans="3:29" x14ac:dyDescent="0.2">
      <c r="C295" s="489"/>
      <c r="D295" s="489"/>
      <c r="E295" s="494"/>
      <c r="F295" s="494">
        <v>281</v>
      </c>
      <c r="G295" s="297">
        <f t="shared" si="64"/>
        <v>2045</v>
      </c>
      <c r="H295" s="297">
        <f t="shared" si="65"/>
        <v>365</v>
      </c>
      <c r="I295" s="488">
        <f t="shared" si="66"/>
        <v>53091</v>
      </c>
      <c r="J295" s="488"/>
      <c r="K295" s="494">
        <f t="shared" si="67"/>
        <v>30</v>
      </c>
      <c r="L295" s="488">
        <f t="shared" si="72"/>
        <v>53113</v>
      </c>
      <c r="M295" s="299">
        <f t="shared" si="76"/>
        <v>0</v>
      </c>
      <c r="N295" s="303">
        <f t="shared" si="73"/>
        <v>0.1</v>
      </c>
      <c r="O295" s="299">
        <f t="shared" si="63"/>
        <v>0</v>
      </c>
      <c r="P295" s="299">
        <f t="shared" si="74"/>
        <v>0</v>
      </c>
      <c r="Q295" s="299">
        <f t="shared" si="68"/>
        <v>0</v>
      </c>
      <c r="R295" s="302">
        <f t="shared" si="69"/>
        <v>0</v>
      </c>
      <c r="S295" s="302">
        <f t="shared" si="70"/>
        <v>0</v>
      </c>
      <c r="T295" s="299">
        <f t="shared" si="71"/>
        <v>0</v>
      </c>
      <c r="U295" s="299">
        <f t="shared" si="75"/>
        <v>0</v>
      </c>
      <c r="V295" s="304"/>
      <c r="W295" s="505"/>
      <c r="X295" s="505"/>
      <c r="Y295" s="298">
        <f t="shared" si="77"/>
        <v>0.1</v>
      </c>
      <c r="Z295" s="309"/>
      <c r="AA295" s="306"/>
      <c r="AB295" s="307"/>
      <c r="AC295" s="297"/>
    </row>
    <row r="296" spans="3:29" x14ac:dyDescent="0.2">
      <c r="C296" s="489"/>
      <c r="D296" s="489"/>
      <c r="E296" s="494"/>
      <c r="F296" s="494">
        <v>282</v>
      </c>
      <c r="G296" s="297">
        <f t="shared" si="64"/>
        <v>2045</v>
      </c>
      <c r="H296" s="297">
        <f t="shared" si="65"/>
        <v>365</v>
      </c>
      <c r="I296" s="488">
        <f t="shared" si="66"/>
        <v>53122</v>
      </c>
      <c r="J296" s="488"/>
      <c r="K296" s="494">
        <f t="shared" si="67"/>
        <v>31</v>
      </c>
      <c r="L296" s="488">
        <f t="shared" si="72"/>
        <v>53143</v>
      </c>
      <c r="M296" s="299">
        <f t="shared" si="76"/>
        <v>0</v>
      </c>
      <c r="N296" s="303">
        <f t="shared" si="73"/>
        <v>0.1</v>
      </c>
      <c r="O296" s="299">
        <f t="shared" si="63"/>
        <v>0</v>
      </c>
      <c r="P296" s="299">
        <f t="shared" si="74"/>
        <v>0</v>
      </c>
      <c r="Q296" s="299">
        <f t="shared" si="68"/>
        <v>0</v>
      </c>
      <c r="R296" s="302">
        <f t="shared" si="69"/>
        <v>0</v>
      </c>
      <c r="S296" s="302">
        <f t="shared" si="70"/>
        <v>0</v>
      </c>
      <c r="T296" s="299">
        <f t="shared" si="71"/>
        <v>0</v>
      </c>
      <c r="U296" s="299">
        <f t="shared" si="75"/>
        <v>0</v>
      </c>
      <c r="V296" s="304"/>
      <c r="W296" s="505"/>
      <c r="X296" s="505"/>
      <c r="Y296" s="298">
        <f t="shared" si="77"/>
        <v>0.1</v>
      </c>
      <c r="Z296" s="309"/>
      <c r="AA296" s="306"/>
      <c r="AB296" s="307"/>
      <c r="AC296" s="297"/>
    </row>
    <row r="297" spans="3:29" x14ac:dyDescent="0.2">
      <c r="C297" s="489"/>
      <c r="D297" s="489"/>
      <c r="E297" s="494"/>
      <c r="F297" s="494">
        <v>283</v>
      </c>
      <c r="G297" s="297">
        <f t="shared" si="64"/>
        <v>2045</v>
      </c>
      <c r="H297" s="297">
        <f t="shared" si="65"/>
        <v>365</v>
      </c>
      <c r="I297" s="488">
        <f t="shared" si="66"/>
        <v>53152</v>
      </c>
      <c r="J297" s="488"/>
      <c r="K297" s="494">
        <f t="shared" si="67"/>
        <v>30</v>
      </c>
      <c r="L297" s="488">
        <f t="shared" si="72"/>
        <v>53174</v>
      </c>
      <c r="M297" s="299">
        <f t="shared" si="76"/>
        <v>0</v>
      </c>
      <c r="N297" s="303">
        <f t="shared" si="73"/>
        <v>0.1</v>
      </c>
      <c r="O297" s="299">
        <f t="shared" si="63"/>
        <v>0</v>
      </c>
      <c r="P297" s="299">
        <f t="shared" si="74"/>
        <v>0</v>
      </c>
      <c r="Q297" s="299">
        <f t="shared" si="68"/>
        <v>0</v>
      </c>
      <c r="R297" s="302">
        <f t="shared" si="69"/>
        <v>0</v>
      </c>
      <c r="S297" s="302">
        <f t="shared" si="70"/>
        <v>0</v>
      </c>
      <c r="T297" s="299">
        <f t="shared" si="71"/>
        <v>0</v>
      </c>
      <c r="U297" s="299">
        <f t="shared" si="75"/>
        <v>0</v>
      </c>
      <c r="V297" s="304"/>
      <c r="W297" s="505"/>
      <c r="X297" s="505"/>
      <c r="Y297" s="298">
        <f t="shared" si="77"/>
        <v>0.1</v>
      </c>
      <c r="Z297" s="309"/>
      <c r="AA297" s="306"/>
      <c r="AB297" s="307"/>
      <c r="AC297" s="297"/>
    </row>
    <row r="298" spans="3:29" x14ac:dyDescent="0.2">
      <c r="C298" s="489"/>
      <c r="D298" s="489"/>
      <c r="E298" s="494"/>
      <c r="F298" s="494">
        <v>284</v>
      </c>
      <c r="G298" s="297">
        <f t="shared" si="64"/>
        <v>2045</v>
      </c>
      <c r="H298" s="297">
        <f t="shared" si="65"/>
        <v>365</v>
      </c>
      <c r="I298" s="488">
        <f t="shared" si="66"/>
        <v>53183</v>
      </c>
      <c r="J298" s="488"/>
      <c r="K298" s="494">
        <f t="shared" si="67"/>
        <v>31</v>
      </c>
      <c r="L298" s="488">
        <f t="shared" si="72"/>
        <v>53205</v>
      </c>
      <c r="M298" s="299">
        <f t="shared" si="76"/>
        <v>0</v>
      </c>
      <c r="N298" s="303">
        <f t="shared" si="73"/>
        <v>0.1</v>
      </c>
      <c r="O298" s="299">
        <f t="shared" si="63"/>
        <v>0</v>
      </c>
      <c r="P298" s="299">
        <f t="shared" si="74"/>
        <v>0</v>
      </c>
      <c r="Q298" s="299">
        <f t="shared" si="68"/>
        <v>0</v>
      </c>
      <c r="R298" s="302">
        <f t="shared" si="69"/>
        <v>0</v>
      </c>
      <c r="S298" s="302">
        <f t="shared" si="70"/>
        <v>0</v>
      </c>
      <c r="T298" s="299">
        <f t="shared" si="71"/>
        <v>0</v>
      </c>
      <c r="U298" s="299">
        <f t="shared" si="75"/>
        <v>0</v>
      </c>
      <c r="V298" s="304"/>
      <c r="W298" s="505"/>
      <c r="X298" s="505"/>
      <c r="Y298" s="298">
        <f t="shared" si="77"/>
        <v>0.1</v>
      </c>
      <c r="Z298" s="309"/>
      <c r="AA298" s="306"/>
      <c r="AB298" s="307"/>
      <c r="AC298" s="297"/>
    </row>
    <row r="299" spans="3:29" x14ac:dyDescent="0.2">
      <c r="C299" s="489"/>
      <c r="D299" s="489"/>
      <c r="E299" s="494"/>
      <c r="F299" s="494">
        <v>285</v>
      </c>
      <c r="G299" s="297">
        <f t="shared" si="64"/>
        <v>2045</v>
      </c>
      <c r="H299" s="297">
        <f t="shared" si="65"/>
        <v>365</v>
      </c>
      <c r="I299" s="488">
        <f t="shared" si="66"/>
        <v>53214</v>
      </c>
      <c r="J299" s="488"/>
      <c r="K299" s="494">
        <f t="shared" si="67"/>
        <v>31</v>
      </c>
      <c r="L299" s="488">
        <f t="shared" si="72"/>
        <v>53235</v>
      </c>
      <c r="M299" s="299">
        <f t="shared" si="76"/>
        <v>0</v>
      </c>
      <c r="N299" s="303">
        <f t="shared" si="73"/>
        <v>0.1</v>
      </c>
      <c r="O299" s="299">
        <f t="shared" si="63"/>
        <v>0</v>
      </c>
      <c r="P299" s="299">
        <f t="shared" si="74"/>
        <v>0</v>
      </c>
      <c r="Q299" s="299">
        <f t="shared" si="68"/>
        <v>0</v>
      </c>
      <c r="R299" s="302">
        <f t="shared" si="69"/>
        <v>0</v>
      </c>
      <c r="S299" s="302">
        <f t="shared" si="70"/>
        <v>0</v>
      </c>
      <c r="T299" s="299">
        <f t="shared" si="71"/>
        <v>0</v>
      </c>
      <c r="U299" s="299">
        <f t="shared" si="75"/>
        <v>0</v>
      </c>
      <c r="V299" s="304"/>
      <c r="W299" s="505"/>
      <c r="X299" s="505"/>
      <c r="Y299" s="298">
        <f t="shared" si="77"/>
        <v>0.1</v>
      </c>
      <c r="Z299" s="309"/>
      <c r="AA299" s="306"/>
      <c r="AB299" s="307"/>
      <c r="AC299" s="297"/>
    </row>
    <row r="300" spans="3:29" x14ac:dyDescent="0.2">
      <c r="C300" s="489"/>
      <c r="D300" s="489"/>
      <c r="E300" s="494"/>
      <c r="F300" s="494">
        <v>286</v>
      </c>
      <c r="G300" s="297">
        <f t="shared" si="64"/>
        <v>2045</v>
      </c>
      <c r="H300" s="297">
        <f t="shared" si="65"/>
        <v>365</v>
      </c>
      <c r="I300" s="488">
        <f t="shared" si="66"/>
        <v>53244</v>
      </c>
      <c r="J300" s="488"/>
      <c r="K300" s="494">
        <f t="shared" si="67"/>
        <v>30</v>
      </c>
      <c r="L300" s="488">
        <f t="shared" si="72"/>
        <v>53266</v>
      </c>
      <c r="M300" s="299">
        <f t="shared" si="76"/>
        <v>0</v>
      </c>
      <c r="N300" s="303">
        <f t="shared" si="73"/>
        <v>0.1</v>
      </c>
      <c r="O300" s="299">
        <f t="shared" si="63"/>
        <v>0</v>
      </c>
      <c r="P300" s="299">
        <f t="shared" si="74"/>
        <v>0</v>
      </c>
      <c r="Q300" s="299">
        <f t="shared" si="68"/>
        <v>0</v>
      </c>
      <c r="R300" s="302">
        <f t="shared" si="69"/>
        <v>0</v>
      </c>
      <c r="S300" s="302">
        <f t="shared" si="70"/>
        <v>0</v>
      </c>
      <c r="T300" s="299">
        <f t="shared" si="71"/>
        <v>0</v>
      </c>
      <c r="U300" s="299">
        <f t="shared" si="75"/>
        <v>0</v>
      </c>
      <c r="V300" s="304"/>
      <c r="W300" s="505"/>
      <c r="X300" s="505"/>
      <c r="Y300" s="298">
        <f t="shared" si="77"/>
        <v>0.1</v>
      </c>
      <c r="Z300" s="309"/>
      <c r="AA300" s="306"/>
      <c r="AB300" s="307"/>
      <c r="AC300" s="297"/>
    </row>
    <row r="301" spans="3:29" x14ac:dyDescent="0.2">
      <c r="C301" s="489"/>
      <c r="D301" s="489"/>
      <c r="E301" s="494"/>
      <c r="F301" s="494">
        <v>287</v>
      </c>
      <c r="G301" s="297">
        <f t="shared" si="64"/>
        <v>2045</v>
      </c>
      <c r="H301" s="297">
        <f t="shared" si="65"/>
        <v>365</v>
      </c>
      <c r="I301" s="488">
        <f t="shared" si="66"/>
        <v>53275</v>
      </c>
      <c r="J301" s="488"/>
      <c r="K301" s="494">
        <f t="shared" si="67"/>
        <v>31</v>
      </c>
      <c r="L301" s="488">
        <f t="shared" si="72"/>
        <v>53296</v>
      </c>
      <c r="M301" s="299">
        <f t="shared" si="76"/>
        <v>0</v>
      </c>
      <c r="N301" s="303">
        <f t="shared" si="73"/>
        <v>0.1</v>
      </c>
      <c r="O301" s="299">
        <f t="shared" si="63"/>
        <v>0</v>
      </c>
      <c r="P301" s="299">
        <f t="shared" si="74"/>
        <v>0</v>
      </c>
      <c r="Q301" s="299">
        <f t="shared" si="68"/>
        <v>0</v>
      </c>
      <c r="R301" s="302">
        <f t="shared" si="69"/>
        <v>0</v>
      </c>
      <c r="S301" s="302">
        <f t="shared" si="70"/>
        <v>0</v>
      </c>
      <c r="T301" s="299">
        <f t="shared" si="71"/>
        <v>0</v>
      </c>
      <c r="U301" s="299">
        <f t="shared" si="75"/>
        <v>0</v>
      </c>
      <c r="V301" s="304"/>
      <c r="W301" s="505"/>
      <c r="X301" s="505"/>
      <c r="Y301" s="298">
        <f t="shared" si="77"/>
        <v>0.1</v>
      </c>
      <c r="Z301" s="309"/>
      <c r="AA301" s="306"/>
      <c r="AB301" s="307"/>
      <c r="AC301" s="297"/>
    </row>
    <row r="302" spans="3:29" x14ac:dyDescent="0.2">
      <c r="C302" s="489"/>
      <c r="D302" s="489"/>
      <c r="E302" s="494"/>
      <c r="F302" s="494">
        <v>288</v>
      </c>
      <c r="G302" s="297">
        <f t="shared" si="64"/>
        <v>2045</v>
      </c>
      <c r="H302" s="297">
        <f t="shared" si="65"/>
        <v>365</v>
      </c>
      <c r="I302" s="488">
        <f t="shared" si="66"/>
        <v>53305</v>
      </c>
      <c r="J302" s="488"/>
      <c r="K302" s="494">
        <f t="shared" si="67"/>
        <v>30</v>
      </c>
      <c r="L302" s="488">
        <f t="shared" si="72"/>
        <v>53327</v>
      </c>
      <c r="M302" s="299">
        <f t="shared" si="76"/>
        <v>0</v>
      </c>
      <c r="N302" s="303">
        <f t="shared" si="73"/>
        <v>0.1</v>
      </c>
      <c r="O302" s="299">
        <f t="shared" si="63"/>
        <v>0</v>
      </c>
      <c r="P302" s="299">
        <f t="shared" si="74"/>
        <v>0</v>
      </c>
      <c r="Q302" s="299">
        <f t="shared" si="68"/>
        <v>0</v>
      </c>
      <c r="R302" s="302">
        <f t="shared" si="69"/>
        <v>0</v>
      </c>
      <c r="S302" s="302">
        <f t="shared" si="70"/>
        <v>0</v>
      </c>
      <c r="T302" s="299">
        <f t="shared" si="71"/>
        <v>0</v>
      </c>
      <c r="U302" s="299">
        <f t="shared" si="75"/>
        <v>0</v>
      </c>
      <c r="V302" s="304"/>
      <c r="W302" s="505"/>
      <c r="X302" s="505"/>
      <c r="Y302" s="298">
        <f t="shared" si="77"/>
        <v>0.1</v>
      </c>
      <c r="Z302" s="309"/>
      <c r="AA302" s="306"/>
      <c r="AB302" s="307"/>
      <c r="AC302" s="297"/>
    </row>
    <row r="303" spans="3:29" x14ac:dyDescent="0.2">
      <c r="C303" s="489"/>
      <c r="D303" s="489"/>
      <c r="E303" s="494">
        <f>E291+1</f>
        <v>49</v>
      </c>
      <c r="F303" s="494">
        <v>289</v>
      </c>
      <c r="G303" s="297">
        <f t="shared" si="64"/>
        <v>2046</v>
      </c>
      <c r="H303" s="297">
        <f t="shared" si="65"/>
        <v>365</v>
      </c>
      <c r="I303" s="488">
        <f t="shared" si="66"/>
        <v>53336</v>
      </c>
      <c r="J303" s="488"/>
      <c r="K303" s="494">
        <f t="shared" si="67"/>
        <v>31</v>
      </c>
      <c r="L303" s="488">
        <f t="shared" si="72"/>
        <v>53358</v>
      </c>
      <c r="M303" s="299">
        <f t="shared" si="76"/>
        <v>0</v>
      </c>
      <c r="N303" s="303">
        <f t="shared" si="73"/>
        <v>0.1</v>
      </c>
      <c r="O303" s="299">
        <f t="shared" si="63"/>
        <v>0</v>
      </c>
      <c r="P303" s="299">
        <f t="shared" si="74"/>
        <v>0</v>
      </c>
      <c r="Q303" s="299">
        <f t="shared" si="68"/>
        <v>0</v>
      </c>
      <c r="R303" s="302">
        <f t="shared" si="69"/>
        <v>0</v>
      </c>
      <c r="S303" s="302">
        <f t="shared" si="70"/>
        <v>0</v>
      </c>
      <c r="T303" s="299">
        <f t="shared" si="71"/>
        <v>0</v>
      </c>
      <c r="U303" s="299">
        <f t="shared" si="75"/>
        <v>0</v>
      </c>
      <c r="V303" s="304">
        <f>IF(U303=0,0,((U303*10%+U303)*(W303+X303)))</f>
        <v>0</v>
      </c>
      <c r="W303" s="505">
        <f>INDEX('Тарифы СК'!$B$4:$C$53,MATCH($E$303,'Тарифы СК'!$A$4:$A$53,0),MATCH($AB$3,'Тарифы СК'!$B$3:$C$3,0))</f>
        <v>8.7500000000000008E-3</v>
      </c>
      <c r="X303" s="505">
        <f>'Тарифы СК'!$D$3</f>
        <v>1.1999999999999999E-3</v>
      </c>
      <c r="Y303" s="298">
        <f t="shared" si="77"/>
        <v>0.1</v>
      </c>
      <c r="Z303" s="309"/>
      <c r="AA303" s="306"/>
      <c r="AB303" s="307"/>
      <c r="AC303" s="297"/>
    </row>
    <row r="304" spans="3:29" x14ac:dyDescent="0.2">
      <c r="C304" s="489"/>
      <c r="D304" s="489"/>
      <c r="E304" s="494"/>
      <c r="F304" s="494">
        <v>290</v>
      </c>
      <c r="G304" s="297">
        <f t="shared" si="64"/>
        <v>2046</v>
      </c>
      <c r="H304" s="297">
        <f t="shared" si="65"/>
        <v>365</v>
      </c>
      <c r="I304" s="488">
        <f t="shared" si="66"/>
        <v>53367</v>
      </c>
      <c r="J304" s="488"/>
      <c r="K304" s="494">
        <f t="shared" si="67"/>
        <v>31</v>
      </c>
      <c r="L304" s="488">
        <f t="shared" si="72"/>
        <v>53386</v>
      </c>
      <c r="M304" s="299">
        <f t="shared" si="76"/>
        <v>0</v>
      </c>
      <c r="N304" s="303">
        <f t="shared" si="73"/>
        <v>0.1</v>
      </c>
      <c r="O304" s="299">
        <f t="shared" si="63"/>
        <v>0</v>
      </c>
      <c r="P304" s="299">
        <f t="shared" si="74"/>
        <v>0</v>
      </c>
      <c r="Q304" s="299">
        <f t="shared" si="68"/>
        <v>0</v>
      </c>
      <c r="R304" s="302">
        <f t="shared" si="69"/>
        <v>0</v>
      </c>
      <c r="S304" s="302">
        <f t="shared" si="70"/>
        <v>0</v>
      </c>
      <c r="T304" s="299">
        <f t="shared" si="71"/>
        <v>0</v>
      </c>
      <c r="U304" s="299">
        <f t="shared" si="75"/>
        <v>0</v>
      </c>
      <c r="V304" s="304"/>
      <c r="W304" s="505"/>
      <c r="X304" s="505"/>
      <c r="Y304" s="298">
        <f t="shared" si="77"/>
        <v>0.1</v>
      </c>
      <c r="Z304" s="309"/>
      <c r="AA304" s="306"/>
      <c r="AB304" s="307"/>
      <c r="AC304" s="297"/>
    </row>
    <row r="305" spans="3:29" x14ac:dyDescent="0.2">
      <c r="C305" s="489"/>
      <c r="D305" s="489"/>
      <c r="E305" s="494"/>
      <c r="F305" s="494">
        <v>291</v>
      </c>
      <c r="G305" s="297">
        <f t="shared" si="64"/>
        <v>2046</v>
      </c>
      <c r="H305" s="297">
        <f t="shared" si="65"/>
        <v>365</v>
      </c>
      <c r="I305" s="488">
        <f t="shared" si="66"/>
        <v>53395</v>
      </c>
      <c r="J305" s="488"/>
      <c r="K305" s="494">
        <f t="shared" si="67"/>
        <v>28</v>
      </c>
      <c r="L305" s="488">
        <f t="shared" si="72"/>
        <v>53417</v>
      </c>
      <c r="M305" s="299">
        <f t="shared" si="76"/>
        <v>0</v>
      </c>
      <c r="N305" s="303">
        <f t="shared" si="73"/>
        <v>0.1</v>
      </c>
      <c r="O305" s="299">
        <f t="shared" ref="O305:O368" si="78">M305*N305/H305*K305</f>
        <v>0</v>
      </c>
      <c r="P305" s="299">
        <f t="shared" si="74"/>
        <v>0</v>
      </c>
      <c r="Q305" s="299">
        <f t="shared" si="68"/>
        <v>0</v>
      </c>
      <c r="R305" s="302">
        <f t="shared" si="69"/>
        <v>0</v>
      </c>
      <c r="S305" s="302">
        <f t="shared" si="70"/>
        <v>0</v>
      </c>
      <c r="T305" s="299">
        <f t="shared" si="71"/>
        <v>0</v>
      </c>
      <c r="U305" s="299">
        <f t="shared" si="75"/>
        <v>0</v>
      </c>
      <c r="V305" s="304"/>
      <c r="W305" s="505"/>
      <c r="X305" s="505"/>
      <c r="Y305" s="298">
        <f t="shared" si="77"/>
        <v>0.1</v>
      </c>
      <c r="Z305" s="309"/>
      <c r="AA305" s="306"/>
      <c r="AB305" s="307"/>
      <c r="AC305" s="297"/>
    </row>
    <row r="306" spans="3:29" x14ac:dyDescent="0.2">
      <c r="C306" s="489"/>
      <c r="D306" s="489"/>
      <c r="E306" s="494"/>
      <c r="F306" s="494">
        <v>292</v>
      </c>
      <c r="G306" s="297">
        <f t="shared" si="64"/>
        <v>2046</v>
      </c>
      <c r="H306" s="297">
        <f t="shared" si="65"/>
        <v>365</v>
      </c>
      <c r="I306" s="488">
        <f t="shared" si="66"/>
        <v>53426</v>
      </c>
      <c r="J306" s="488"/>
      <c r="K306" s="494">
        <f t="shared" si="67"/>
        <v>31</v>
      </c>
      <c r="L306" s="488">
        <f t="shared" si="72"/>
        <v>53447</v>
      </c>
      <c r="M306" s="299">
        <f t="shared" si="76"/>
        <v>0</v>
      </c>
      <c r="N306" s="303">
        <f t="shared" si="73"/>
        <v>0.1</v>
      </c>
      <c r="O306" s="299">
        <f t="shared" si="78"/>
        <v>0</v>
      </c>
      <c r="P306" s="299">
        <f t="shared" si="74"/>
        <v>0</v>
      </c>
      <c r="Q306" s="299">
        <f t="shared" si="68"/>
        <v>0</v>
      </c>
      <c r="R306" s="302">
        <f t="shared" si="69"/>
        <v>0</v>
      </c>
      <c r="S306" s="302">
        <f t="shared" si="70"/>
        <v>0</v>
      </c>
      <c r="T306" s="299">
        <f t="shared" si="71"/>
        <v>0</v>
      </c>
      <c r="U306" s="299">
        <f t="shared" si="75"/>
        <v>0</v>
      </c>
      <c r="V306" s="304"/>
      <c r="W306" s="505"/>
      <c r="X306" s="505"/>
      <c r="Y306" s="298">
        <f t="shared" si="77"/>
        <v>0.1</v>
      </c>
      <c r="Z306" s="309"/>
      <c r="AA306" s="306"/>
      <c r="AB306" s="307"/>
      <c r="AC306" s="297"/>
    </row>
    <row r="307" spans="3:29" x14ac:dyDescent="0.2">
      <c r="C307" s="489"/>
      <c r="D307" s="489"/>
      <c r="E307" s="494"/>
      <c r="F307" s="494">
        <v>293</v>
      </c>
      <c r="G307" s="297">
        <f t="shared" si="64"/>
        <v>2046</v>
      </c>
      <c r="H307" s="297">
        <f t="shared" si="65"/>
        <v>365</v>
      </c>
      <c r="I307" s="488">
        <f t="shared" si="66"/>
        <v>53456</v>
      </c>
      <c r="J307" s="488"/>
      <c r="K307" s="494">
        <f t="shared" si="67"/>
        <v>30</v>
      </c>
      <c r="L307" s="488">
        <f t="shared" si="72"/>
        <v>53478</v>
      </c>
      <c r="M307" s="299">
        <f t="shared" si="76"/>
        <v>0</v>
      </c>
      <c r="N307" s="303">
        <f t="shared" si="73"/>
        <v>0.1</v>
      </c>
      <c r="O307" s="299">
        <f t="shared" si="78"/>
        <v>0</v>
      </c>
      <c r="P307" s="299">
        <f t="shared" si="74"/>
        <v>0</v>
      </c>
      <c r="Q307" s="299">
        <f t="shared" si="68"/>
        <v>0</v>
      </c>
      <c r="R307" s="302">
        <f t="shared" si="69"/>
        <v>0</v>
      </c>
      <c r="S307" s="302">
        <f t="shared" si="70"/>
        <v>0</v>
      </c>
      <c r="T307" s="299">
        <f t="shared" si="71"/>
        <v>0</v>
      </c>
      <c r="U307" s="299">
        <f t="shared" si="75"/>
        <v>0</v>
      </c>
      <c r="V307" s="304"/>
      <c r="W307" s="505"/>
      <c r="X307" s="505"/>
      <c r="Y307" s="298">
        <f t="shared" si="77"/>
        <v>0.1</v>
      </c>
      <c r="Z307" s="309"/>
      <c r="AA307" s="306"/>
      <c r="AB307" s="307"/>
      <c r="AC307" s="297"/>
    </row>
    <row r="308" spans="3:29" x14ac:dyDescent="0.2">
      <c r="C308" s="489"/>
      <c r="D308" s="489"/>
      <c r="E308" s="494"/>
      <c r="F308" s="494">
        <v>294</v>
      </c>
      <c r="G308" s="297">
        <f t="shared" si="64"/>
        <v>2046</v>
      </c>
      <c r="H308" s="297">
        <f t="shared" si="65"/>
        <v>365</v>
      </c>
      <c r="I308" s="488">
        <f t="shared" si="66"/>
        <v>53487</v>
      </c>
      <c r="J308" s="488"/>
      <c r="K308" s="494">
        <f t="shared" si="67"/>
        <v>31</v>
      </c>
      <c r="L308" s="488">
        <f t="shared" si="72"/>
        <v>53508</v>
      </c>
      <c r="M308" s="299">
        <f t="shared" si="76"/>
        <v>0</v>
      </c>
      <c r="N308" s="303">
        <f t="shared" si="73"/>
        <v>0.1</v>
      </c>
      <c r="O308" s="299">
        <f t="shared" si="78"/>
        <v>0</v>
      </c>
      <c r="P308" s="299">
        <f t="shared" si="74"/>
        <v>0</v>
      </c>
      <c r="Q308" s="299">
        <f t="shared" si="68"/>
        <v>0</v>
      </c>
      <c r="R308" s="302">
        <f t="shared" si="69"/>
        <v>0</v>
      </c>
      <c r="S308" s="302">
        <f t="shared" si="70"/>
        <v>0</v>
      </c>
      <c r="T308" s="299">
        <f t="shared" si="71"/>
        <v>0</v>
      </c>
      <c r="U308" s="299">
        <f t="shared" si="75"/>
        <v>0</v>
      </c>
      <c r="V308" s="304"/>
      <c r="W308" s="505"/>
      <c r="X308" s="505"/>
      <c r="Y308" s="298">
        <f t="shared" si="77"/>
        <v>0.1</v>
      </c>
      <c r="Z308" s="309"/>
      <c r="AA308" s="306"/>
      <c r="AB308" s="307"/>
      <c r="AC308" s="297"/>
    </row>
    <row r="309" spans="3:29" x14ac:dyDescent="0.2">
      <c r="C309" s="489"/>
      <c r="D309" s="489"/>
      <c r="E309" s="494"/>
      <c r="F309" s="494">
        <v>295</v>
      </c>
      <c r="G309" s="297">
        <f t="shared" si="64"/>
        <v>2046</v>
      </c>
      <c r="H309" s="297">
        <f t="shared" si="65"/>
        <v>365</v>
      </c>
      <c r="I309" s="488">
        <f t="shared" si="66"/>
        <v>53517</v>
      </c>
      <c r="J309" s="488"/>
      <c r="K309" s="494">
        <f t="shared" si="67"/>
        <v>30</v>
      </c>
      <c r="L309" s="488">
        <f t="shared" si="72"/>
        <v>53539</v>
      </c>
      <c r="M309" s="299">
        <f t="shared" si="76"/>
        <v>0</v>
      </c>
      <c r="N309" s="303">
        <f t="shared" si="73"/>
        <v>0.1</v>
      </c>
      <c r="O309" s="299">
        <f t="shared" si="78"/>
        <v>0</v>
      </c>
      <c r="P309" s="299">
        <f t="shared" si="74"/>
        <v>0</v>
      </c>
      <c r="Q309" s="299">
        <f t="shared" si="68"/>
        <v>0</v>
      </c>
      <c r="R309" s="302">
        <f t="shared" si="69"/>
        <v>0</v>
      </c>
      <c r="S309" s="302">
        <f t="shared" si="70"/>
        <v>0</v>
      </c>
      <c r="T309" s="299">
        <f t="shared" si="71"/>
        <v>0</v>
      </c>
      <c r="U309" s="299">
        <f t="shared" si="75"/>
        <v>0</v>
      </c>
      <c r="V309" s="304"/>
      <c r="W309" s="505"/>
      <c r="X309" s="505"/>
      <c r="Y309" s="298">
        <f t="shared" si="77"/>
        <v>0.1</v>
      </c>
      <c r="Z309" s="309"/>
      <c r="AA309" s="306"/>
      <c r="AB309" s="307"/>
      <c r="AC309" s="297"/>
    </row>
    <row r="310" spans="3:29" x14ac:dyDescent="0.2">
      <c r="C310" s="489"/>
      <c r="D310" s="489"/>
      <c r="E310" s="494"/>
      <c r="F310" s="494">
        <v>296</v>
      </c>
      <c r="G310" s="297">
        <f t="shared" si="64"/>
        <v>2046</v>
      </c>
      <c r="H310" s="297">
        <f t="shared" si="65"/>
        <v>365</v>
      </c>
      <c r="I310" s="488">
        <f t="shared" si="66"/>
        <v>53548</v>
      </c>
      <c r="J310" s="488"/>
      <c r="K310" s="494">
        <f t="shared" si="67"/>
        <v>31</v>
      </c>
      <c r="L310" s="488">
        <f t="shared" si="72"/>
        <v>53570</v>
      </c>
      <c r="M310" s="299">
        <f t="shared" si="76"/>
        <v>0</v>
      </c>
      <c r="N310" s="303">
        <f t="shared" si="73"/>
        <v>0.1</v>
      </c>
      <c r="O310" s="299">
        <f t="shared" si="78"/>
        <v>0</v>
      </c>
      <c r="P310" s="299">
        <f t="shared" si="74"/>
        <v>0</v>
      </c>
      <c r="Q310" s="299">
        <f t="shared" si="68"/>
        <v>0</v>
      </c>
      <c r="R310" s="302">
        <f t="shared" si="69"/>
        <v>0</v>
      </c>
      <c r="S310" s="302">
        <f t="shared" si="70"/>
        <v>0</v>
      </c>
      <c r="T310" s="299">
        <f t="shared" si="71"/>
        <v>0</v>
      </c>
      <c r="U310" s="299">
        <f t="shared" si="75"/>
        <v>0</v>
      </c>
      <c r="V310" s="304"/>
      <c r="W310" s="505"/>
      <c r="X310" s="505"/>
      <c r="Y310" s="298">
        <f t="shared" si="77"/>
        <v>0.1</v>
      </c>
      <c r="Z310" s="309"/>
      <c r="AA310" s="306"/>
      <c r="AB310" s="307"/>
      <c r="AC310" s="297"/>
    </row>
    <row r="311" spans="3:29" x14ac:dyDescent="0.2">
      <c r="C311" s="489"/>
      <c r="D311" s="489"/>
      <c r="E311" s="494"/>
      <c r="F311" s="494">
        <v>297</v>
      </c>
      <c r="G311" s="297">
        <f t="shared" si="64"/>
        <v>2046</v>
      </c>
      <c r="H311" s="297">
        <f t="shared" si="65"/>
        <v>365</v>
      </c>
      <c r="I311" s="488">
        <f t="shared" si="66"/>
        <v>53579</v>
      </c>
      <c r="J311" s="488"/>
      <c r="K311" s="494">
        <f t="shared" si="67"/>
        <v>31</v>
      </c>
      <c r="L311" s="488">
        <f t="shared" si="72"/>
        <v>53600</v>
      </c>
      <c r="M311" s="299">
        <f t="shared" si="76"/>
        <v>0</v>
      </c>
      <c r="N311" s="303">
        <f t="shared" si="73"/>
        <v>0.1</v>
      </c>
      <c r="O311" s="299">
        <f t="shared" si="78"/>
        <v>0</v>
      </c>
      <c r="P311" s="299">
        <f t="shared" si="74"/>
        <v>0</v>
      </c>
      <c r="Q311" s="299">
        <f t="shared" si="68"/>
        <v>0</v>
      </c>
      <c r="R311" s="302">
        <f t="shared" si="69"/>
        <v>0</v>
      </c>
      <c r="S311" s="302">
        <f t="shared" si="70"/>
        <v>0</v>
      </c>
      <c r="T311" s="299">
        <f t="shared" si="71"/>
        <v>0</v>
      </c>
      <c r="U311" s="299">
        <f t="shared" si="75"/>
        <v>0</v>
      </c>
      <c r="V311" s="304"/>
      <c r="W311" s="505"/>
      <c r="X311" s="505"/>
      <c r="Y311" s="298">
        <f t="shared" si="77"/>
        <v>0.1</v>
      </c>
      <c r="Z311" s="309"/>
      <c r="AA311" s="306"/>
      <c r="AB311" s="307"/>
      <c r="AC311" s="297"/>
    </row>
    <row r="312" spans="3:29" x14ac:dyDescent="0.2">
      <c r="C312" s="489"/>
      <c r="D312" s="489"/>
      <c r="E312" s="494"/>
      <c r="F312" s="494">
        <v>298</v>
      </c>
      <c r="G312" s="297">
        <f t="shared" si="64"/>
        <v>2046</v>
      </c>
      <c r="H312" s="297">
        <f t="shared" si="65"/>
        <v>365</v>
      </c>
      <c r="I312" s="488">
        <f t="shared" si="66"/>
        <v>53609</v>
      </c>
      <c r="J312" s="488"/>
      <c r="K312" s="494">
        <f t="shared" si="67"/>
        <v>30</v>
      </c>
      <c r="L312" s="488">
        <f t="shared" si="72"/>
        <v>53631</v>
      </c>
      <c r="M312" s="299">
        <f t="shared" si="76"/>
        <v>0</v>
      </c>
      <c r="N312" s="303">
        <f t="shared" si="73"/>
        <v>0.1</v>
      </c>
      <c r="O312" s="299">
        <f t="shared" si="78"/>
        <v>0</v>
      </c>
      <c r="P312" s="299">
        <f t="shared" si="74"/>
        <v>0</v>
      </c>
      <c r="Q312" s="299">
        <f t="shared" si="68"/>
        <v>0</v>
      </c>
      <c r="R312" s="302">
        <f t="shared" si="69"/>
        <v>0</v>
      </c>
      <c r="S312" s="302">
        <f t="shared" si="70"/>
        <v>0</v>
      </c>
      <c r="T312" s="299">
        <f t="shared" si="71"/>
        <v>0</v>
      </c>
      <c r="U312" s="299">
        <f t="shared" si="75"/>
        <v>0</v>
      </c>
      <c r="V312" s="304"/>
      <c r="W312" s="505"/>
      <c r="X312" s="505"/>
      <c r="Y312" s="298">
        <f t="shared" si="77"/>
        <v>0.1</v>
      </c>
      <c r="Z312" s="309"/>
      <c r="AA312" s="306"/>
      <c r="AB312" s="307"/>
      <c r="AC312" s="297"/>
    </row>
    <row r="313" spans="3:29" x14ac:dyDescent="0.2">
      <c r="C313" s="489"/>
      <c r="D313" s="489"/>
      <c r="E313" s="494"/>
      <c r="F313" s="494">
        <v>299</v>
      </c>
      <c r="G313" s="297">
        <f t="shared" si="64"/>
        <v>2046</v>
      </c>
      <c r="H313" s="297">
        <f t="shared" si="65"/>
        <v>365</v>
      </c>
      <c r="I313" s="488">
        <f t="shared" si="66"/>
        <v>53640</v>
      </c>
      <c r="J313" s="488"/>
      <c r="K313" s="494">
        <f t="shared" si="67"/>
        <v>31</v>
      </c>
      <c r="L313" s="488">
        <f t="shared" si="72"/>
        <v>53661</v>
      </c>
      <c r="M313" s="299">
        <f t="shared" si="76"/>
        <v>0</v>
      </c>
      <c r="N313" s="303">
        <f t="shared" si="73"/>
        <v>0.1</v>
      </c>
      <c r="O313" s="299">
        <f t="shared" si="78"/>
        <v>0</v>
      </c>
      <c r="P313" s="299">
        <f t="shared" si="74"/>
        <v>0</v>
      </c>
      <c r="Q313" s="299">
        <f t="shared" si="68"/>
        <v>0</v>
      </c>
      <c r="R313" s="302">
        <f t="shared" si="69"/>
        <v>0</v>
      </c>
      <c r="S313" s="302">
        <f t="shared" si="70"/>
        <v>0</v>
      </c>
      <c r="T313" s="299">
        <f t="shared" si="71"/>
        <v>0</v>
      </c>
      <c r="U313" s="299">
        <f t="shared" si="75"/>
        <v>0</v>
      </c>
      <c r="V313" s="304"/>
      <c r="W313" s="505"/>
      <c r="X313" s="505"/>
      <c r="Y313" s="298">
        <f t="shared" si="77"/>
        <v>0.1</v>
      </c>
      <c r="Z313" s="309"/>
      <c r="AA313" s="306"/>
      <c r="AB313" s="307"/>
      <c r="AC313" s="297"/>
    </row>
    <row r="314" spans="3:29" x14ac:dyDescent="0.2">
      <c r="C314" s="489"/>
      <c r="D314" s="489"/>
      <c r="E314" s="494"/>
      <c r="F314" s="494">
        <v>300</v>
      </c>
      <c r="G314" s="297">
        <f t="shared" si="64"/>
        <v>2046</v>
      </c>
      <c r="H314" s="297">
        <f t="shared" si="65"/>
        <v>365</v>
      </c>
      <c r="I314" s="488">
        <f t="shared" si="66"/>
        <v>53670</v>
      </c>
      <c r="J314" s="488"/>
      <c r="K314" s="494">
        <f t="shared" si="67"/>
        <v>30</v>
      </c>
      <c r="L314" s="488">
        <f t="shared" si="72"/>
        <v>53692</v>
      </c>
      <c r="M314" s="299">
        <f t="shared" si="76"/>
        <v>0</v>
      </c>
      <c r="N314" s="303">
        <f t="shared" si="73"/>
        <v>0.1</v>
      </c>
      <c r="O314" s="299">
        <f t="shared" si="78"/>
        <v>0</v>
      </c>
      <c r="P314" s="299">
        <f t="shared" si="74"/>
        <v>0</v>
      </c>
      <c r="Q314" s="299">
        <f t="shared" si="68"/>
        <v>0</v>
      </c>
      <c r="R314" s="302">
        <f t="shared" si="69"/>
        <v>0</v>
      </c>
      <c r="S314" s="302">
        <f t="shared" si="70"/>
        <v>0</v>
      </c>
      <c r="T314" s="299">
        <f t="shared" si="71"/>
        <v>0</v>
      </c>
      <c r="U314" s="299">
        <f t="shared" si="75"/>
        <v>0</v>
      </c>
      <c r="V314" s="304"/>
      <c r="W314" s="505"/>
      <c r="X314" s="505"/>
      <c r="Y314" s="298">
        <f t="shared" si="77"/>
        <v>0.1</v>
      </c>
      <c r="Z314" s="309"/>
      <c r="AA314" s="306"/>
      <c r="AB314" s="307"/>
      <c r="AC314" s="297"/>
    </row>
    <row r="315" spans="3:29" x14ac:dyDescent="0.2">
      <c r="C315" s="489"/>
      <c r="D315" s="489"/>
      <c r="E315" s="494">
        <f>E303+1</f>
        <v>50</v>
      </c>
      <c r="F315" s="494">
        <v>301</v>
      </c>
      <c r="G315" s="297">
        <f t="shared" si="64"/>
        <v>2047</v>
      </c>
      <c r="H315" s="297">
        <f t="shared" si="65"/>
        <v>365</v>
      </c>
      <c r="I315" s="488">
        <f t="shared" si="66"/>
        <v>53701</v>
      </c>
      <c r="J315" s="488"/>
      <c r="K315" s="494">
        <f t="shared" si="67"/>
        <v>31</v>
      </c>
      <c r="L315" s="488">
        <f t="shared" si="72"/>
        <v>53723</v>
      </c>
      <c r="M315" s="299">
        <f t="shared" si="76"/>
        <v>0</v>
      </c>
      <c r="N315" s="303">
        <f t="shared" si="73"/>
        <v>0.1</v>
      </c>
      <c r="O315" s="299">
        <f t="shared" si="78"/>
        <v>0</v>
      </c>
      <c r="P315" s="299">
        <f t="shared" si="74"/>
        <v>0</v>
      </c>
      <c r="Q315" s="299">
        <f t="shared" si="68"/>
        <v>0</v>
      </c>
      <c r="R315" s="302">
        <f t="shared" si="69"/>
        <v>0</v>
      </c>
      <c r="S315" s="302">
        <f t="shared" si="70"/>
        <v>0</v>
      </c>
      <c r="T315" s="299">
        <f t="shared" si="71"/>
        <v>0</v>
      </c>
      <c r="U315" s="299">
        <f t="shared" si="75"/>
        <v>0</v>
      </c>
      <c r="V315" s="304">
        <f>IF(U315=0,0,((U315*10%+U315)*(W315+X315)))</f>
        <v>0</v>
      </c>
      <c r="W315" s="505">
        <f>INDEX('Тарифы СК'!$B$4:$C$53,MATCH($E$315,'Тарифы СК'!$A$4:$A$53,0),MATCH($AB$3,'Тарифы СК'!$B$3:$C$3,0))</f>
        <v>9.5700000000000004E-3</v>
      </c>
      <c r="X315" s="505">
        <f>'Тарифы СК'!$D$3</f>
        <v>1.1999999999999999E-3</v>
      </c>
      <c r="Y315" s="298">
        <f t="shared" si="77"/>
        <v>0.1</v>
      </c>
      <c r="Z315" s="309"/>
      <c r="AA315" s="306"/>
      <c r="AB315" s="307"/>
      <c r="AC315" s="297"/>
    </row>
    <row r="316" spans="3:29" x14ac:dyDescent="0.2">
      <c r="C316" s="489"/>
      <c r="D316" s="489"/>
      <c r="E316" s="494"/>
      <c r="F316" s="494">
        <v>302</v>
      </c>
      <c r="G316" s="297">
        <f t="shared" si="64"/>
        <v>2047</v>
      </c>
      <c r="H316" s="297">
        <f t="shared" si="65"/>
        <v>365</v>
      </c>
      <c r="I316" s="488">
        <f t="shared" si="66"/>
        <v>53732</v>
      </c>
      <c r="J316" s="488"/>
      <c r="K316" s="494">
        <f t="shared" si="67"/>
        <v>31</v>
      </c>
      <c r="L316" s="488">
        <f t="shared" si="72"/>
        <v>53751</v>
      </c>
      <c r="M316" s="299">
        <f t="shared" si="76"/>
        <v>0</v>
      </c>
      <c r="N316" s="303">
        <f t="shared" si="73"/>
        <v>0.1</v>
      </c>
      <c r="O316" s="299">
        <f t="shared" si="78"/>
        <v>0</v>
      </c>
      <c r="P316" s="299">
        <f t="shared" si="74"/>
        <v>0</v>
      </c>
      <c r="Q316" s="299">
        <f t="shared" si="68"/>
        <v>0</v>
      </c>
      <c r="R316" s="302">
        <f t="shared" si="69"/>
        <v>0</v>
      </c>
      <c r="S316" s="302">
        <f t="shared" si="70"/>
        <v>0</v>
      </c>
      <c r="T316" s="299">
        <f t="shared" si="71"/>
        <v>0</v>
      </c>
      <c r="U316" s="299">
        <f t="shared" si="75"/>
        <v>0</v>
      </c>
      <c r="V316" s="304"/>
      <c r="W316" s="505"/>
      <c r="X316" s="505"/>
      <c r="Y316" s="298">
        <f t="shared" si="77"/>
        <v>0.1</v>
      </c>
      <c r="Z316" s="309"/>
      <c r="AA316" s="306"/>
      <c r="AB316" s="307"/>
      <c r="AC316" s="297"/>
    </row>
    <row r="317" spans="3:29" x14ac:dyDescent="0.2">
      <c r="C317" s="489"/>
      <c r="D317" s="489"/>
      <c r="E317" s="494"/>
      <c r="F317" s="494">
        <v>303</v>
      </c>
      <c r="G317" s="297">
        <f t="shared" si="64"/>
        <v>2047</v>
      </c>
      <c r="H317" s="297">
        <f t="shared" si="65"/>
        <v>365</v>
      </c>
      <c r="I317" s="488">
        <f t="shared" si="66"/>
        <v>53760</v>
      </c>
      <c r="J317" s="488"/>
      <c r="K317" s="494">
        <f t="shared" si="67"/>
        <v>28</v>
      </c>
      <c r="L317" s="488">
        <f t="shared" si="72"/>
        <v>53782</v>
      </c>
      <c r="M317" s="299">
        <f t="shared" si="76"/>
        <v>0</v>
      </c>
      <c r="N317" s="303">
        <f t="shared" si="73"/>
        <v>0.1</v>
      </c>
      <c r="O317" s="299">
        <f t="shared" si="78"/>
        <v>0</v>
      </c>
      <c r="P317" s="299">
        <f t="shared" si="74"/>
        <v>0</v>
      </c>
      <c r="Q317" s="299">
        <f t="shared" si="68"/>
        <v>0</v>
      </c>
      <c r="R317" s="302">
        <f t="shared" si="69"/>
        <v>0</v>
      </c>
      <c r="S317" s="302">
        <f t="shared" si="70"/>
        <v>0</v>
      </c>
      <c r="T317" s="299">
        <f t="shared" si="71"/>
        <v>0</v>
      </c>
      <c r="U317" s="299">
        <f t="shared" si="75"/>
        <v>0</v>
      </c>
      <c r="V317" s="304"/>
      <c r="W317" s="505"/>
      <c r="X317" s="505"/>
      <c r="Y317" s="298">
        <f t="shared" si="77"/>
        <v>0.1</v>
      </c>
      <c r="Z317" s="309"/>
      <c r="AA317" s="306"/>
      <c r="AB317" s="307"/>
      <c r="AC317" s="297"/>
    </row>
    <row r="318" spans="3:29" x14ac:dyDescent="0.2">
      <c r="C318" s="489"/>
      <c r="D318" s="489"/>
      <c r="E318" s="494"/>
      <c r="F318" s="494">
        <v>304</v>
      </c>
      <c r="G318" s="297">
        <f t="shared" si="64"/>
        <v>2047</v>
      </c>
      <c r="H318" s="297">
        <f t="shared" si="65"/>
        <v>365</v>
      </c>
      <c r="I318" s="488">
        <f t="shared" si="66"/>
        <v>53791</v>
      </c>
      <c r="J318" s="488"/>
      <c r="K318" s="494">
        <f t="shared" si="67"/>
        <v>31</v>
      </c>
      <c r="L318" s="488">
        <f t="shared" si="72"/>
        <v>53812</v>
      </c>
      <c r="M318" s="299">
        <f t="shared" si="76"/>
        <v>0</v>
      </c>
      <c r="N318" s="303">
        <f t="shared" si="73"/>
        <v>0.1</v>
      </c>
      <c r="O318" s="299">
        <f t="shared" si="78"/>
        <v>0</v>
      </c>
      <c r="P318" s="299">
        <f t="shared" si="74"/>
        <v>0</v>
      </c>
      <c r="Q318" s="299">
        <f t="shared" si="68"/>
        <v>0</v>
      </c>
      <c r="R318" s="302">
        <f t="shared" si="69"/>
        <v>0</v>
      </c>
      <c r="S318" s="302">
        <f t="shared" si="70"/>
        <v>0</v>
      </c>
      <c r="T318" s="299">
        <f t="shared" si="71"/>
        <v>0</v>
      </c>
      <c r="U318" s="299">
        <f t="shared" si="75"/>
        <v>0</v>
      </c>
      <c r="V318" s="304"/>
      <c r="W318" s="505"/>
      <c r="X318" s="505"/>
      <c r="Y318" s="298">
        <f t="shared" si="77"/>
        <v>0.1</v>
      </c>
      <c r="Z318" s="309"/>
      <c r="AA318" s="306"/>
      <c r="AB318" s="307"/>
      <c r="AC318" s="297"/>
    </row>
    <row r="319" spans="3:29" x14ac:dyDescent="0.2">
      <c r="C319" s="489"/>
      <c r="D319" s="489"/>
      <c r="E319" s="494"/>
      <c r="F319" s="494">
        <v>305</v>
      </c>
      <c r="G319" s="297">
        <f t="shared" si="64"/>
        <v>2047</v>
      </c>
      <c r="H319" s="297">
        <f t="shared" si="65"/>
        <v>365</v>
      </c>
      <c r="I319" s="488">
        <f t="shared" si="66"/>
        <v>53821</v>
      </c>
      <c r="J319" s="488"/>
      <c r="K319" s="494">
        <f t="shared" si="67"/>
        <v>30</v>
      </c>
      <c r="L319" s="488">
        <f t="shared" si="72"/>
        <v>53843</v>
      </c>
      <c r="M319" s="299">
        <f t="shared" si="76"/>
        <v>0</v>
      </c>
      <c r="N319" s="303">
        <f t="shared" si="73"/>
        <v>0.1</v>
      </c>
      <c r="O319" s="299">
        <f t="shared" si="78"/>
        <v>0</v>
      </c>
      <c r="P319" s="299">
        <f t="shared" si="74"/>
        <v>0</v>
      </c>
      <c r="Q319" s="299">
        <f t="shared" si="68"/>
        <v>0</v>
      </c>
      <c r="R319" s="302">
        <f t="shared" si="69"/>
        <v>0</v>
      </c>
      <c r="S319" s="302">
        <f t="shared" si="70"/>
        <v>0</v>
      </c>
      <c r="T319" s="299">
        <f t="shared" si="71"/>
        <v>0</v>
      </c>
      <c r="U319" s="299">
        <f t="shared" si="75"/>
        <v>0</v>
      </c>
      <c r="V319" s="304"/>
      <c r="W319" s="505"/>
      <c r="X319" s="505"/>
      <c r="Y319" s="298">
        <f t="shared" si="77"/>
        <v>0.1</v>
      </c>
      <c r="Z319" s="309"/>
      <c r="AA319" s="306"/>
      <c r="AB319" s="307"/>
      <c r="AC319" s="297"/>
    </row>
    <row r="320" spans="3:29" x14ac:dyDescent="0.2">
      <c r="C320" s="489"/>
      <c r="D320" s="489"/>
      <c r="E320" s="494"/>
      <c r="F320" s="494">
        <v>306</v>
      </c>
      <c r="G320" s="297">
        <f t="shared" si="64"/>
        <v>2047</v>
      </c>
      <c r="H320" s="297">
        <f t="shared" si="65"/>
        <v>365</v>
      </c>
      <c r="I320" s="488">
        <f t="shared" si="66"/>
        <v>53852</v>
      </c>
      <c r="J320" s="488"/>
      <c r="K320" s="494">
        <f t="shared" si="67"/>
        <v>31</v>
      </c>
      <c r="L320" s="488">
        <f t="shared" si="72"/>
        <v>53873</v>
      </c>
      <c r="M320" s="299">
        <f t="shared" si="76"/>
        <v>0</v>
      </c>
      <c r="N320" s="303">
        <f t="shared" si="73"/>
        <v>0.1</v>
      </c>
      <c r="O320" s="299">
        <f t="shared" si="78"/>
        <v>0</v>
      </c>
      <c r="P320" s="299">
        <f t="shared" si="74"/>
        <v>0</v>
      </c>
      <c r="Q320" s="299">
        <f t="shared" si="68"/>
        <v>0</v>
      </c>
      <c r="R320" s="302">
        <f t="shared" si="69"/>
        <v>0</v>
      </c>
      <c r="S320" s="302">
        <f t="shared" si="70"/>
        <v>0</v>
      </c>
      <c r="T320" s="299">
        <f t="shared" si="71"/>
        <v>0</v>
      </c>
      <c r="U320" s="299">
        <f t="shared" si="75"/>
        <v>0</v>
      </c>
      <c r="V320" s="304"/>
      <c r="W320" s="505"/>
      <c r="X320" s="505"/>
      <c r="Y320" s="298">
        <f t="shared" si="77"/>
        <v>0.1</v>
      </c>
      <c r="Z320" s="309"/>
      <c r="AA320" s="306"/>
      <c r="AB320" s="307"/>
      <c r="AC320" s="297"/>
    </row>
    <row r="321" spans="3:29" x14ac:dyDescent="0.2">
      <c r="C321" s="489"/>
      <c r="D321" s="489"/>
      <c r="E321" s="494"/>
      <c r="F321" s="494">
        <v>307</v>
      </c>
      <c r="G321" s="297">
        <f t="shared" si="64"/>
        <v>2047</v>
      </c>
      <c r="H321" s="297">
        <f t="shared" si="65"/>
        <v>365</v>
      </c>
      <c r="I321" s="488">
        <f t="shared" si="66"/>
        <v>53882</v>
      </c>
      <c r="J321" s="488"/>
      <c r="K321" s="494">
        <f t="shared" si="67"/>
        <v>30</v>
      </c>
      <c r="L321" s="488">
        <f t="shared" si="72"/>
        <v>53904</v>
      </c>
      <c r="M321" s="299">
        <f t="shared" si="76"/>
        <v>0</v>
      </c>
      <c r="N321" s="303">
        <f t="shared" si="73"/>
        <v>0.1</v>
      </c>
      <c r="O321" s="299">
        <f t="shared" si="78"/>
        <v>0</v>
      </c>
      <c r="P321" s="299">
        <f t="shared" si="74"/>
        <v>0</v>
      </c>
      <c r="Q321" s="299">
        <f t="shared" si="68"/>
        <v>0</v>
      </c>
      <c r="R321" s="302">
        <f t="shared" si="69"/>
        <v>0</v>
      </c>
      <c r="S321" s="302">
        <f t="shared" si="70"/>
        <v>0</v>
      </c>
      <c r="T321" s="299">
        <f t="shared" si="71"/>
        <v>0</v>
      </c>
      <c r="U321" s="299">
        <f t="shared" si="75"/>
        <v>0</v>
      </c>
      <c r="V321" s="304"/>
      <c r="W321" s="505"/>
      <c r="X321" s="505"/>
      <c r="Y321" s="298">
        <f t="shared" si="77"/>
        <v>0.1</v>
      </c>
      <c r="Z321" s="309"/>
      <c r="AA321" s="306"/>
      <c r="AB321" s="307"/>
      <c r="AC321" s="297"/>
    </row>
    <row r="322" spans="3:29" x14ac:dyDescent="0.2">
      <c r="C322" s="489"/>
      <c r="D322" s="489"/>
      <c r="E322" s="494"/>
      <c r="F322" s="494">
        <v>308</v>
      </c>
      <c r="G322" s="297">
        <f t="shared" si="64"/>
        <v>2047</v>
      </c>
      <c r="H322" s="297">
        <f t="shared" si="65"/>
        <v>365</v>
      </c>
      <c r="I322" s="488">
        <f t="shared" si="66"/>
        <v>53913</v>
      </c>
      <c r="J322" s="488"/>
      <c r="K322" s="494">
        <f t="shared" si="67"/>
        <v>31</v>
      </c>
      <c r="L322" s="488">
        <f t="shared" si="72"/>
        <v>53935</v>
      </c>
      <c r="M322" s="299">
        <f t="shared" si="76"/>
        <v>0</v>
      </c>
      <c r="N322" s="303">
        <f t="shared" si="73"/>
        <v>0.1</v>
      </c>
      <c r="O322" s="299">
        <f t="shared" si="78"/>
        <v>0</v>
      </c>
      <c r="P322" s="299">
        <f t="shared" si="74"/>
        <v>0</v>
      </c>
      <c r="Q322" s="299">
        <f t="shared" si="68"/>
        <v>0</v>
      </c>
      <c r="R322" s="302">
        <f t="shared" si="69"/>
        <v>0</v>
      </c>
      <c r="S322" s="302">
        <f t="shared" si="70"/>
        <v>0</v>
      </c>
      <c r="T322" s="299">
        <f t="shared" si="71"/>
        <v>0</v>
      </c>
      <c r="U322" s="299">
        <f t="shared" si="75"/>
        <v>0</v>
      </c>
      <c r="V322" s="304"/>
      <c r="W322" s="505"/>
      <c r="X322" s="505"/>
      <c r="Y322" s="298">
        <f t="shared" si="77"/>
        <v>0.1</v>
      </c>
      <c r="Z322" s="309"/>
      <c r="AA322" s="306"/>
      <c r="AB322" s="307"/>
      <c r="AC322" s="297"/>
    </row>
    <row r="323" spans="3:29" x14ac:dyDescent="0.2">
      <c r="C323" s="489"/>
      <c r="D323" s="489"/>
      <c r="E323" s="494"/>
      <c r="F323" s="494">
        <v>309</v>
      </c>
      <c r="G323" s="297">
        <f t="shared" si="64"/>
        <v>2047</v>
      </c>
      <c r="H323" s="297">
        <f t="shared" si="65"/>
        <v>365</v>
      </c>
      <c r="I323" s="488">
        <f t="shared" si="66"/>
        <v>53944</v>
      </c>
      <c r="J323" s="488"/>
      <c r="K323" s="494">
        <f t="shared" si="67"/>
        <v>31</v>
      </c>
      <c r="L323" s="488">
        <f t="shared" si="72"/>
        <v>53965</v>
      </c>
      <c r="M323" s="299">
        <f t="shared" si="76"/>
        <v>0</v>
      </c>
      <c r="N323" s="303">
        <f t="shared" si="73"/>
        <v>0.1</v>
      </c>
      <c r="O323" s="299">
        <f t="shared" si="78"/>
        <v>0</v>
      </c>
      <c r="P323" s="299">
        <f t="shared" si="74"/>
        <v>0</v>
      </c>
      <c r="Q323" s="299">
        <f t="shared" si="68"/>
        <v>0</v>
      </c>
      <c r="R323" s="302">
        <f t="shared" si="69"/>
        <v>0</v>
      </c>
      <c r="S323" s="302">
        <f t="shared" si="70"/>
        <v>0</v>
      </c>
      <c r="T323" s="299">
        <f t="shared" si="71"/>
        <v>0</v>
      </c>
      <c r="U323" s="299">
        <f t="shared" si="75"/>
        <v>0</v>
      </c>
      <c r="V323" s="304"/>
      <c r="W323" s="505"/>
      <c r="X323" s="505"/>
      <c r="Y323" s="298">
        <f t="shared" si="77"/>
        <v>0.1</v>
      </c>
      <c r="Z323" s="309"/>
      <c r="AA323" s="306"/>
      <c r="AB323" s="307"/>
      <c r="AC323" s="297"/>
    </row>
    <row r="324" spans="3:29" x14ac:dyDescent="0.2">
      <c r="C324" s="489"/>
      <c r="D324" s="489"/>
      <c r="E324" s="494"/>
      <c r="F324" s="494">
        <v>310</v>
      </c>
      <c r="G324" s="297">
        <f t="shared" si="64"/>
        <v>2047</v>
      </c>
      <c r="H324" s="297">
        <f t="shared" si="65"/>
        <v>365</v>
      </c>
      <c r="I324" s="488">
        <f t="shared" si="66"/>
        <v>53974</v>
      </c>
      <c r="J324" s="488"/>
      <c r="K324" s="494">
        <f t="shared" si="67"/>
        <v>30</v>
      </c>
      <c r="L324" s="488">
        <f t="shared" si="72"/>
        <v>53996</v>
      </c>
      <c r="M324" s="299">
        <f t="shared" si="76"/>
        <v>0</v>
      </c>
      <c r="N324" s="303">
        <f t="shared" si="73"/>
        <v>0.1</v>
      </c>
      <c r="O324" s="299">
        <f t="shared" si="78"/>
        <v>0</v>
      </c>
      <c r="P324" s="299">
        <f t="shared" si="74"/>
        <v>0</v>
      </c>
      <c r="Q324" s="299">
        <f t="shared" si="68"/>
        <v>0</v>
      </c>
      <c r="R324" s="302">
        <f t="shared" si="69"/>
        <v>0</v>
      </c>
      <c r="S324" s="302">
        <f t="shared" si="70"/>
        <v>0</v>
      </c>
      <c r="T324" s="299">
        <f t="shared" si="71"/>
        <v>0</v>
      </c>
      <c r="U324" s="299">
        <f t="shared" si="75"/>
        <v>0</v>
      </c>
      <c r="V324" s="304"/>
      <c r="W324" s="505"/>
      <c r="X324" s="505"/>
      <c r="Y324" s="298">
        <f t="shared" si="77"/>
        <v>0.1</v>
      </c>
      <c r="Z324" s="309"/>
      <c r="AA324" s="306"/>
      <c r="AB324" s="307"/>
      <c r="AC324" s="297"/>
    </row>
    <row r="325" spans="3:29" x14ac:dyDescent="0.2">
      <c r="C325" s="489"/>
      <c r="D325" s="489"/>
      <c r="E325" s="494"/>
      <c r="F325" s="494">
        <v>311</v>
      </c>
      <c r="G325" s="297">
        <f t="shared" si="64"/>
        <v>2047</v>
      </c>
      <c r="H325" s="297">
        <f t="shared" si="65"/>
        <v>365</v>
      </c>
      <c r="I325" s="488">
        <f t="shared" si="66"/>
        <v>54005</v>
      </c>
      <c r="J325" s="488"/>
      <c r="K325" s="494">
        <f t="shared" si="67"/>
        <v>31</v>
      </c>
      <c r="L325" s="488">
        <f t="shared" si="72"/>
        <v>54026</v>
      </c>
      <c r="M325" s="299">
        <f t="shared" si="76"/>
        <v>0</v>
      </c>
      <c r="N325" s="303">
        <f t="shared" si="73"/>
        <v>0.1</v>
      </c>
      <c r="O325" s="299">
        <f t="shared" si="78"/>
        <v>0</v>
      </c>
      <c r="P325" s="299">
        <f t="shared" si="74"/>
        <v>0</v>
      </c>
      <c r="Q325" s="299">
        <f t="shared" si="68"/>
        <v>0</v>
      </c>
      <c r="R325" s="302">
        <f t="shared" si="69"/>
        <v>0</v>
      </c>
      <c r="S325" s="302">
        <f t="shared" si="70"/>
        <v>0</v>
      </c>
      <c r="T325" s="299">
        <f t="shared" si="71"/>
        <v>0</v>
      </c>
      <c r="U325" s="299">
        <f t="shared" si="75"/>
        <v>0</v>
      </c>
      <c r="V325" s="304"/>
      <c r="W325" s="505"/>
      <c r="X325" s="505"/>
      <c r="Y325" s="298">
        <f t="shared" si="77"/>
        <v>0.1</v>
      </c>
      <c r="Z325" s="309"/>
      <c r="AA325" s="306"/>
      <c r="AB325" s="307"/>
      <c r="AC325" s="297"/>
    </row>
    <row r="326" spans="3:29" x14ac:dyDescent="0.2">
      <c r="C326" s="489"/>
      <c r="D326" s="489"/>
      <c r="E326" s="494"/>
      <c r="F326" s="494">
        <v>312</v>
      </c>
      <c r="G326" s="297">
        <f t="shared" si="64"/>
        <v>2047</v>
      </c>
      <c r="H326" s="297">
        <f t="shared" si="65"/>
        <v>365</v>
      </c>
      <c r="I326" s="488">
        <f t="shared" si="66"/>
        <v>54035</v>
      </c>
      <c r="J326" s="488"/>
      <c r="K326" s="494">
        <f t="shared" si="67"/>
        <v>30</v>
      </c>
      <c r="L326" s="488">
        <f t="shared" si="72"/>
        <v>54057</v>
      </c>
      <c r="M326" s="299">
        <f t="shared" si="76"/>
        <v>0</v>
      </c>
      <c r="N326" s="303">
        <f t="shared" si="73"/>
        <v>0.1</v>
      </c>
      <c r="O326" s="299">
        <f t="shared" si="78"/>
        <v>0</v>
      </c>
      <c r="P326" s="299">
        <f t="shared" si="74"/>
        <v>0</v>
      </c>
      <c r="Q326" s="299">
        <f t="shared" si="68"/>
        <v>0</v>
      </c>
      <c r="R326" s="302">
        <f t="shared" si="69"/>
        <v>0</v>
      </c>
      <c r="S326" s="302">
        <f t="shared" si="70"/>
        <v>0</v>
      </c>
      <c r="T326" s="299">
        <f t="shared" si="71"/>
        <v>0</v>
      </c>
      <c r="U326" s="299">
        <f t="shared" si="75"/>
        <v>0</v>
      </c>
      <c r="V326" s="304"/>
      <c r="W326" s="505"/>
      <c r="X326" s="505"/>
      <c r="Y326" s="298">
        <f t="shared" si="77"/>
        <v>0.1</v>
      </c>
      <c r="Z326" s="309"/>
      <c r="AA326" s="306"/>
      <c r="AB326" s="307"/>
      <c r="AC326" s="297"/>
    </row>
    <row r="327" spans="3:29" x14ac:dyDescent="0.2">
      <c r="C327" s="489"/>
      <c r="D327" s="489"/>
      <c r="E327" s="494">
        <f>E315+1</f>
        <v>51</v>
      </c>
      <c r="F327" s="494">
        <v>313</v>
      </c>
      <c r="G327" s="297">
        <f t="shared" si="64"/>
        <v>2048</v>
      </c>
      <c r="H327" s="297">
        <f t="shared" si="65"/>
        <v>366</v>
      </c>
      <c r="I327" s="488">
        <f t="shared" si="66"/>
        <v>54066</v>
      </c>
      <c r="J327" s="488"/>
      <c r="K327" s="494">
        <f t="shared" si="67"/>
        <v>31</v>
      </c>
      <c r="L327" s="488">
        <f t="shared" si="72"/>
        <v>54088</v>
      </c>
      <c r="M327" s="299">
        <f t="shared" si="76"/>
        <v>0</v>
      </c>
      <c r="N327" s="303">
        <f t="shared" si="73"/>
        <v>0.1</v>
      </c>
      <c r="O327" s="299">
        <f t="shared" si="78"/>
        <v>0</v>
      </c>
      <c r="P327" s="299">
        <f t="shared" si="74"/>
        <v>0</v>
      </c>
      <c r="Q327" s="299">
        <f t="shared" si="68"/>
        <v>0</v>
      </c>
      <c r="R327" s="302">
        <f t="shared" si="69"/>
        <v>0</v>
      </c>
      <c r="S327" s="302">
        <f t="shared" si="70"/>
        <v>0</v>
      </c>
      <c r="T327" s="299">
        <f t="shared" si="71"/>
        <v>0</v>
      </c>
      <c r="U327" s="299">
        <f t="shared" si="75"/>
        <v>0</v>
      </c>
      <c r="V327" s="304">
        <f>IF(U327=0,0,((U327*10%+U327)*(W327+X327)))</f>
        <v>0</v>
      </c>
      <c r="W327" s="505">
        <f>INDEX('Тарифы СК'!$B$4:$C$53,MATCH($E$327,'Тарифы СК'!$A$4:$A$53,0),MATCH($AB$3,'Тарифы СК'!$B$3:$C$3,0))</f>
        <v>1.0460000000000001E-2</v>
      </c>
      <c r="X327" s="505">
        <f>'Тарифы СК'!$D$3</f>
        <v>1.1999999999999999E-3</v>
      </c>
      <c r="Y327" s="298">
        <f t="shared" si="77"/>
        <v>0.1</v>
      </c>
      <c r="Z327" s="309"/>
      <c r="AA327" s="306"/>
      <c r="AB327" s="307"/>
      <c r="AC327" s="297"/>
    </row>
    <row r="328" spans="3:29" x14ac:dyDescent="0.2">
      <c r="C328" s="489"/>
      <c r="D328" s="489"/>
      <c r="E328" s="494"/>
      <c r="F328" s="494">
        <v>314</v>
      </c>
      <c r="G328" s="297">
        <f t="shared" si="64"/>
        <v>2048</v>
      </c>
      <c r="H328" s="297">
        <f t="shared" si="65"/>
        <v>366</v>
      </c>
      <c r="I328" s="488">
        <f t="shared" si="66"/>
        <v>54097</v>
      </c>
      <c r="J328" s="488"/>
      <c r="K328" s="494">
        <f t="shared" si="67"/>
        <v>31</v>
      </c>
      <c r="L328" s="488">
        <f t="shared" si="72"/>
        <v>54117</v>
      </c>
      <c r="M328" s="299">
        <f t="shared" si="76"/>
        <v>0</v>
      </c>
      <c r="N328" s="303">
        <f t="shared" si="73"/>
        <v>0.1</v>
      </c>
      <c r="O328" s="299">
        <f t="shared" si="78"/>
        <v>0</v>
      </c>
      <c r="P328" s="299">
        <f t="shared" si="74"/>
        <v>0</v>
      </c>
      <c r="Q328" s="299">
        <f t="shared" si="68"/>
        <v>0</v>
      </c>
      <c r="R328" s="302">
        <f t="shared" si="69"/>
        <v>0</v>
      </c>
      <c r="S328" s="302">
        <f t="shared" si="70"/>
        <v>0</v>
      </c>
      <c r="T328" s="299">
        <f t="shared" si="71"/>
        <v>0</v>
      </c>
      <c r="U328" s="299">
        <f t="shared" si="75"/>
        <v>0</v>
      </c>
      <c r="V328" s="304"/>
      <c r="W328" s="505"/>
      <c r="X328" s="505"/>
      <c r="Y328" s="298">
        <f t="shared" si="77"/>
        <v>0.1</v>
      </c>
      <c r="Z328" s="309"/>
      <c r="AA328" s="306"/>
      <c r="AB328" s="307"/>
      <c r="AC328" s="297"/>
    </row>
    <row r="329" spans="3:29" x14ac:dyDescent="0.2">
      <c r="C329" s="489"/>
      <c r="D329" s="489"/>
      <c r="E329" s="494"/>
      <c r="F329" s="494">
        <v>315</v>
      </c>
      <c r="G329" s="297">
        <f t="shared" si="64"/>
        <v>2048</v>
      </c>
      <c r="H329" s="297">
        <f t="shared" si="65"/>
        <v>366</v>
      </c>
      <c r="I329" s="488">
        <f t="shared" si="66"/>
        <v>54126</v>
      </c>
      <c r="J329" s="488"/>
      <c r="K329" s="494">
        <f t="shared" si="67"/>
        <v>29</v>
      </c>
      <c r="L329" s="488">
        <f t="shared" si="72"/>
        <v>54148</v>
      </c>
      <c r="M329" s="299">
        <f t="shared" si="76"/>
        <v>0</v>
      </c>
      <c r="N329" s="303">
        <f t="shared" si="73"/>
        <v>0.1</v>
      </c>
      <c r="O329" s="299">
        <f t="shared" si="78"/>
        <v>0</v>
      </c>
      <c r="P329" s="299">
        <f t="shared" si="74"/>
        <v>0</v>
      </c>
      <c r="Q329" s="299">
        <f t="shared" si="68"/>
        <v>0</v>
      </c>
      <c r="R329" s="302">
        <f t="shared" si="69"/>
        <v>0</v>
      </c>
      <c r="S329" s="302">
        <f t="shared" si="70"/>
        <v>0</v>
      </c>
      <c r="T329" s="299">
        <f t="shared" si="71"/>
        <v>0</v>
      </c>
      <c r="U329" s="299">
        <f t="shared" si="75"/>
        <v>0</v>
      </c>
      <c r="V329" s="304"/>
      <c r="W329" s="505"/>
      <c r="X329" s="505"/>
      <c r="Y329" s="298">
        <f t="shared" si="77"/>
        <v>0.1</v>
      </c>
      <c r="Z329" s="309"/>
      <c r="AA329" s="306"/>
      <c r="AB329" s="307"/>
      <c r="AC329" s="297"/>
    </row>
    <row r="330" spans="3:29" x14ac:dyDescent="0.2">
      <c r="C330" s="489"/>
      <c r="D330" s="489"/>
      <c r="E330" s="494"/>
      <c r="F330" s="494">
        <v>316</v>
      </c>
      <c r="G330" s="297">
        <f t="shared" si="64"/>
        <v>2048</v>
      </c>
      <c r="H330" s="297">
        <f t="shared" si="65"/>
        <v>366</v>
      </c>
      <c r="I330" s="488">
        <f t="shared" si="66"/>
        <v>54157</v>
      </c>
      <c r="J330" s="488"/>
      <c r="K330" s="494">
        <f t="shared" si="67"/>
        <v>31</v>
      </c>
      <c r="L330" s="488">
        <f t="shared" si="72"/>
        <v>54178</v>
      </c>
      <c r="M330" s="299">
        <f t="shared" si="76"/>
        <v>0</v>
      </c>
      <c r="N330" s="303">
        <f t="shared" si="73"/>
        <v>0.1</v>
      </c>
      <c r="O330" s="299">
        <f t="shared" si="78"/>
        <v>0</v>
      </c>
      <c r="P330" s="299">
        <f t="shared" si="74"/>
        <v>0</v>
      </c>
      <c r="Q330" s="299">
        <f t="shared" si="68"/>
        <v>0</v>
      </c>
      <c r="R330" s="302">
        <f t="shared" si="69"/>
        <v>0</v>
      </c>
      <c r="S330" s="302">
        <f t="shared" si="70"/>
        <v>0</v>
      </c>
      <c r="T330" s="299">
        <f t="shared" si="71"/>
        <v>0</v>
      </c>
      <c r="U330" s="299">
        <f t="shared" si="75"/>
        <v>0</v>
      </c>
      <c r="V330" s="304"/>
      <c r="W330" s="505"/>
      <c r="X330" s="505"/>
      <c r="Y330" s="298">
        <f t="shared" si="77"/>
        <v>0.1</v>
      </c>
      <c r="Z330" s="309"/>
      <c r="AA330" s="306"/>
      <c r="AB330" s="307"/>
      <c r="AC330" s="297"/>
    </row>
    <row r="331" spans="3:29" x14ac:dyDescent="0.2">
      <c r="C331" s="489"/>
      <c r="D331" s="489"/>
      <c r="E331" s="494"/>
      <c r="F331" s="494">
        <v>317</v>
      </c>
      <c r="G331" s="297">
        <f t="shared" si="64"/>
        <v>2048</v>
      </c>
      <c r="H331" s="297">
        <f t="shared" si="65"/>
        <v>366</v>
      </c>
      <c r="I331" s="488">
        <f t="shared" si="66"/>
        <v>54187</v>
      </c>
      <c r="J331" s="488"/>
      <c r="K331" s="494">
        <f t="shared" si="67"/>
        <v>30</v>
      </c>
      <c r="L331" s="488">
        <f t="shared" si="72"/>
        <v>54209</v>
      </c>
      <c r="M331" s="299">
        <f t="shared" si="76"/>
        <v>0</v>
      </c>
      <c r="N331" s="303">
        <f t="shared" si="73"/>
        <v>0.1</v>
      </c>
      <c r="O331" s="299">
        <f t="shared" si="78"/>
        <v>0</v>
      </c>
      <c r="P331" s="299">
        <f t="shared" si="74"/>
        <v>0</v>
      </c>
      <c r="Q331" s="299">
        <f t="shared" si="68"/>
        <v>0</v>
      </c>
      <c r="R331" s="302">
        <f t="shared" si="69"/>
        <v>0</v>
      </c>
      <c r="S331" s="302">
        <f t="shared" si="70"/>
        <v>0</v>
      </c>
      <c r="T331" s="299">
        <f t="shared" si="71"/>
        <v>0</v>
      </c>
      <c r="U331" s="299">
        <f t="shared" si="75"/>
        <v>0</v>
      </c>
      <c r="V331" s="304"/>
      <c r="W331" s="505"/>
      <c r="X331" s="505"/>
      <c r="Y331" s="298">
        <f t="shared" si="77"/>
        <v>0.1</v>
      </c>
      <c r="Z331" s="309"/>
      <c r="AA331" s="306"/>
      <c r="AB331" s="307"/>
      <c r="AC331" s="297"/>
    </row>
    <row r="332" spans="3:29" x14ac:dyDescent="0.2">
      <c r="C332" s="489"/>
      <c r="D332" s="489"/>
      <c r="E332" s="494"/>
      <c r="F332" s="494">
        <v>318</v>
      </c>
      <c r="G332" s="297">
        <f t="shared" si="64"/>
        <v>2048</v>
      </c>
      <c r="H332" s="297">
        <f t="shared" si="65"/>
        <v>366</v>
      </c>
      <c r="I332" s="488">
        <f t="shared" si="66"/>
        <v>54218</v>
      </c>
      <c r="J332" s="488"/>
      <c r="K332" s="494">
        <f t="shared" si="67"/>
        <v>31</v>
      </c>
      <c r="L332" s="488">
        <f t="shared" si="72"/>
        <v>54239</v>
      </c>
      <c r="M332" s="299">
        <f t="shared" si="76"/>
        <v>0</v>
      </c>
      <c r="N332" s="303">
        <f t="shared" si="73"/>
        <v>0.1</v>
      </c>
      <c r="O332" s="299">
        <f t="shared" si="78"/>
        <v>0</v>
      </c>
      <c r="P332" s="299">
        <f t="shared" si="74"/>
        <v>0</v>
      </c>
      <c r="Q332" s="299">
        <f t="shared" si="68"/>
        <v>0</v>
      </c>
      <c r="R332" s="302">
        <f t="shared" si="69"/>
        <v>0</v>
      </c>
      <c r="S332" s="302">
        <f t="shared" si="70"/>
        <v>0</v>
      </c>
      <c r="T332" s="299">
        <f t="shared" si="71"/>
        <v>0</v>
      </c>
      <c r="U332" s="299">
        <f t="shared" si="75"/>
        <v>0</v>
      </c>
      <c r="V332" s="304"/>
      <c r="W332" s="505"/>
      <c r="X332" s="505"/>
      <c r="Y332" s="298">
        <f t="shared" si="77"/>
        <v>0.1</v>
      </c>
      <c r="Z332" s="309"/>
      <c r="AA332" s="306"/>
      <c r="AB332" s="307"/>
      <c r="AC332" s="297"/>
    </row>
    <row r="333" spans="3:29" x14ac:dyDescent="0.2">
      <c r="C333" s="489"/>
      <c r="D333" s="489"/>
      <c r="E333" s="494"/>
      <c r="F333" s="494">
        <v>319</v>
      </c>
      <c r="G333" s="297">
        <f t="shared" si="64"/>
        <v>2048</v>
      </c>
      <c r="H333" s="297">
        <f t="shared" si="65"/>
        <v>366</v>
      </c>
      <c r="I333" s="488">
        <f t="shared" si="66"/>
        <v>54248</v>
      </c>
      <c r="J333" s="488"/>
      <c r="K333" s="494">
        <f t="shared" si="67"/>
        <v>30</v>
      </c>
      <c r="L333" s="488">
        <f t="shared" si="72"/>
        <v>54270</v>
      </c>
      <c r="M333" s="299">
        <f t="shared" si="76"/>
        <v>0</v>
      </c>
      <c r="N333" s="303">
        <f t="shared" si="73"/>
        <v>0.1</v>
      </c>
      <c r="O333" s="299">
        <f t="shared" si="78"/>
        <v>0</v>
      </c>
      <c r="P333" s="299">
        <f t="shared" si="74"/>
        <v>0</v>
      </c>
      <c r="Q333" s="299">
        <f t="shared" si="68"/>
        <v>0</v>
      </c>
      <c r="R333" s="302">
        <f t="shared" si="69"/>
        <v>0</v>
      </c>
      <c r="S333" s="302">
        <f t="shared" si="70"/>
        <v>0</v>
      </c>
      <c r="T333" s="299">
        <f t="shared" si="71"/>
        <v>0</v>
      </c>
      <c r="U333" s="299">
        <f t="shared" si="75"/>
        <v>0</v>
      </c>
      <c r="V333" s="304"/>
      <c r="W333" s="505"/>
      <c r="X333" s="505"/>
      <c r="Y333" s="298">
        <f t="shared" si="77"/>
        <v>0.1</v>
      </c>
      <c r="Z333" s="309"/>
      <c r="AA333" s="306"/>
      <c r="AB333" s="307"/>
      <c r="AC333" s="297"/>
    </row>
    <row r="334" spans="3:29" x14ac:dyDescent="0.2">
      <c r="C334" s="489"/>
      <c r="D334" s="489"/>
      <c r="E334" s="494"/>
      <c r="F334" s="494">
        <v>320</v>
      </c>
      <c r="G334" s="297">
        <f t="shared" si="64"/>
        <v>2048</v>
      </c>
      <c r="H334" s="297">
        <f t="shared" si="65"/>
        <v>366</v>
      </c>
      <c r="I334" s="488">
        <f t="shared" si="66"/>
        <v>54279</v>
      </c>
      <c r="J334" s="488"/>
      <c r="K334" s="494">
        <f t="shared" si="67"/>
        <v>31</v>
      </c>
      <c r="L334" s="488">
        <f t="shared" si="72"/>
        <v>54301</v>
      </c>
      <c r="M334" s="299">
        <f t="shared" si="76"/>
        <v>0</v>
      </c>
      <c r="N334" s="303">
        <f t="shared" si="73"/>
        <v>0.1</v>
      </c>
      <c r="O334" s="299">
        <f t="shared" si="78"/>
        <v>0</v>
      </c>
      <c r="P334" s="299">
        <f t="shared" si="74"/>
        <v>0</v>
      </c>
      <c r="Q334" s="299">
        <f t="shared" si="68"/>
        <v>0</v>
      </c>
      <c r="R334" s="302">
        <f t="shared" si="69"/>
        <v>0</v>
      </c>
      <c r="S334" s="302">
        <f t="shared" si="70"/>
        <v>0</v>
      </c>
      <c r="T334" s="299">
        <f t="shared" si="71"/>
        <v>0</v>
      </c>
      <c r="U334" s="299">
        <f t="shared" si="75"/>
        <v>0</v>
      </c>
      <c r="V334" s="304"/>
      <c r="W334" s="505"/>
      <c r="X334" s="505"/>
      <c r="Y334" s="298">
        <f t="shared" si="77"/>
        <v>0.1</v>
      </c>
      <c r="Z334" s="309"/>
      <c r="AA334" s="306"/>
      <c r="AB334" s="307"/>
      <c r="AC334" s="297"/>
    </row>
    <row r="335" spans="3:29" x14ac:dyDescent="0.2">
      <c r="C335" s="489"/>
      <c r="D335" s="489"/>
      <c r="E335" s="494"/>
      <c r="F335" s="494">
        <v>321</v>
      </c>
      <c r="G335" s="297">
        <f t="shared" si="64"/>
        <v>2048</v>
      </c>
      <c r="H335" s="297">
        <f t="shared" si="65"/>
        <v>366</v>
      </c>
      <c r="I335" s="488">
        <f t="shared" si="66"/>
        <v>54310</v>
      </c>
      <c r="J335" s="488"/>
      <c r="K335" s="494">
        <f t="shared" si="67"/>
        <v>31</v>
      </c>
      <c r="L335" s="488">
        <f t="shared" si="72"/>
        <v>54331</v>
      </c>
      <c r="M335" s="299">
        <f t="shared" si="76"/>
        <v>0</v>
      </c>
      <c r="N335" s="303">
        <f t="shared" si="73"/>
        <v>0.1</v>
      </c>
      <c r="O335" s="299">
        <f t="shared" si="78"/>
        <v>0</v>
      </c>
      <c r="P335" s="299">
        <f t="shared" si="74"/>
        <v>0</v>
      </c>
      <c r="Q335" s="299">
        <f t="shared" si="68"/>
        <v>0</v>
      </c>
      <c r="R335" s="302">
        <f t="shared" si="69"/>
        <v>0</v>
      </c>
      <c r="S335" s="302">
        <f t="shared" si="70"/>
        <v>0</v>
      </c>
      <c r="T335" s="299">
        <f t="shared" si="71"/>
        <v>0</v>
      </c>
      <c r="U335" s="299">
        <f t="shared" si="75"/>
        <v>0</v>
      </c>
      <c r="V335" s="304"/>
      <c r="W335" s="505"/>
      <c r="X335" s="505"/>
      <c r="Y335" s="298">
        <f t="shared" si="77"/>
        <v>0.1</v>
      </c>
      <c r="Z335" s="309"/>
      <c r="AA335" s="306"/>
      <c r="AB335" s="307"/>
      <c r="AC335" s="297"/>
    </row>
    <row r="336" spans="3:29" x14ac:dyDescent="0.2">
      <c r="C336" s="489"/>
      <c r="D336" s="489"/>
      <c r="E336" s="494"/>
      <c r="F336" s="494">
        <v>322</v>
      </c>
      <c r="G336" s="297">
        <f t="shared" ref="G336:G374" si="79">YEAR(I336)</f>
        <v>2048</v>
      </c>
      <c r="H336" s="297">
        <f t="shared" ref="H336:H374" si="80">IF(MOD(G336,4),365,366)</f>
        <v>366</v>
      </c>
      <c r="I336" s="488">
        <f t="shared" ref="I336:I374" si="81">DATE(YEAR(L336),MONTH(L336),1)+$C$14</f>
        <v>54340</v>
      </c>
      <c r="J336" s="488"/>
      <c r="K336" s="494">
        <f t="shared" ref="K336:K374" si="82">I336-I335</f>
        <v>30</v>
      </c>
      <c r="L336" s="488">
        <f t="shared" si="72"/>
        <v>54362</v>
      </c>
      <c r="M336" s="299">
        <f t="shared" si="76"/>
        <v>0</v>
      </c>
      <c r="N336" s="303">
        <f t="shared" si="73"/>
        <v>0.1</v>
      </c>
      <c r="O336" s="299">
        <f t="shared" si="78"/>
        <v>0</v>
      </c>
      <c r="P336" s="299">
        <f t="shared" si="74"/>
        <v>0</v>
      </c>
      <c r="Q336" s="299">
        <f t="shared" ref="Q336:Q374" si="83">IFERROR(IF(M336&lt;0.001,0,PMT(N336/12,$U$10,-$U$4)),0)</f>
        <v>0</v>
      </c>
      <c r="R336" s="302">
        <f t="shared" ref="R336:R374" si="84">Q336+V336</f>
        <v>0</v>
      </c>
      <c r="S336" s="302">
        <f t="shared" ref="S336:S374" si="85">O336</f>
        <v>0</v>
      </c>
      <c r="T336" s="299">
        <f t="shared" ref="T336:T374" si="86">MIN(P336-S336+AA336,M336)</f>
        <v>0</v>
      </c>
      <c r="U336" s="299">
        <f t="shared" si="75"/>
        <v>0</v>
      </c>
      <c r="V336" s="304"/>
      <c r="W336" s="505"/>
      <c r="X336" s="505"/>
      <c r="Y336" s="298">
        <f t="shared" si="77"/>
        <v>0.1</v>
      </c>
      <c r="Z336" s="309"/>
      <c r="AA336" s="306"/>
      <c r="AB336" s="307"/>
      <c r="AC336" s="297"/>
    </row>
    <row r="337" spans="3:29" x14ac:dyDescent="0.2">
      <c r="C337" s="489"/>
      <c r="D337" s="489"/>
      <c r="E337" s="494"/>
      <c r="F337" s="494">
        <v>323</v>
      </c>
      <c r="G337" s="297">
        <f t="shared" si="79"/>
        <v>2048</v>
      </c>
      <c r="H337" s="297">
        <f t="shared" si="80"/>
        <v>366</v>
      </c>
      <c r="I337" s="488">
        <f t="shared" si="81"/>
        <v>54371</v>
      </c>
      <c r="J337" s="488"/>
      <c r="K337" s="494">
        <f t="shared" si="82"/>
        <v>31</v>
      </c>
      <c r="L337" s="488">
        <f t="shared" ref="L337:L374" si="87">EOMONTH($U$2,F337-1)</f>
        <v>54392</v>
      </c>
      <c r="M337" s="299">
        <f t="shared" si="76"/>
        <v>0</v>
      </c>
      <c r="N337" s="303">
        <f t="shared" ref="N337:N374" si="88">Y337</f>
        <v>0.1</v>
      </c>
      <c r="O337" s="299">
        <f t="shared" si="78"/>
        <v>0</v>
      </c>
      <c r="P337" s="299">
        <f t="shared" ref="P337:P374" si="89">IF(M337&lt;INT(Q337),M337+S337,INT(Q337))</f>
        <v>0</v>
      </c>
      <c r="Q337" s="299">
        <f t="shared" si="83"/>
        <v>0</v>
      </c>
      <c r="R337" s="302">
        <f t="shared" si="84"/>
        <v>0</v>
      </c>
      <c r="S337" s="302">
        <f t="shared" si="85"/>
        <v>0</v>
      </c>
      <c r="T337" s="299">
        <f t="shared" si="86"/>
        <v>0</v>
      </c>
      <c r="U337" s="299">
        <f t="shared" ref="U337:U374" si="90">ROUND(M337-T337,4)</f>
        <v>0</v>
      </c>
      <c r="V337" s="304"/>
      <c r="W337" s="505"/>
      <c r="X337" s="505"/>
      <c r="Y337" s="298">
        <f t="shared" si="77"/>
        <v>0.1</v>
      </c>
      <c r="Z337" s="309"/>
      <c r="AA337" s="306"/>
      <c r="AB337" s="307"/>
      <c r="AC337" s="297"/>
    </row>
    <row r="338" spans="3:29" x14ac:dyDescent="0.2">
      <c r="C338" s="489"/>
      <c r="D338" s="489"/>
      <c r="E338" s="494"/>
      <c r="F338" s="494">
        <v>324</v>
      </c>
      <c r="G338" s="297">
        <f t="shared" si="79"/>
        <v>2048</v>
      </c>
      <c r="H338" s="297">
        <f t="shared" si="80"/>
        <v>366</v>
      </c>
      <c r="I338" s="488">
        <f t="shared" si="81"/>
        <v>54401</v>
      </c>
      <c r="J338" s="488"/>
      <c r="K338" s="494">
        <f t="shared" si="82"/>
        <v>30</v>
      </c>
      <c r="L338" s="488">
        <f t="shared" si="87"/>
        <v>54423</v>
      </c>
      <c r="M338" s="299">
        <f t="shared" ref="M338:M374" si="91">U337</f>
        <v>0</v>
      </c>
      <c r="N338" s="303">
        <f t="shared" si="88"/>
        <v>0.1</v>
      </c>
      <c r="O338" s="299">
        <f t="shared" si="78"/>
        <v>0</v>
      </c>
      <c r="P338" s="299">
        <f t="shared" si="89"/>
        <v>0</v>
      </c>
      <c r="Q338" s="299">
        <f t="shared" si="83"/>
        <v>0</v>
      </c>
      <c r="R338" s="302">
        <f t="shared" si="84"/>
        <v>0</v>
      </c>
      <c r="S338" s="302">
        <f t="shared" si="85"/>
        <v>0</v>
      </c>
      <c r="T338" s="299">
        <f t="shared" si="86"/>
        <v>0</v>
      </c>
      <c r="U338" s="299">
        <f t="shared" si="90"/>
        <v>0</v>
      </c>
      <c r="V338" s="304"/>
      <c r="W338" s="505"/>
      <c r="X338" s="505"/>
      <c r="Y338" s="298">
        <f t="shared" ref="Y338:Y374" si="92">IF(Z338="",Y337,Z338)</f>
        <v>0.1</v>
      </c>
      <c r="Z338" s="309"/>
      <c r="AA338" s="306"/>
      <c r="AB338" s="307"/>
      <c r="AC338" s="297"/>
    </row>
    <row r="339" spans="3:29" x14ac:dyDescent="0.2">
      <c r="C339" s="489"/>
      <c r="D339" s="489"/>
      <c r="E339" s="494">
        <f>E327+1</f>
        <v>52</v>
      </c>
      <c r="F339" s="494">
        <v>325</v>
      </c>
      <c r="G339" s="297">
        <f t="shared" si="79"/>
        <v>2049</v>
      </c>
      <c r="H339" s="297">
        <f t="shared" si="80"/>
        <v>365</v>
      </c>
      <c r="I339" s="488">
        <f t="shared" si="81"/>
        <v>54432</v>
      </c>
      <c r="J339" s="488"/>
      <c r="K339" s="494">
        <f t="shared" si="82"/>
        <v>31</v>
      </c>
      <c r="L339" s="488">
        <f t="shared" si="87"/>
        <v>54454</v>
      </c>
      <c r="M339" s="299">
        <f t="shared" si="91"/>
        <v>0</v>
      </c>
      <c r="N339" s="303">
        <f t="shared" si="88"/>
        <v>0.1</v>
      </c>
      <c r="O339" s="299">
        <f t="shared" si="78"/>
        <v>0</v>
      </c>
      <c r="P339" s="299">
        <f t="shared" si="89"/>
        <v>0</v>
      </c>
      <c r="Q339" s="299">
        <f t="shared" si="83"/>
        <v>0</v>
      </c>
      <c r="R339" s="302">
        <f t="shared" si="84"/>
        <v>0</v>
      </c>
      <c r="S339" s="302">
        <f t="shared" si="85"/>
        <v>0</v>
      </c>
      <c r="T339" s="299">
        <f t="shared" si="86"/>
        <v>0</v>
      </c>
      <c r="U339" s="299">
        <f t="shared" si="90"/>
        <v>0</v>
      </c>
      <c r="V339" s="304">
        <f>IF(U339=0,0,((U339*10%+U339)*(W339+X339)))</f>
        <v>0</v>
      </c>
      <c r="W339" s="505">
        <f>INDEX('Тарифы СК'!$B$4:$C$53,MATCH($E$339,'Тарифы СК'!$A$4:$A$53,0),MATCH($AB$3,'Тарифы СК'!$B$3:$C$3,0))</f>
        <v>1.204E-2</v>
      </c>
      <c r="X339" s="505">
        <f>'Тарифы СК'!$D$3</f>
        <v>1.1999999999999999E-3</v>
      </c>
      <c r="Y339" s="298">
        <f t="shared" si="92"/>
        <v>0.1</v>
      </c>
      <c r="Z339" s="309"/>
      <c r="AA339" s="306"/>
      <c r="AB339" s="307"/>
      <c r="AC339" s="297"/>
    </row>
    <row r="340" spans="3:29" x14ac:dyDescent="0.2">
      <c r="C340" s="489"/>
      <c r="D340" s="489"/>
      <c r="E340" s="494"/>
      <c r="F340" s="494">
        <v>326</v>
      </c>
      <c r="G340" s="297">
        <f t="shared" si="79"/>
        <v>2049</v>
      </c>
      <c r="H340" s="297">
        <f t="shared" si="80"/>
        <v>365</v>
      </c>
      <c r="I340" s="488">
        <f t="shared" si="81"/>
        <v>54463</v>
      </c>
      <c r="J340" s="488"/>
      <c r="K340" s="494">
        <f t="shared" si="82"/>
        <v>31</v>
      </c>
      <c r="L340" s="488">
        <f t="shared" si="87"/>
        <v>54482</v>
      </c>
      <c r="M340" s="299">
        <f t="shared" si="91"/>
        <v>0</v>
      </c>
      <c r="N340" s="303">
        <f t="shared" si="88"/>
        <v>0.1</v>
      </c>
      <c r="O340" s="299">
        <f t="shared" si="78"/>
        <v>0</v>
      </c>
      <c r="P340" s="299">
        <f t="shared" si="89"/>
        <v>0</v>
      </c>
      <c r="Q340" s="299">
        <f t="shared" si="83"/>
        <v>0</v>
      </c>
      <c r="R340" s="302">
        <f t="shared" si="84"/>
        <v>0</v>
      </c>
      <c r="S340" s="302">
        <f t="shared" si="85"/>
        <v>0</v>
      </c>
      <c r="T340" s="299">
        <f t="shared" si="86"/>
        <v>0</v>
      </c>
      <c r="U340" s="299">
        <f t="shared" si="90"/>
        <v>0</v>
      </c>
      <c r="V340" s="304"/>
      <c r="W340" s="505"/>
      <c r="X340" s="505"/>
      <c r="Y340" s="298">
        <f t="shared" si="92"/>
        <v>0.1</v>
      </c>
      <c r="Z340" s="309"/>
      <c r="AA340" s="306"/>
      <c r="AB340" s="307"/>
      <c r="AC340" s="297"/>
    </row>
    <row r="341" spans="3:29" x14ac:dyDescent="0.2">
      <c r="C341" s="489"/>
      <c r="D341" s="489"/>
      <c r="E341" s="494"/>
      <c r="F341" s="494">
        <v>327</v>
      </c>
      <c r="G341" s="297">
        <f t="shared" si="79"/>
        <v>2049</v>
      </c>
      <c r="H341" s="297">
        <f t="shared" si="80"/>
        <v>365</v>
      </c>
      <c r="I341" s="488">
        <f t="shared" si="81"/>
        <v>54491</v>
      </c>
      <c r="J341" s="488"/>
      <c r="K341" s="494">
        <f t="shared" si="82"/>
        <v>28</v>
      </c>
      <c r="L341" s="488">
        <f t="shared" si="87"/>
        <v>54513</v>
      </c>
      <c r="M341" s="299">
        <f t="shared" si="91"/>
        <v>0</v>
      </c>
      <c r="N341" s="303">
        <f t="shared" si="88"/>
        <v>0.1</v>
      </c>
      <c r="O341" s="299">
        <f t="shared" si="78"/>
        <v>0</v>
      </c>
      <c r="P341" s="299">
        <f t="shared" si="89"/>
        <v>0</v>
      </c>
      <c r="Q341" s="299">
        <f t="shared" si="83"/>
        <v>0</v>
      </c>
      <c r="R341" s="302">
        <f t="shared" si="84"/>
        <v>0</v>
      </c>
      <c r="S341" s="302">
        <f t="shared" si="85"/>
        <v>0</v>
      </c>
      <c r="T341" s="299">
        <f t="shared" si="86"/>
        <v>0</v>
      </c>
      <c r="U341" s="299">
        <f t="shared" si="90"/>
        <v>0</v>
      </c>
      <c r="V341" s="304"/>
      <c r="W341" s="505"/>
      <c r="X341" s="505"/>
      <c r="Y341" s="298">
        <f t="shared" si="92"/>
        <v>0.1</v>
      </c>
      <c r="Z341" s="309"/>
      <c r="AA341" s="306"/>
      <c r="AB341" s="307"/>
      <c r="AC341" s="297"/>
    </row>
    <row r="342" spans="3:29" x14ac:dyDescent="0.2">
      <c r="C342" s="489"/>
      <c r="D342" s="489"/>
      <c r="E342" s="494"/>
      <c r="F342" s="494">
        <v>328</v>
      </c>
      <c r="G342" s="297">
        <f t="shared" si="79"/>
        <v>2049</v>
      </c>
      <c r="H342" s="297">
        <f t="shared" si="80"/>
        <v>365</v>
      </c>
      <c r="I342" s="488">
        <f t="shared" si="81"/>
        <v>54522</v>
      </c>
      <c r="J342" s="488"/>
      <c r="K342" s="494">
        <f t="shared" si="82"/>
        <v>31</v>
      </c>
      <c r="L342" s="488">
        <f t="shared" si="87"/>
        <v>54543</v>
      </c>
      <c r="M342" s="299">
        <f t="shared" si="91"/>
        <v>0</v>
      </c>
      <c r="N342" s="303">
        <f t="shared" si="88"/>
        <v>0.1</v>
      </c>
      <c r="O342" s="299">
        <f t="shared" si="78"/>
        <v>0</v>
      </c>
      <c r="P342" s="299">
        <f t="shared" si="89"/>
        <v>0</v>
      </c>
      <c r="Q342" s="299">
        <f t="shared" si="83"/>
        <v>0</v>
      </c>
      <c r="R342" s="302">
        <f t="shared" si="84"/>
        <v>0</v>
      </c>
      <c r="S342" s="302">
        <f t="shared" si="85"/>
        <v>0</v>
      </c>
      <c r="T342" s="299">
        <f t="shared" si="86"/>
        <v>0</v>
      </c>
      <c r="U342" s="299">
        <f t="shared" si="90"/>
        <v>0</v>
      </c>
      <c r="V342" s="304"/>
      <c r="W342" s="505"/>
      <c r="X342" s="505"/>
      <c r="Y342" s="298">
        <f t="shared" si="92"/>
        <v>0.1</v>
      </c>
      <c r="Z342" s="309"/>
      <c r="AA342" s="306"/>
      <c r="AB342" s="307"/>
      <c r="AC342" s="297"/>
    </row>
    <row r="343" spans="3:29" x14ac:dyDescent="0.2">
      <c r="C343" s="489"/>
      <c r="D343" s="489"/>
      <c r="E343" s="494"/>
      <c r="F343" s="494">
        <v>329</v>
      </c>
      <c r="G343" s="297">
        <f t="shared" si="79"/>
        <v>2049</v>
      </c>
      <c r="H343" s="297">
        <f t="shared" si="80"/>
        <v>365</v>
      </c>
      <c r="I343" s="488">
        <f t="shared" si="81"/>
        <v>54552</v>
      </c>
      <c r="J343" s="488"/>
      <c r="K343" s="494">
        <f t="shared" si="82"/>
        <v>30</v>
      </c>
      <c r="L343" s="488">
        <f t="shared" si="87"/>
        <v>54574</v>
      </c>
      <c r="M343" s="299">
        <f t="shared" si="91"/>
        <v>0</v>
      </c>
      <c r="N343" s="303">
        <f t="shared" si="88"/>
        <v>0.1</v>
      </c>
      <c r="O343" s="299">
        <f t="shared" si="78"/>
        <v>0</v>
      </c>
      <c r="P343" s="299">
        <f t="shared" si="89"/>
        <v>0</v>
      </c>
      <c r="Q343" s="299">
        <f t="shared" si="83"/>
        <v>0</v>
      </c>
      <c r="R343" s="302">
        <f t="shared" si="84"/>
        <v>0</v>
      </c>
      <c r="S343" s="302">
        <f t="shared" si="85"/>
        <v>0</v>
      </c>
      <c r="T343" s="299">
        <f t="shared" si="86"/>
        <v>0</v>
      </c>
      <c r="U343" s="299">
        <f t="shared" si="90"/>
        <v>0</v>
      </c>
      <c r="V343" s="304"/>
      <c r="W343" s="505"/>
      <c r="X343" s="505"/>
      <c r="Y343" s="298">
        <f t="shared" si="92"/>
        <v>0.1</v>
      </c>
      <c r="Z343" s="309"/>
      <c r="AA343" s="306"/>
      <c r="AB343" s="307"/>
      <c r="AC343" s="297"/>
    </row>
    <row r="344" spans="3:29" x14ac:dyDescent="0.2">
      <c r="C344" s="489"/>
      <c r="D344" s="489"/>
      <c r="E344" s="494"/>
      <c r="F344" s="494">
        <v>330</v>
      </c>
      <c r="G344" s="297">
        <f t="shared" si="79"/>
        <v>2049</v>
      </c>
      <c r="H344" s="297">
        <f t="shared" si="80"/>
        <v>365</v>
      </c>
      <c r="I344" s="488">
        <f t="shared" si="81"/>
        <v>54583</v>
      </c>
      <c r="J344" s="488"/>
      <c r="K344" s="494">
        <f t="shared" si="82"/>
        <v>31</v>
      </c>
      <c r="L344" s="488">
        <f t="shared" si="87"/>
        <v>54604</v>
      </c>
      <c r="M344" s="299">
        <f t="shared" si="91"/>
        <v>0</v>
      </c>
      <c r="N344" s="303">
        <f t="shared" si="88"/>
        <v>0.1</v>
      </c>
      <c r="O344" s="299">
        <f t="shared" si="78"/>
        <v>0</v>
      </c>
      <c r="P344" s="299">
        <f t="shared" si="89"/>
        <v>0</v>
      </c>
      <c r="Q344" s="299">
        <f t="shared" si="83"/>
        <v>0</v>
      </c>
      <c r="R344" s="302">
        <f t="shared" si="84"/>
        <v>0</v>
      </c>
      <c r="S344" s="302">
        <f t="shared" si="85"/>
        <v>0</v>
      </c>
      <c r="T344" s="299">
        <f t="shared" si="86"/>
        <v>0</v>
      </c>
      <c r="U344" s="299">
        <f t="shared" si="90"/>
        <v>0</v>
      </c>
      <c r="V344" s="304"/>
      <c r="W344" s="505"/>
      <c r="X344" s="505"/>
      <c r="Y344" s="298">
        <f t="shared" si="92"/>
        <v>0.1</v>
      </c>
      <c r="Z344" s="309"/>
      <c r="AA344" s="306"/>
      <c r="AB344" s="307"/>
      <c r="AC344" s="297"/>
    </row>
    <row r="345" spans="3:29" x14ac:dyDescent="0.2">
      <c r="C345" s="489"/>
      <c r="D345" s="489"/>
      <c r="E345" s="494"/>
      <c r="F345" s="494">
        <v>331</v>
      </c>
      <c r="G345" s="297">
        <f t="shared" si="79"/>
        <v>2049</v>
      </c>
      <c r="H345" s="297">
        <f t="shared" si="80"/>
        <v>365</v>
      </c>
      <c r="I345" s="488">
        <f t="shared" si="81"/>
        <v>54613</v>
      </c>
      <c r="J345" s="488"/>
      <c r="K345" s="494">
        <f t="shared" si="82"/>
        <v>30</v>
      </c>
      <c r="L345" s="488">
        <f t="shared" si="87"/>
        <v>54635</v>
      </c>
      <c r="M345" s="299">
        <f t="shared" si="91"/>
        <v>0</v>
      </c>
      <c r="N345" s="303">
        <f t="shared" si="88"/>
        <v>0.1</v>
      </c>
      <c r="O345" s="299">
        <f t="shared" si="78"/>
        <v>0</v>
      </c>
      <c r="P345" s="299">
        <f t="shared" si="89"/>
        <v>0</v>
      </c>
      <c r="Q345" s="299">
        <f t="shared" si="83"/>
        <v>0</v>
      </c>
      <c r="R345" s="302">
        <f t="shared" si="84"/>
        <v>0</v>
      </c>
      <c r="S345" s="302">
        <f t="shared" si="85"/>
        <v>0</v>
      </c>
      <c r="T345" s="299">
        <f t="shared" si="86"/>
        <v>0</v>
      </c>
      <c r="U345" s="299">
        <f t="shared" si="90"/>
        <v>0</v>
      </c>
      <c r="V345" s="304"/>
      <c r="W345" s="505"/>
      <c r="X345" s="505"/>
      <c r="Y345" s="298">
        <f t="shared" si="92"/>
        <v>0.1</v>
      </c>
      <c r="Z345" s="309"/>
      <c r="AA345" s="306"/>
      <c r="AB345" s="307"/>
      <c r="AC345" s="297"/>
    </row>
    <row r="346" spans="3:29" x14ac:dyDescent="0.2">
      <c r="C346" s="489"/>
      <c r="D346" s="489"/>
      <c r="E346" s="494"/>
      <c r="F346" s="494">
        <v>332</v>
      </c>
      <c r="G346" s="297">
        <f t="shared" si="79"/>
        <v>2049</v>
      </c>
      <c r="H346" s="297">
        <f t="shared" si="80"/>
        <v>365</v>
      </c>
      <c r="I346" s="488">
        <f t="shared" si="81"/>
        <v>54644</v>
      </c>
      <c r="J346" s="488"/>
      <c r="K346" s="494">
        <f t="shared" si="82"/>
        <v>31</v>
      </c>
      <c r="L346" s="488">
        <f t="shared" si="87"/>
        <v>54666</v>
      </c>
      <c r="M346" s="299">
        <f t="shared" si="91"/>
        <v>0</v>
      </c>
      <c r="N346" s="303">
        <f t="shared" si="88"/>
        <v>0.1</v>
      </c>
      <c r="O346" s="299">
        <f t="shared" si="78"/>
        <v>0</v>
      </c>
      <c r="P346" s="299">
        <f t="shared" si="89"/>
        <v>0</v>
      </c>
      <c r="Q346" s="299">
        <f t="shared" si="83"/>
        <v>0</v>
      </c>
      <c r="R346" s="302">
        <f t="shared" si="84"/>
        <v>0</v>
      </c>
      <c r="S346" s="302">
        <f t="shared" si="85"/>
        <v>0</v>
      </c>
      <c r="T346" s="299">
        <f t="shared" si="86"/>
        <v>0</v>
      </c>
      <c r="U346" s="299">
        <f t="shared" si="90"/>
        <v>0</v>
      </c>
      <c r="V346" s="304"/>
      <c r="W346" s="505"/>
      <c r="X346" s="505"/>
      <c r="Y346" s="298">
        <f t="shared" si="92"/>
        <v>0.1</v>
      </c>
      <c r="Z346" s="309"/>
      <c r="AA346" s="306"/>
      <c r="AB346" s="307"/>
      <c r="AC346" s="297"/>
    </row>
    <row r="347" spans="3:29" x14ac:dyDescent="0.2">
      <c r="C347" s="489"/>
      <c r="D347" s="489"/>
      <c r="E347" s="494"/>
      <c r="F347" s="494">
        <v>333</v>
      </c>
      <c r="G347" s="297">
        <f t="shared" si="79"/>
        <v>2049</v>
      </c>
      <c r="H347" s="297">
        <f t="shared" si="80"/>
        <v>365</v>
      </c>
      <c r="I347" s="488">
        <f t="shared" si="81"/>
        <v>54675</v>
      </c>
      <c r="J347" s="488"/>
      <c r="K347" s="494">
        <f t="shared" si="82"/>
        <v>31</v>
      </c>
      <c r="L347" s="488">
        <f t="shared" si="87"/>
        <v>54696</v>
      </c>
      <c r="M347" s="299">
        <f t="shared" si="91"/>
        <v>0</v>
      </c>
      <c r="N347" s="303">
        <f t="shared" si="88"/>
        <v>0.1</v>
      </c>
      <c r="O347" s="299">
        <f t="shared" si="78"/>
        <v>0</v>
      </c>
      <c r="P347" s="299">
        <f t="shared" si="89"/>
        <v>0</v>
      </c>
      <c r="Q347" s="299">
        <f t="shared" si="83"/>
        <v>0</v>
      </c>
      <c r="R347" s="302">
        <f t="shared" si="84"/>
        <v>0</v>
      </c>
      <c r="S347" s="302">
        <f t="shared" si="85"/>
        <v>0</v>
      </c>
      <c r="T347" s="299">
        <f t="shared" si="86"/>
        <v>0</v>
      </c>
      <c r="U347" s="299">
        <f t="shared" si="90"/>
        <v>0</v>
      </c>
      <c r="V347" s="304"/>
      <c r="W347" s="505"/>
      <c r="X347" s="505"/>
      <c r="Y347" s="298">
        <f t="shared" si="92"/>
        <v>0.1</v>
      </c>
      <c r="Z347" s="309"/>
      <c r="AA347" s="306"/>
      <c r="AB347" s="307"/>
      <c r="AC347" s="297"/>
    </row>
    <row r="348" spans="3:29" x14ac:dyDescent="0.2">
      <c r="C348" s="489"/>
      <c r="D348" s="489"/>
      <c r="E348" s="494"/>
      <c r="F348" s="494">
        <v>334</v>
      </c>
      <c r="G348" s="297">
        <f t="shared" si="79"/>
        <v>2049</v>
      </c>
      <c r="H348" s="297">
        <f t="shared" si="80"/>
        <v>365</v>
      </c>
      <c r="I348" s="488">
        <f t="shared" si="81"/>
        <v>54705</v>
      </c>
      <c r="J348" s="488"/>
      <c r="K348" s="494">
        <f t="shared" si="82"/>
        <v>30</v>
      </c>
      <c r="L348" s="488">
        <f t="shared" si="87"/>
        <v>54727</v>
      </c>
      <c r="M348" s="299">
        <f t="shared" si="91"/>
        <v>0</v>
      </c>
      <c r="N348" s="303">
        <f t="shared" si="88"/>
        <v>0.1</v>
      </c>
      <c r="O348" s="299">
        <f t="shared" si="78"/>
        <v>0</v>
      </c>
      <c r="P348" s="299">
        <f t="shared" si="89"/>
        <v>0</v>
      </c>
      <c r="Q348" s="299">
        <f t="shared" si="83"/>
        <v>0</v>
      </c>
      <c r="R348" s="302">
        <f t="shared" si="84"/>
        <v>0</v>
      </c>
      <c r="S348" s="302">
        <f t="shared" si="85"/>
        <v>0</v>
      </c>
      <c r="T348" s="299">
        <f t="shared" si="86"/>
        <v>0</v>
      </c>
      <c r="U348" s="299">
        <f t="shared" si="90"/>
        <v>0</v>
      </c>
      <c r="V348" s="304"/>
      <c r="W348" s="505"/>
      <c r="X348" s="505"/>
      <c r="Y348" s="298">
        <f t="shared" si="92"/>
        <v>0.1</v>
      </c>
      <c r="Z348" s="309"/>
      <c r="AA348" s="306"/>
      <c r="AB348" s="307"/>
      <c r="AC348" s="297"/>
    </row>
    <row r="349" spans="3:29" x14ac:dyDescent="0.2">
      <c r="C349" s="489"/>
      <c r="D349" s="489"/>
      <c r="E349" s="494"/>
      <c r="F349" s="494">
        <v>335</v>
      </c>
      <c r="G349" s="297">
        <f t="shared" si="79"/>
        <v>2049</v>
      </c>
      <c r="H349" s="297">
        <f t="shared" si="80"/>
        <v>365</v>
      </c>
      <c r="I349" s="488">
        <f t="shared" si="81"/>
        <v>54736</v>
      </c>
      <c r="J349" s="488"/>
      <c r="K349" s="494">
        <f t="shared" si="82"/>
        <v>31</v>
      </c>
      <c r="L349" s="488">
        <f t="shared" si="87"/>
        <v>54757</v>
      </c>
      <c r="M349" s="299">
        <f t="shared" si="91"/>
        <v>0</v>
      </c>
      <c r="N349" s="303">
        <f t="shared" si="88"/>
        <v>0.1</v>
      </c>
      <c r="O349" s="299">
        <f t="shared" si="78"/>
        <v>0</v>
      </c>
      <c r="P349" s="299">
        <f t="shared" si="89"/>
        <v>0</v>
      </c>
      <c r="Q349" s="299">
        <f t="shared" si="83"/>
        <v>0</v>
      </c>
      <c r="R349" s="302">
        <f t="shared" si="84"/>
        <v>0</v>
      </c>
      <c r="S349" s="302">
        <f t="shared" si="85"/>
        <v>0</v>
      </c>
      <c r="T349" s="299">
        <f t="shared" si="86"/>
        <v>0</v>
      </c>
      <c r="U349" s="299">
        <f t="shared" si="90"/>
        <v>0</v>
      </c>
      <c r="V349" s="304"/>
      <c r="W349" s="505"/>
      <c r="X349" s="505"/>
      <c r="Y349" s="298">
        <f t="shared" si="92"/>
        <v>0.1</v>
      </c>
      <c r="Z349" s="309"/>
      <c r="AA349" s="306"/>
      <c r="AB349" s="307"/>
      <c r="AC349" s="297"/>
    </row>
    <row r="350" spans="3:29" x14ac:dyDescent="0.2">
      <c r="C350" s="489"/>
      <c r="D350" s="489"/>
      <c r="E350" s="494"/>
      <c r="F350" s="494">
        <v>336</v>
      </c>
      <c r="G350" s="297">
        <f t="shared" si="79"/>
        <v>2049</v>
      </c>
      <c r="H350" s="297">
        <f t="shared" si="80"/>
        <v>365</v>
      </c>
      <c r="I350" s="488">
        <f t="shared" si="81"/>
        <v>54766</v>
      </c>
      <c r="J350" s="488"/>
      <c r="K350" s="494">
        <f t="shared" si="82"/>
        <v>30</v>
      </c>
      <c r="L350" s="488">
        <f t="shared" si="87"/>
        <v>54788</v>
      </c>
      <c r="M350" s="299">
        <f t="shared" si="91"/>
        <v>0</v>
      </c>
      <c r="N350" s="303">
        <f t="shared" si="88"/>
        <v>0.1</v>
      </c>
      <c r="O350" s="299">
        <f t="shared" si="78"/>
        <v>0</v>
      </c>
      <c r="P350" s="299">
        <f t="shared" si="89"/>
        <v>0</v>
      </c>
      <c r="Q350" s="299">
        <f t="shared" si="83"/>
        <v>0</v>
      </c>
      <c r="R350" s="302">
        <f t="shared" si="84"/>
        <v>0</v>
      </c>
      <c r="S350" s="302">
        <f t="shared" si="85"/>
        <v>0</v>
      </c>
      <c r="T350" s="299">
        <f t="shared" si="86"/>
        <v>0</v>
      </c>
      <c r="U350" s="299">
        <f t="shared" si="90"/>
        <v>0</v>
      </c>
      <c r="V350" s="304"/>
      <c r="W350" s="505"/>
      <c r="X350" s="505"/>
      <c r="Y350" s="298">
        <f t="shared" si="92"/>
        <v>0.1</v>
      </c>
      <c r="Z350" s="309"/>
      <c r="AA350" s="306"/>
      <c r="AB350" s="307"/>
      <c r="AC350" s="297"/>
    </row>
    <row r="351" spans="3:29" x14ac:dyDescent="0.2">
      <c r="C351" s="489"/>
      <c r="D351" s="489"/>
      <c r="E351" s="494">
        <f>E339+1</f>
        <v>53</v>
      </c>
      <c r="F351" s="494">
        <v>337</v>
      </c>
      <c r="G351" s="297">
        <f t="shared" si="79"/>
        <v>2050</v>
      </c>
      <c r="H351" s="297">
        <f t="shared" si="80"/>
        <v>365</v>
      </c>
      <c r="I351" s="488">
        <f t="shared" si="81"/>
        <v>54797</v>
      </c>
      <c r="J351" s="488"/>
      <c r="K351" s="494">
        <f t="shared" si="82"/>
        <v>31</v>
      </c>
      <c r="L351" s="488">
        <f t="shared" si="87"/>
        <v>54819</v>
      </c>
      <c r="M351" s="299">
        <f t="shared" si="91"/>
        <v>0</v>
      </c>
      <c r="N351" s="303">
        <f t="shared" si="88"/>
        <v>0.1</v>
      </c>
      <c r="O351" s="299">
        <f t="shared" si="78"/>
        <v>0</v>
      </c>
      <c r="P351" s="299">
        <f t="shared" si="89"/>
        <v>0</v>
      </c>
      <c r="Q351" s="299">
        <f t="shared" si="83"/>
        <v>0</v>
      </c>
      <c r="R351" s="302">
        <f t="shared" si="84"/>
        <v>0</v>
      </c>
      <c r="S351" s="302">
        <f t="shared" si="85"/>
        <v>0</v>
      </c>
      <c r="T351" s="299">
        <f t="shared" si="86"/>
        <v>0</v>
      </c>
      <c r="U351" s="299">
        <f t="shared" si="90"/>
        <v>0</v>
      </c>
      <c r="V351" s="304">
        <f>IF(U351=0,0,((U351*10%+U351)*(W351+X351)))</f>
        <v>0</v>
      </c>
      <c r="W351" s="505">
        <f>INDEX('Тарифы СК'!$B$4:$C$53,MATCH($E$351,'Тарифы СК'!$A$4:$A$53,0),MATCH($AB$3,'Тарифы СК'!$B$3:$C$3,0))</f>
        <v>1.3120000000000001E-2</v>
      </c>
      <c r="X351" s="505">
        <f>'Тарифы СК'!$D$3</f>
        <v>1.1999999999999999E-3</v>
      </c>
      <c r="Y351" s="298">
        <f t="shared" si="92"/>
        <v>0.1</v>
      </c>
      <c r="Z351" s="309"/>
      <c r="AA351" s="306"/>
      <c r="AB351" s="307"/>
      <c r="AC351" s="297"/>
    </row>
    <row r="352" spans="3:29" x14ac:dyDescent="0.2">
      <c r="C352" s="489"/>
      <c r="D352" s="489"/>
      <c r="E352" s="494"/>
      <c r="F352" s="494">
        <v>338</v>
      </c>
      <c r="G352" s="297">
        <f t="shared" si="79"/>
        <v>2050</v>
      </c>
      <c r="H352" s="297">
        <f t="shared" si="80"/>
        <v>365</v>
      </c>
      <c r="I352" s="488">
        <f t="shared" si="81"/>
        <v>54828</v>
      </c>
      <c r="J352" s="488"/>
      <c r="K352" s="494">
        <f t="shared" si="82"/>
        <v>31</v>
      </c>
      <c r="L352" s="488">
        <f t="shared" si="87"/>
        <v>54847</v>
      </c>
      <c r="M352" s="299">
        <f t="shared" si="91"/>
        <v>0</v>
      </c>
      <c r="N352" s="303">
        <f t="shared" si="88"/>
        <v>0.1</v>
      </c>
      <c r="O352" s="299">
        <f t="shared" si="78"/>
        <v>0</v>
      </c>
      <c r="P352" s="299">
        <f t="shared" si="89"/>
        <v>0</v>
      </c>
      <c r="Q352" s="299">
        <f t="shared" si="83"/>
        <v>0</v>
      </c>
      <c r="R352" s="302">
        <f t="shared" si="84"/>
        <v>0</v>
      </c>
      <c r="S352" s="302">
        <f t="shared" si="85"/>
        <v>0</v>
      </c>
      <c r="T352" s="299">
        <f t="shared" si="86"/>
        <v>0</v>
      </c>
      <c r="U352" s="299">
        <f t="shared" si="90"/>
        <v>0</v>
      </c>
      <c r="V352" s="304"/>
      <c r="W352" s="505"/>
      <c r="X352" s="505"/>
      <c r="Y352" s="298">
        <f t="shared" si="92"/>
        <v>0.1</v>
      </c>
      <c r="Z352" s="309"/>
      <c r="AA352" s="306"/>
      <c r="AB352" s="307"/>
      <c r="AC352" s="297"/>
    </row>
    <row r="353" spans="3:29" x14ac:dyDescent="0.2">
      <c r="C353" s="489"/>
      <c r="D353" s="489"/>
      <c r="E353" s="494"/>
      <c r="F353" s="494">
        <v>339</v>
      </c>
      <c r="G353" s="297">
        <f t="shared" si="79"/>
        <v>2050</v>
      </c>
      <c r="H353" s="297">
        <f t="shared" si="80"/>
        <v>365</v>
      </c>
      <c r="I353" s="488">
        <f t="shared" si="81"/>
        <v>54856</v>
      </c>
      <c r="J353" s="488"/>
      <c r="K353" s="494">
        <f t="shared" si="82"/>
        <v>28</v>
      </c>
      <c r="L353" s="488">
        <f t="shared" si="87"/>
        <v>54878</v>
      </c>
      <c r="M353" s="299">
        <f t="shared" si="91"/>
        <v>0</v>
      </c>
      <c r="N353" s="303">
        <f t="shared" si="88"/>
        <v>0.1</v>
      </c>
      <c r="O353" s="299">
        <f t="shared" si="78"/>
        <v>0</v>
      </c>
      <c r="P353" s="299">
        <f t="shared" si="89"/>
        <v>0</v>
      </c>
      <c r="Q353" s="299">
        <f t="shared" si="83"/>
        <v>0</v>
      </c>
      <c r="R353" s="302">
        <f t="shared" si="84"/>
        <v>0</v>
      </c>
      <c r="S353" s="302">
        <f t="shared" si="85"/>
        <v>0</v>
      </c>
      <c r="T353" s="299">
        <f t="shared" si="86"/>
        <v>0</v>
      </c>
      <c r="U353" s="299">
        <f t="shared" si="90"/>
        <v>0</v>
      </c>
      <c r="V353" s="304"/>
      <c r="W353" s="505"/>
      <c r="X353" s="505"/>
      <c r="Y353" s="298">
        <f t="shared" si="92"/>
        <v>0.1</v>
      </c>
      <c r="Z353" s="309"/>
      <c r="AA353" s="306"/>
      <c r="AB353" s="307"/>
      <c r="AC353" s="297"/>
    </row>
    <row r="354" spans="3:29" x14ac:dyDescent="0.2">
      <c r="C354" s="489"/>
      <c r="D354" s="489"/>
      <c r="E354" s="494"/>
      <c r="F354" s="494">
        <v>340</v>
      </c>
      <c r="G354" s="297">
        <f t="shared" si="79"/>
        <v>2050</v>
      </c>
      <c r="H354" s="297">
        <f t="shared" si="80"/>
        <v>365</v>
      </c>
      <c r="I354" s="488">
        <f t="shared" si="81"/>
        <v>54887</v>
      </c>
      <c r="J354" s="488"/>
      <c r="K354" s="494">
        <f t="shared" si="82"/>
        <v>31</v>
      </c>
      <c r="L354" s="488">
        <f t="shared" si="87"/>
        <v>54908</v>
      </c>
      <c r="M354" s="299">
        <f t="shared" si="91"/>
        <v>0</v>
      </c>
      <c r="N354" s="303">
        <f t="shared" si="88"/>
        <v>0.1</v>
      </c>
      <c r="O354" s="299">
        <f t="shared" si="78"/>
        <v>0</v>
      </c>
      <c r="P354" s="299">
        <f t="shared" si="89"/>
        <v>0</v>
      </c>
      <c r="Q354" s="299">
        <f t="shared" si="83"/>
        <v>0</v>
      </c>
      <c r="R354" s="302">
        <f t="shared" si="84"/>
        <v>0</v>
      </c>
      <c r="S354" s="302">
        <f t="shared" si="85"/>
        <v>0</v>
      </c>
      <c r="T354" s="299">
        <f t="shared" si="86"/>
        <v>0</v>
      </c>
      <c r="U354" s="299">
        <f t="shared" si="90"/>
        <v>0</v>
      </c>
      <c r="V354" s="304"/>
      <c r="W354" s="505"/>
      <c r="X354" s="505"/>
      <c r="Y354" s="298">
        <f t="shared" si="92"/>
        <v>0.1</v>
      </c>
      <c r="Z354" s="309"/>
      <c r="AA354" s="306"/>
      <c r="AB354" s="307"/>
      <c r="AC354" s="297"/>
    </row>
    <row r="355" spans="3:29" x14ac:dyDescent="0.2">
      <c r="C355" s="489"/>
      <c r="D355" s="489"/>
      <c r="E355" s="494"/>
      <c r="F355" s="494">
        <v>341</v>
      </c>
      <c r="G355" s="297">
        <f t="shared" si="79"/>
        <v>2050</v>
      </c>
      <c r="H355" s="297">
        <f t="shared" si="80"/>
        <v>365</v>
      </c>
      <c r="I355" s="488">
        <f t="shared" si="81"/>
        <v>54917</v>
      </c>
      <c r="J355" s="488"/>
      <c r="K355" s="494">
        <f t="shared" si="82"/>
        <v>30</v>
      </c>
      <c r="L355" s="488">
        <f t="shared" si="87"/>
        <v>54939</v>
      </c>
      <c r="M355" s="299">
        <f t="shared" si="91"/>
        <v>0</v>
      </c>
      <c r="N355" s="303">
        <f t="shared" si="88"/>
        <v>0.1</v>
      </c>
      <c r="O355" s="299">
        <f t="shared" si="78"/>
        <v>0</v>
      </c>
      <c r="P355" s="299">
        <f t="shared" si="89"/>
        <v>0</v>
      </c>
      <c r="Q355" s="299">
        <f t="shared" si="83"/>
        <v>0</v>
      </c>
      <c r="R355" s="302">
        <f t="shared" si="84"/>
        <v>0</v>
      </c>
      <c r="S355" s="302">
        <f t="shared" si="85"/>
        <v>0</v>
      </c>
      <c r="T355" s="299">
        <f t="shared" si="86"/>
        <v>0</v>
      </c>
      <c r="U355" s="299">
        <f t="shared" si="90"/>
        <v>0</v>
      </c>
      <c r="V355" s="304"/>
      <c r="W355" s="505"/>
      <c r="X355" s="505"/>
      <c r="Y355" s="298">
        <f t="shared" si="92"/>
        <v>0.1</v>
      </c>
      <c r="Z355" s="309"/>
      <c r="AA355" s="306"/>
      <c r="AB355" s="307"/>
      <c r="AC355" s="297"/>
    </row>
    <row r="356" spans="3:29" x14ac:dyDescent="0.2">
      <c r="C356" s="489"/>
      <c r="D356" s="489"/>
      <c r="E356" s="494"/>
      <c r="F356" s="494">
        <v>342</v>
      </c>
      <c r="G356" s="297">
        <f t="shared" si="79"/>
        <v>2050</v>
      </c>
      <c r="H356" s="297">
        <f t="shared" si="80"/>
        <v>365</v>
      </c>
      <c r="I356" s="488">
        <f t="shared" si="81"/>
        <v>54948</v>
      </c>
      <c r="J356" s="488"/>
      <c r="K356" s="494">
        <f t="shared" si="82"/>
        <v>31</v>
      </c>
      <c r="L356" s="488">
        <f t="shared" si="87"/>
        <v>54969</v>
      </c>
      <c r="M356" s="299">
        <f t="shared" si="91"/>
        <v>0</v>
      </c>
      <c r="N356" s="303">
        <f t="shared" si="88"/>
        <v>0.1</v>
      </c>
      <c r="O356" s="299">
        <f t="shared" si="78"/>
        <v>0</v>
      </c>
      <c r="P356" s="299">
        <f t="shared" si="89"/>
        <v>0</v>
      </c>
      <c r="Q356" s="299">
        <f t="shared" si="83"/>
        <v>0</v>
      </c>
      <c r="R356" s="302">
        <f t="shared" si="84"/>
        <v>0</v>
      </c>
      <c r="S356" s="302">
        <f t="shared" si="85"/>
        <v>0</v>
      </c>
      <c r="T356" s="299">
        <f t="shared" si="86"/>
        <v>0</v>
      </c>
      <c r="U356" s="299">
        <f t="shared" si="90"/>
        <v>0</v>
      </c>
      <c r="V356" s="304"/>
      <c r="W356" s="505"/>
      <c r="X356" s="505"/>
      <c r="Y356" s="298">
        <f t="shared" si="92"/>
        <v>0.1</v>
      </c>
      <c r="Z356" s="309"/>
      <c r="AA356" s="306"/>
      <c r="AB356" s="307"/>
      <c r="AC356" s="297"/>
    </row>
    <row r="357" spans="3:29" x14ac:dyDescent="0.2">
      <c r="C357" s="489"/>
      <c r="D357" s="489"/>
      <c r="E357" s="494"/>
      <c r="F357" s="494">
        <v>343</v>
      </c>
      <c r="G357" s="297">
        <f t="shared" si="79"/>
        <v>2050</v>
      </c>
      <c r="H357" s="297">
        <f t="shared" si="80"/>
        <v>365</v>
      </c>
      <c r="I357" s="488">
        <f t="shared" si="81"/>
        <v>54978</v>
      </c>
      <c r="J357" s="488"/>
      <c r="K357" s="494">
        <f t="shared" si="82"/>
        <v>30</v>
      </c>
      <c r="L357" s="488">
        <f t="shared" si="87"/>
        <v>55000</v>
      </c>
      <c r="M357" s="299">
        <f t="shared" si="91"/>
        <v>0</v>
      </c>
      <c r="N357" s="303">
        <f t="shared" si="88"/>
        <v>0.1</v>
      </c>
      <c r="O357" s="299">
        <f t="shared" si="78"/>
        <v>0</v>
      </c>
      <c r="P357" s="299">
        <f t="shared" si="89"/>
        <v>0</v>
      </c>
      <c r="Q357" s="299">
        <f t="shared" si="83"/>
        <v>0</v>
      </c>
      <c r="R357" s="302">
        <f t="shared" si="84"/>
        <v>0</v>
      </c>
      <c r="S357" s="302">
        <f t="shared" si="85"/>
        <v>0</v>
      </c>
      <c r="T357" s="299">
        <f t="shared" si="86"/>
        <v>0</v>
      </c>
      <c r="U357" s="299">
        <f t="shared" si="90"/>
        <v>0</v>
      </c>
      <c r="V357" s="304"/>
      <c r="W357" s="505"/>
      <c r="X357" s="505"/>
      <c r="Y357" s="298">
        <f t="shared" si="92"/>
        <v>0.1</v>
      </c>
      <c r="Z357" s="309"/>
      <c r="AA357" s="306"/>
      <c r="AB357" s="307"/>
      <c r="AC357" s="297"/>
    </row>
    <row r="358" spans="3:29" x14ac:dyDescent="0.2">
      <c r="C358" s="489"/>
      <c r="D358" s="489"/>
      <c r="E358" s="494"/>
      <c r="F358" s="494">
        <v>344</v>
      </c>
      <c r="G358" s="297">
        <f t="shared" si="79"/>
        <v>2050</v>
      </c>
      <c r="H358" s="297">
        <f t="shared" si="80"/>
        <v>365</v>
      </c>
      <c r="I358" s="488">
        <f t="shared" si="81"/>
        <v>55009</v>
      </c>
      <c r="J358" s="488"/>
      <c r="K358" s="494">
        <f t="shared" si="82"/>
        <v>31</v>
      </c>
      <c r="L358" s="488">
        <f t="shared" si="87"/>
        <v>55031</v>
      </c>
      <c r="M358" s="299">
        <f t="shared" si="91"/>
        <v>0</v>
      </c>
      <c r="N358" s="303">
        <f t="shared" si="88"/>
        <v>0.1</v>
      </c>
      <c r="O358" s="299">
        <f t="shared" si="78"/>
        <v>0</v>
      </c>
      <c r="P358" s="299">
        <f t="shared" si="89"/>
        <v>0</v>
      </c>
      <c r="Q358" s="299">
        <f t="shared" si="83"/>
        <v>0</v>
      </c>
      <c r="R358" s="302">
        <f t="shared" si="84"/>
        <v>0</v>
      </c>
      <c r="S358" s="302">
        <f t="shared" si="85"/>
        <v>0</v>
      </c>
      <c r="T358" s="299">
        <f t="shared" si="86"/>
        <v>0</v>
      </c>
      <c r="U358" s="299">
        <f t="shared" si="90"/>
        <v>0</v>
      </c>
      <c r="V358" s="304"/>
      <c r="W358" s="505"/>
      <c r="X358" s="505"/>
      <c r="Y358" s="298">
        <f t="shared" si="92"/>
        <v>0.1</v>
      </c>
      <c r="Z358" s="309"/>
      <c r="AA358" s="306"/>
      <c r="AB358" s="307"/>
      <c r="AC358" s="297"/>
    </row>
    <row r="359" spans="3:29" x14ac:dyDescent="0.2">
      <c r="C359" s="489"/>
      <c r="D359" s="489"/>
      <c r="E359" s="494"/>
      <c r="F359" s="494">
        <v>345</v>
      </c>
      <c r="G359" s="297">
        <f t="shared" si="79"/>
        <v>2050</v>
      </c>
      <c r="H359" s="297">
        <f t="shared" si="80"/>
        <v>365</v>
      </c>
      <c r="I359" s="488">
        <f t="shared" si="81"/>
        <v>55040</v>
      </c>
      <c r="J359" s="488"/>
      <c r="K359" s="494">
        <f t="shared" si="82"/>
        <v>31</v>
      </c>
      <c r="L359" s="488">
        <f t="shared" si="87"/>
        <v>55061</v>
      </c>
      <c r="M359" s="299">
        <f t="shared" si="91"/>
        <v>0</v>
      </c>
      <c r="N359" s="303">
        <f t="shared" si="88"/>
        <v>0.1</v>
      </c>
      <c r="O359" s="299">
        <f t="shared" si="78"/>
        <v>0</v>
      </c>
      <c r="P359" s="299">
        <f t="shared" si="89"/>
        <v>0</v>
      </c>
      <c r="Q359" s="299">
        <f t="shared" si="83"/>
        <v>0</v>
      </c>
      <c r="R359" s="302">
        <f t="shared" si="84"/>
        <v>0</v>
      </c>
      <c r="S359" s="302">
        <f t="shared" si="85"/>
        <v>0</v>
      </c>
      <c r="T359" s="299">
        <f t="shared" si="86"/>
        <v>0</v>
      </c>
      <c r="U359" s="299">
        <f t="shared" si="90"/>
        <v>0</v>
      </c>
      <c r="V359" s="304"/>
      <c r="W359" s="505"/>
      <c r="X359" s="505"/>
      <c r="Y359" s="298">
        <f t="shared" si="92"/>
        <v>0.1</v>
      </c>
      <c r="Z359" s="309"/>
      <c r="AA359" s="306"/>
      <c r="AB359" s="307"/>
      <c r="AC359" s="297"/>
    </row>
    <row r="360" spans="3:29" x14ac:dyDescent="0.2">
      <c r="C360" s="489"/>
      <c r="D360" s="489"/>
      <c r="E360" s="494"/>
      <c r="F360" s="494">
        <v>346</v>
      </c>
      <c r="G360" s="297">
        <f t="shared" si="79"/>
        <v>2050</v>
      </c>
      <c r="H360" s="297">
        <f t="shared" si="80"/>
        <v>365</v>
      </c>
      <c r="I360" s="488">
        <f t="shared" si="81"/>
        <v>55070</v>
      </c>
      <c r="J360" s="488"/>
      <c r="K360" s="494">
        <f t="shared" si="82"/>
        <v>30</v>
      </c>
      <c r="L360" s="488">
        <f t="shared" si="87"/>
        <v>55092</v>
      </c>
      <c r="M360" s="299">
        <f t="shared" si="91"/>
        <v>0</v>
      </c>
      <c r="N360" s="303">
        <f t="shared" si="88"/>
        <v>0.1</v>
      </c>
      <c r="O360" s="299">
        <f t="shared" si="78"/>
        <v>0</v>
      </c>
      <c r="P360" s="299">
        <f t="shared" si="89"/>
        <v>0</v>
      </c>
      <c r="Q360" s="299">
        <f t="shared" si="83"/>
        <v>0</v>
      </c>
      <c r="R360" s="302">
        <f t="shared" si="84"/>
        <v>0</v>
      </c>
      <c r="S360" s="302">
        <f t="shared" si="85"/>
        <v>0</v>
      </c>
      <c r="T360" s="299">
        <f t="shared" si="86"/>
        <v>0</v>
      </c>
      <c r="U360" s="299">
        <f t="shared" si="90"/>
        <v>0</v>
      </c>
      <c r="V360" s="304"/>
      <c r="W360" s="505"/>
      <c r="X360" s="505"/>
      <c r="Y360" s="298">
        <f t="shared" si="92"/>
        <v>0.1</v>
      </c>
      <c r="Z360" s="309"/>
      <c r="AA360" s="306"/>
      <c r="AB360" s="307"/>
      <c r="AC360" s="297"/>
    </row>
    <row r="361" spans="3:29" x14ac:dyDescent="0.2">
      <c r="C361" s="489"/>
      <c r="D361" s="489"/>
      <c r="E361" s="494"/>
      <c r="F361" s="494">
        <v>347</v>
      </c>
      <c r="G361" s="297">
        <f t="shared" si="79"/>
        <v>2050</v>
      </c>
      <c r="H361" s="297">
        <f t="shared" si="80"/>
        <v>365</v>
      </c>
      <c r="I361" s="488">
        <f t="shared" si="81"/>
        <v>55101</v>
      </c>
      <c r="J361" s="488"/>
      <c r="K361" s="494">
        <f t="shared" si="82"/>
        <v>31</v>
      </c>
      <c r="L361" s="488">
        <f t="shared" si="87"/>
        <v>55122</v>
      </c>
      <c r="M361" s="299">
        <f t="shared" si="91"/>
        <v>0</v>
      </c>
      <c r="N361" s="303">
        <f t="shared" si="88"/>
        <v>0.1</v>
      </c>
      <c r="O361" s="299">
        <f t="shared" si="78"/>
        <v>0</v>
      </c>
      <c r="P361" s="299">
        <f t="shared" si="89"/>
        <v>0</v>
      </c>
      <c r="Q361" s="299">
        <f t="shared" si="83"/>
        <v>0</v>
      </c>
      <c r="R361" s="302">
        <f t="shared" si="84"/>
        <v>0</v>
      </c>
      <c r="S361" s="302">
        <f t="shared" si="85"/>
        <v>0</v>
      </c>
      <c r="T361" s="299">
        <f t="shared" si="86"/>
        <v>0</v>
      </c>
      <c r="U361" s="299">
        <f t="shared" si="90"/>
        <v>0</v>
      </c>
      <c r="V361" s="304"/>
      <c r="W361" s="505"/>
      <c r="X361" s="505"/>
      <c r="Y361" s="298">
        <f t="shared" si="92"/>
        <v>0.1</v>
      </c>
      <c r="Z361" s="309"/>
      <c r="AA361" s="306"/>
      <c r="AB361" s="307"/>
      <c r="AC361" s="297"/>
    </row>
    <row r="362" spans="3:29" x14ac:dyDescent="0.2">
      <c r="C362" s="489"/>
      <c r="D362" s="489"/>
      <c r="E362" s="494"/>
      <c r="F362" s="494">
        <v>348</v>
      </c>
      <c r="G362" s="297">
        <f t="shared" si="79"/>
        <v>2050</v>
      </c>
      <c r="H362" s="297">
        <f t="shared" si="80"/>
        <v>365</v>
      </c>
      <c r="I362" s="488">
        <f t="shared" si="81"/>
        <v>55131</v>
      </c>
      <c r="J362" s="488"/>
      <c r="K362" s="494">
        <f t="shared" si="82"/>
        <v>30</v>
      </c>
      <c r="L362" s="488">
        <f t="shared" si="87"/>
        <v>55153</v>
      </c>
      <c r="M362" s="299">
        <f t="shared" si="91"/>
        <v>0</v>
      </c>
      <c r="N362" s="303">
        <f t="shared" si="88"/>
        <v>0.1</v>
      </c>
      <c r="O362" s="299">
        <f t="shared" si="78"/>
        <v>0</v>
      </c>
      <c r="P362" s="299">
        <f t="shared" si="89"/>
        <v>0</v>
      </c>
      <c r="Q362" s="299">
        <f t="shared" si="83"/>
        <v>0</v>
      </c>
      <c r="R362" s="302">
        <f t="shared" si="84"/>
        <v>0</v>
      </c>
      <c r="S362" s="302">
        <f t="shared" si="85"/>
        <v>0</v>
      </c>
      <c r="T362" s="299">
        <f t="shared" si="86"/>
        <v>0</v>
      </c>
      <c r="U362" s="299">
        <f t="shared" si="90"/>
        <v>0</v>
      </c>
      <c r="V362" s="304"/>
      <c r="W362" s="505"/>
      <c r="X362" s="505"/>
      <c r="Y362" s="298">
        <f t="shared" si="92"/>
        <v>0.1</v>
      </c>
      <c r="Z362" s="309"/>
      <c r="AA362" s="306"/>
      <c r="AB362" s="307"/>
      <c r="AC362" s="297"/>
    </row>
    <row r="363" spans="3:29" x14ac:dyDescent="0.2">
      <c r="C363" s="489"/>
      <c r="D363" s="489"/>
      <c r="E363" s="494">
        <f>E351+1</f>
        <v>54</v>
      </c>
      <c r="F363" s="494">
        <v>349</v>
      </c>
      <c r="G363" s="297">
        <f t="shared" si="79"/>
        <v>2051</v>
      </c>
      <c r="H363" s="297">
        <f t="shared" si="80"/>
        <v>365</v>
      </c>
      <c r="I363" s="488">
        <f t="shared" si="81"/>
        <v>55162</v>
      </c>
      <c r="J363" s="488"/>
      <c r="K363" s="494">
        <f t="shared" si="82"/>
        <v>31</v>
      </c>
      <c r="L363" s="488">
        <f t="shared" si="87"/>
        <v>55184</v>
      </c>
      <c r="M363" s="299">
        <f t="shared" si="91"/>
        <v>0</v>
      </c>
      <c r="N363" s="303">
        <f t="shared" si="88"/>
        <v>0.1</v>
      </c>
      <c r="O363" s="299">
        <f t="shared" si="78"/>
        <v>0</v>
      </c>
      <c r="P363" s="299">
        <f t="shared" si="89"/>
        <v>0</v>
      </c>
      <c r="Q363" s="299">
        <f t="shared" si="83"/>
        <v>0</v>
      </c>
      <c r="R363" s="302">
        <f t="shared" si="84"/>
        <v>0</v>
      </c>
      <c r="S363" s="302">
        <f t="shared" si="85"/>
        <v>0</v>
      </c>
      <c r="T363" s="299">
        <f t="shared" si="86"/>
        <v>0</v>
      </c>
      <c r="U363" s="299">
        <f t="shared" si="90"/>
        <v>0</v>
      </c>
      <c r="V363" s="304">
        <f>IF(U363=0,0,((U363*10%+U363)*(W363+X363)))</f>
        <v>0</v>
      </c>
      <c r="W363" s="505">
        <f>INDEX('Тарифы СК'!$B$4:$C$53,MATCH($E$363,'Тарифы СК'!$A$4:$A$53,0),MATCH($AB$3,'Тарифы СК'!$B$3:$C$3,0))</f>
        <v>1.4350000000000002E-2</v>
      </c>
      <c r="X363" s="505">
        <f>'Тарифы СК'!$D$3</f>
        <v>1.1999999999999999E-3</v>
      </c>
      <c r="Y363" s="298">
        <f t="shared" si="92"/>
        <v>0.1</v>
      </c>
      <c r="Z363" s="309"/>
      <c r="AA363" s="306"/>
      <c r="AB363" s="307"/>
      <c r="AC363" s="297"/>
    </row>
    <row r="364" spans="3:29" x14ac:dyDescent="0.2">
      <c r="C364" s="489"/>
      <c r="D364" s="489"/>
      <c r="E364" s="494"/>
      <c r="F364" s="494">
        <v>350</v>
      </c>
      <c r="G364" s="297">
        <f t="shared" si="79"/>
        <v>2051</v>
      </c>
      <c r="H364" s="297">
        <f t="shared" si="80"/>
        <v>365</v>
      </c>
      <c r="I364" s="488">
        <f t="shared" si="81"/>
        <v>55193</v>
      </c>
      <c r="J364" s="488"/>
      <c r="K364" s="494">
        <f t="shared" si="82"/>
        <v>31</v>
      </c>
      <c r="L364" s="488">
        <f t="shared" si="87"/>
        <v>55212</v>
      </c>
      <c r="M364" s="299">
        <f t="shared" si="91"/>
        <v>0</v>
      </c>
      <c r="N364" s="303">
        <f t="shared" si="88"/>
        <v>0.1</v>
      </c>
      <c r="O364" s="299">
        <f t="shared" si="78"/>
        <v>0</v>
      </c>
      <c r="P364" s="299">
        <f t="shared" si="89"/>
        <v>0</v>
      </c>
      <c r="Q364" s="299">
        <f t="shared" si="83"/>
        <v>0</v>
      </c>
      <c r="R364" s="302">
        <f t="shared" si="84"/>
        <v>0</v>
      </c>
      <c r="S364" s="302">
        <f t="shared" si="85"/>
        <v>0</v>
      </c>
      <c r="T364" s="299">
        <f t="shared" si="86"/>
        <v>0</v>
      </c>
      <c r="U364" s="299">
        <f t="shared" si="90"/>
        <v>0</v>
      </c>
      <c r="V364" s="304"/>
      <c r="W364" s="505"/>
      <c r="X364" s="505"/>
      <c r="Y364" s="298">
        <f t="shared" si="92"/>
        <v>0.1</v>
      </c>
      <c r="Z364" s="309"/>
      <c r="AA364" s="306"/>
      <c r="AB364" s="307"/>
      <c r="AC364" s="297"/>
    </row>
    <row r="365" spans="3:29" x14ac:dyDescent="0.2">
      <c r="C365" s="489"/>
      <c r="D365" s="489"/>
      <c r="E365" s="494"/>
      <c r="F365" s="494">
        <v>351</v>
      </c>
      <c r="G365" s="297">
        <f t="shared" si="79"/>
        <v>2051</v>
      </c>
      <c r="H365" s="297">
        <f t="shared" si="80"/>
        <v>365</v>
      </c>
      <c r="I365" s="488">
        <f t="shared" si="81"/>
        <v>55221</v>
      </c>
      <c r="J365" s="488"/>
      <c r="K365" s="494">
        <f t="shared" si="82"/>
        <v>28</v>
      </c>
      <c r="L365" s="488">
        <f t="shared" si="87"/>
        <v>55243</v>
      </c>
      <c r="M365" s="299">
        <f t="shared" si="91"/>
        <v>0</v>
      </c>
      <c r="N365" s="303">
        <f t="shared" si="88"/>
        <v>0.1</v>
      </c>
      <c r="O365" s="299">
        <f t="shared" si="78"/>
        <v>0</v>
      </c>
      <c r="P365" s="299">
        <f t="shared" si="89"/>
        <v>0</v>
      </c>
      <c r="Q365" s="299">
        <f t="shared" si="83"/>
        <v>0</v>
      </c>
      <c r="R365" s="302">
        <f t="shared" si="84"/>
        <v>0</v>
      </c>
      <c r="S365" s="302">
        <f t="shared" si="85"/>
        <v>0</v>
      </c>
      <c r="T365" s="299">
        <f t="shared" si="86"/>
        <v>0</v>
      </c>
      <c r="U365" s="299">
        <f t="shared" si="90"/>
        <v>0</v>
      </c>
      <c r="V365" s="304"/>
      <c r="W365" s="505"/>
      <c r="X365" s="505"/>
      <c r="Y365" s="298">
        <f t="shared" si="92"/>
        <v>0.1</v>
      </c>
      <c r="Z365" s="309"/>
      <c r="AA365" s="306"/>
      <c r="AB365" s="307"/>
      <c r="AC365" s="297"/>
    </row>
    <row r="366" spans="3:29" x14ac:dyDescent="0.2">
      <c r="C366" s="489"/>
      <c r="D366" s="489"/>
      <c r="E366" s="494"/>
      <c r="F366" s="494">
        <v>352</v>
      </c>
      <c r="G366" s="297">
        <f t="shared" si="79"/>
        <v>2051</v>
      </c>
      <c r="H366" s="297">
        <f t="shared" si="80"/>
        <v>365</v>
      </c>
      <c r="I366" s="488">
        <f t="shared" si="81"/>
        <v>55252</v>
      </c>
      <c r="J366" s="488"/>
      <c r="K366" s="494">
        <f t="shared" si="82"/>
        <v>31</v>
      </c>
      <c r="L366" s="488">
        <f t="shared" si="87"/>
        <v>55273</v>
      </c>
      <c r="M366" s="299">
        <f t="shared" si="91"/>
        <v>0</v>
      </c>
      <c r="N366" s="303">
        <f t="shared" si="88"/>
        <v>0.1</v>
      </c>
      <c r="O366" s="299">
        <f t="shared" si="78"/>
        <v>0</v>
      </c>
      <c r="P366" s="299">
        <f t="shared" si="89"/>
        <v>0</v>
      </c>
      <c r="Q366" s="299">
        <f t="shared" si="83"/>
        <v>0</v>
      </c>
      <c r="R366" s="302">
        <f t="shared" si="84"/>
        <v>0</v>
      </c>
      <c r="S366" s="302">
        <f t="shared" si="85"/>
        <v>0</v>
      </c>
      <c r="T366" s="299">
        <f t="shared" si="86"/>
        <v>0</v>
      </c>
      <c r="U366" s="299">
        <f t="shared" si="90"/>
        <v>0</v>
      </c>
      <c r="V366" s="304"/>
      <c r="W366" s="505"/>
      <c r="X366" s="505"/>
      <c r="Y366" s="298">
        <f t="shared" si="92"/>
        <v>0.1</v>
      </c>
      <c r="Z366" s="309"/>
      <c r="AA366" s="306"/>
      <c r="AB366" s="307"/>
      <c r="AC366" s="297"/>
    </row>
    <row r="367" spans="3:29" x14ac:dyDescent="0.2">
      <c r="C367" s="489"/>
      <c r="D367" s="489"/>
      <c r="E367" s="494"/>
      <c r="F367" s="494">
        <v>353</v>
      </c>
      <c r="G367" s="297">
        <f t="shared" si="79"/>
        <v>2051</v>
      </c>
      <c r="H367" s="297">
        <f t="shared" si="80"/>
        <v>365</v>
      </c>
      <c r="I367" s="488">
        <f t="shared" si="81"/>
        <v>55282</v>
      </c>
      <c r="J367" s="488"/>
      <c r="K367" s="494">
        <f t="shared" si="82"/>
        <v>30</v>
      </c>
      <c r="L367" s="488">
        <f t="shared" si="87"/>
        <v>55304</v>
      </c>
      <c r="M367" s="299">
        <f t="shared" si="91"/>
        <v>0</v>
      </c>
      <c r="N367" s="303">
        <f t="shared" si="88"/>
        <v>0.1</v>
      </c>
      <c r="O367" s="299">
        <f t="shared" si="78"/>
        <v>0</v>
      </c>
      <c r="P367" s="299">
        <f t="shared" si="89"/>
        <v>0</v>
      </c>
      <c r="Q367" s="299">
        <f t="shared" si="83"/>
        <v>0</v>
      </c>
      <c r="R367" s="302">
        <f t="shared" si="84"/>
        <v>0</v>
      </c>
      <c r="S367" s="302">
        <f t="shared" si="85"/>
        <v>0</v>
      </c>
      <c r="T367" s="299">
        <f t="shared" si="86"/>
        <v>0</v>
      </c>
      <c r="U367" s="299">
        <f t="shared" si="90"/>
        <v>0</v>
      </c>
      <c r="V367" s="304"/>
      <c r="W367" s="505"/>
      <c r="X367" s="505"/>
      <c r="Y367" s="298">
        <f t="shared" si="92"/>
        <v>0.1</v>
      </c>
      <c r="Z367" s="309"/>
      <c r="AA367" s="306"/>
      <c r="AB367" s="307"/>
      <c r="AC367" s="297"/>
    </row>
    <row r="368" spans="3:29" x14ac:dyDescent="0.2">
      <c r="C368" s="489"/>
      <c r="D368" s="489"/>
      <c r="E368" s="494"/>
      <c r="F368" s="494">
        <v>354</v>
      </c>
      <c r="G368" s="297">
        <f t="shared" si="79"/>
        <v>2051</v>
      </c>
      <c r="H368" s="297">
        <f t="shared" si="80"/>
        <v>365</v>
      </c>
      <c r="I368" s="488">
        <f t="shared" si="81"/>
        <v>55313</v>
      </c>
      <c r="J368" s="488"/>
      <c r="K368" s="494">
        <f t="shared" si="82"/>
        <v>31</v>
      </c>
      <c r="L368" s="488">
        <f t="shared" si="87"/>
        <v>55334</v>
      </c>
      <c r="M368" s="299">
        <f t="shared" si="91"/>
        <v>0</v>
      </c>
      <c r="N368" s="303">
        <f t="shared" si="88"/>
        <v>0.1</v>
      </c>
      <c r="O368" s="299">
        <f t="shared" si="78"/>
        <v>0</v>
      </c>
      <c r="P368" s="299">
        <f t="shared" si="89"/>
        <v>0</v>
      </c>
      <c r="Q368" s="299">
        <f t="shared" si="83"/>
        <v>0</v>
      </c>
      <c r="R368" s="302">
        <f t="shared" si="84"/>
        <v>0</v>
      </c>
      <c r="S368" s="302">
        <f t="shared" si="85"/>
        <v>0</v>
      </c>
      <c r="T368" s="299">
        <f t="shared" si="86"/>
        <v>0</v>
      </c>
      <c r="U368" s="299">
        <f t="shared" si="90"/>
        <v>0</v>
      </c>
      <c r="V368" s="304"/>
      <c r="W368" s="505"/>
      <c r="X368" s="505"/>
      <c r="Y368" s="298">
        <f t="shared" si="92"/>
        <v>0.1</v>
      </c>
      <c r="Z368" s="309"/>
      <c r="AA368" s="306"/>
      <c r="AB368" s="307"/>
      <c r="AC368" s="297"/>
    </row>
    <row r="369" spans="3:29" x14ac:dyDescent="0.2">
      <c r="C369" s="489"/>
      <c r="D369" s="489"/>
      <c r="E369" s="494"/>
      <c r="F369" s="494">
        <v>355</v>
      </c>
      <c r="G369" s="297">
        <f t="shared" si="79"/>
        <v>2051</v>
      </c>
      <c r="H369" s="297">
        <f t="shared" si="80"/>
        <v>365</v>
      </c>
      <c r="I369" s="488">
        <f t="shared" si="81"/>
        <v>55343</v>
      </c>
      <c r="J369" s="488"/>
      <c r="K369" s="494">
        <f t="shared" si="82"/>
        <v>30</v>
      </c>
      <c r="L369" s="488">
        <f t="shared" si="87"/>
        <v>55365</v>
      </c>
      <c r="M369" s="299">
        <f t="shared" si="91"/>
        <v>0</v>
      </c>
      <c r="N369" s="303">
        <f t="shared" si="88"/>
        <v>0.1</v>
      </c>
      <c r="O369" s="299">
        <f t="shared" ref="O369:O374" si="93">M369*N369/H369*K369</f>
        <v>0</v>
      </c>
      <c r="P369" s="299">
        <f t="shared" si="89"/>
        <v>0</v>
      </c>
      <c r="Q369" s="299">
        <f t="shared" si="83"/>
        <v>0</v>
      </c>
      <c r="R369" s="302">
        <f t="shared" si="84"/>
        <v>0</v>
      </c>
      <c r="S369" s="302">
        <f t="shared" si="85"/>
        <v>0</v>
      </c>
      <c r="T369" s="299">
        <f t="shared" si="86"/>
        <v>0</v>
      </c>
      <c r="U369" s="299">
        <f t="shared" si="90"/>
        <v>0</v>
      </c>
      <c r="V369" s="304"/>
      <c r="W369" s="505"/>
      <c r="X369" s="505"/>
      <c r="Y369" s="298">
        <f t="shared" si="92"/>
        <v>0.1</v>
      </c>
      <c r="Z369" s="309"/>
      <c r="AA369" s="306"/>
      <c r="AB369" s="307"/>
      <c r="AC369" s="297"/>
    </row>
    <row r="370" spans="3:29" x14ac:dyDescent="0.2">
      <c r="C370" s="489"/>
      <c r="D370" s="489"/>
      <c r="E370" s="494"/>
      <c r="F370" s="494">
        <v>356</v>
      </c>
      <c r="G370" s="297">
        <f t="shared" si="79"/>
        <v>2051</v>
      </c>
      <c r="H370" s="297">
        <f t="shared" si="80"/>
        <v>365</v>
      </c>
      <c r="I370" s="488">
        <f t="shared" si="81"/>
        <v>55374</v>
      </c>
      <c r="J370" s="488"/>
      <c r="K370" s="494">
        <f t="shared" si="82"/>
        <v>31</v>
      </c>
      <c r="L370" s="488">
        <f t="shared" si="87"/>
        <v>55396</v>
      </c>
      <c r="M370" s="299">
        <f t="shared" si="91"/>
        <v>0</v>
      </c>
      <c r="N370" s="303">
        <f t="shared" si="88"/>
        <v>0.1</v>
      </c>
      <c r="O370" s="299">
        <f t="shared" si="93"/>
        <v>0</v>
      </c>
      <c r="P370" s="299">
        <f t="shared" si="89"/>
        <v>0</v>
      </c>
      <c r="Q370" s="299">
        <f t="shared" si="83"/>
        <v>0</v>
      </c>
      <c r="R370" s="302">
        <f t="shared" si="84"/>
        <v>0</v>
      </c>
      <c r="S370" s="302">
        <f t="shared" si="85"/>
        <v>0</v>
      </c>
      <c r="T370" s="299">
        <f t="shared" si="86"/>
        <v>0</v>
      </c>
      <c r="U370" s="299">
        <f t="shared" si="90"/>
        <v>0</v>
      </c>
      <c r="V370" s="304"/>
      <c r="W370" s="505"/>
      <c r="X370" s="505"/>
      <c r="Y370" s="298">
        <f t="shared" si="92"/>
        <v>0.1</v>
      </c>
      <c r="Z370" s="309"/>
      <c r="AA370" s="306"/>
      <c r="AB370" s="307"/>
      <c r="AC370" s="297"/>
    </row>
    <row r="371" spans="3:29" x14ac:dyDescent="0.2">
      <c r="C371" s="489"/>
      <c r="D371" s="489"/>
      <c r="E371" s="494"/>
      <c r="F371" s="494">
        <v>357</v>
      </c>
      <c r="G371" s="297">
        <f t="shared" si="79"/>
        <v>2051</v>
      </c>
      <c r="H371" s="297">
        <f t="shared" si="80"/>
        <v>365</v>
      </c>
      <c r="I371" s="488">
        <f t="shared" si="81"/>
        <v>55405</v>
      </c>
      <c r="J371" s="488"/>
      <c r="K371" s="494">
        <f t="shared" si="82"/>
        <v>31</v>
      </c>
      <c r="L371" s="488">
        <f t="shared" si="87"/>
        <v>55426</v>
      </c>
      <c r="M371" s="299">
        <f t="shared" si="91"/>
        <v>0</v>
      </c>
      <c r="N371" s="303">
        <f t="shared" si="88"/>
        <v>0.1</v>
      </c>
      <c r="O371" s="299">
        <f t="shared" si="93"/>
        <v>0</v>
      </c>
      <c r="P371" s="299">
        <f t="shared" si="89"/>
        <v>0</v>
      </c>
      <c r="Q371" s="299">
        <f t="shared" si="83"/>
        <v>0</v>
      </c>
      <c r="R371" s="302">
        <f t="shared" si="84"/>
        <v>0</v>
      </c>
      <c r="S371" s="302">
        <f t="shared" si="85"/>
        <v>0</v>
      </c>
      <c r="T371" s="299">
        <f t="shared" si="86"/>
        <v>0</v>
      </c>
      <c r="U371" s="299">
        <f t="shared" si="90"/>
        <v>0</v>
      </c>
      <c r="V371" s="304"/>
      <c r="W371" s="505"/>
      <c r="X371" s="505"/>
      <c r="Y371" s="298">
        <f t="shared" si="92"/>
        <v>0.1</v>
      </c>
      <c r="Z371" s="309"/>
      <c r="AA371" s="306"/>
      <c r="AB371" s="307"/>
      <c r="AC371" s="297"/>
    </row>
    <row r="372" spans="3:29" x14ac:dyDescent="0.2">
      <c r="C372" s="489"/>
      <c r="D372" s="489"/>
      <c r="E372" s="494"/>
      <c r="F372" s="494">
        <v>358</v>
      </c>
      <c r="G372" s="297">
        <f t="shared" si="79"/>
        <v>2051</v>
      </c>
      <c r="H372" s="297">
        <f t="shared" si="80"/>
        <v>365</v>
      </c>
      <c r="I372" s="488">
        <f t="shared" si="81"/>
        <v>55435</v>
      </c>
      <c r="J372" s="488"/>
      <c r="K372" s="494">
        <f t="shared" si="82"/>
        <v>30</v>
      </c>
      <c r="L372" s="488">
        <f t="shared" si="87"/>
        <v>55457</v>
      </c>
      <c r="M372" s="299">
        <f t="shared" si="91"/>
        <v>0</v>
      </c>
      <c r="N372" s="303">
        <f t="shared" si="88"/>
        <v>0.1</v>
      </c>
      <c r="O372" s="299">
        <f t="shared" si="93"/>
        <v>0</v>
      </c>
      <c r="P372" s="299">
        <f t="shared" si="89"/>
        <v>0</v>
      </c>
      <c r="Q372" s="299">
        <f t="shared" si="83"/>
        <v>0</v>
      </c>
      <c r="R372" s="302">
        <f t="shared" si="84"/>
        <v>0</v>
      </c>
      <c r="S372" s="302">
        <f t="shared" si="85"/>
        <v>0</v>
      </c>
      <c r="T372" s="299">
        <f t="shared" si="86"/>
        <v>0</v>
      </c>
      <c r="U372" s="299">
        <f t="shared" si="90"/>
        <v>0</v>
      </c>
      <c r="V372" s="304"/>
      <c r="W372" s="505"/>
      <c r="X372" s="505"/>
      <c r="Y372" s="298">
        <f t="shared" si="92"/>
        <v>0.1</v>
      </c>
      <c r="Z372" s="309"/>
      <c r="AA372" s="306"/>
      <c r="AB372" s="307"/>
      <c r="AC372" s="297"/>
    </row>
    <row r="373" spans="3:29" x14ac:dyDescent="0.2">
      <c r="C373" s="489"/>
      <c r="D373" s="489"/>
      <c r="E373" s="494"/>
      <c r="F373" s="494">
        <v>359</v>
      </c>
      <c r="G373" s="297">
        <f t="shared" si="79"/>
        <v>2051</v>
      </c>
      <c r="H373" s="297">
        <f t="shared" si="80"/>
        <v>365</v>
      </c>
      <c r="I373" s="488">
        <f t="shared" si="81"/>
        <v>55466</v>
      </c>
      <c r="J373" s="488"/>
      <c r="K373" s="494">
        <f t="shared" si="82"/>
        <v>31</v>
      </c>
      <c r="L373" s="488">
        <f t="shared" si="87"/>
        <v>55487</v>
      </c>
      <c r="M373" s="299">
        <f t="shared" si="91"/>
        <v>0</v>
      </c>
      <c r="N373" s="303">
        <f t="shared" si="88"/>
        <v>0.1</v>
      </c>
      <c r="O373" s="299">
        <f t="shared" si="93"/>
        <v>0</v>
      </c>
      <c r="P373" s="299">
        <f t="shared" si="89"/>
        <v>0</v>
      </c>
      <c r="Q373" s="299">
        <f t="shared" si="83"/>
        <v>0</v>
      </c>
      <c r="R373" s="302">
        <f t="shared" si="84"/>
        <v>0</v>
      </c>
      <c r="S373" s="302">
        <f t="shared" si="85"/>
        <v>0</v>
      </c>
      <c r="T373" s="299">
        <f t="shared" si="86"/>
        <v>0</v>
      </c>
      <c r="U373" s="299">
        <f t="shared" si="90"/>
        <v>0</v>
      </c>
      <c r="V373" s="304"/>
      <c r="W373" s="505"/>
      <c r="X373" s="505"/>
      <c r="Y373" s="298">
        <f t="shared" si="92"/>
        <v>0.1</v>
      </c>
      <c r="Z373" s="309"/>
      <c r="AA373" s="306"/>
      <c r="AB373" s="307"/>
      <c r="AC373" s="297"/>
    </row>
    <row r="374" spans="3:29" x14ac:dyDescent="0.2">
      <c r="C374" s="489"/>
      <c r="D374" s="489"/>
      <c r="E374" s="494"/>
      <c r="F374" s="494">
        <v>360</v>
      </c>
      <c r="G374" s="297">
        <f t="shared" si="79"/>
        <v>2051</v>
      </c>
      <c r="H374" s="297">
        <f t="shared" si="80"/>
        <v>365</v>
      </c>
      <c r="I374" s="488">
        <f t="shared" si="81"/>
        <v>55496</v>
      </c>
      <c r="J374" s="488"/>
      <c r="K374" s="494">
        <f t="shared" si="82"/>
        <v>30</v>
      </c>
      <c r="L374" s="488">
        <f t="shared" si="87"/>
        <v>55518</v>
      </c>
      <c r="M374" s="299">
        <f t="shared" si="91"/>
        <v>0</v>
      </c>
      <c r="N374" s="303">
        <f t="shared" si="88"/>
        <v>0.1</v>
      </c>
      <c r="O374" s="299">
        <f t="shared" si="93"/>
        <v>0</v>
      </c>
      <c r="P374" s="299">
        <f t="shared" si="89"/>
        <v>0</v>
      </c>
      <c r="Q374" s="299">
        <f t="shared" si="83"/>
        <v>0</v>
      </c>
      <c r="R374" s="302">
        <f t="shared" si="84"/>
        <v>0</v>
      </c>
      <c r="S374" s="302">
        <f t="shared" si="85"/>
        <v>0</v>
      </c>
      <c r="T374" s="299">
        <f t="shared" si="86"/>
        <v>0</v>
      </c>
      <c r="U374" s="299">
        <f t="shared" si="90"/>
        <v>0</v>
      </c>
      <c r="V374" s="304"/>
      <c r="W374" s="505"/>
      <c r="X374" s="505"/>
      <c r="Y374" s="298">
        <f t="shared" si="92"/>
        <v>0.1</v>
      </c>
      <c r="Z374" s="309"/>
      <c r="AA374" s="306"/>
      <c r="AB374" s="307"/>
      <c r="AC374" s="297"/>
    </row>
  </sheetData>
  <sheetProtection password="EAF9" sheet="1" objects="1" scenarios="1"/>
  <mergeCells count="4">
    <mergeCell ref="S2:S7"/>
    <mergeCell ref="P2:P7"/>
    <mergeCell ref="P8:P9"/>
    <mergeCell ref="AA8:AG8"/>
  </mergeCells>
  <conditionalFormatting sqref="U8">
    <cfRule type="expression" dxfId="80" priority="1">
      <formula>$AA$12="Внимание! Превышено предельное значение ПСК (полной стоимости кредита)!!!"</formula>
    </cfRule>
  </conditionalFormatting>
  <dataValidations count="4">
    <dataValidation type="list" allowBlank="1" showInputMessage="1" showErrorMessage="1" sqref="AB16:AB374">
      <formula1>$C$5:$C$7</formula1>
    </dataValidation>
    <dataValidation allowBlank="1" showInputMessage="1" showErrorMessage="1" errorTitle="Недопустимая дата платежа!" error="Платеж не может быть установлен с 29 по 31 число месяца!" sqref="Z9"/>
    <dataValidation allowBlank="1" showInputMessage="1" showErrorMessage="1" errorTitle="Недопустимая дата платежа!" error="Платеж может быть установлен только с 1 по 28 число месяца!" sqref="U3"/>
    <dataValidation type="custom" allowBlank="1" showInputMessage="1" showErrorMessage="1" sqref="C19">
      <formula1>OR(C19=29,C19=30,C19=31)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'Тарифы СК'!$H$3:$H$4</xm:f>
          </x14:formula1>
          <xm:sqref>AB3</xm:sqref>
        </x14:dataValidation>
        <x14:dataValidation type="list" allowBlank="1" showInputMessage="1" showErrorMessage="1">
          <x14:formula1>
            <xm:f>'Тарифы СК'!$H$5:$H$6</xm:f>
          </x14:formula1>
          <xm:sqref>AB5:AB6</xm:sqref>
        </x14:dataValidation>
        <x14:dataValidation type="list" allowBlank="1" showInputMessage="1" showErrorMessage="1">
          <x14:formula1>
            <xm:f>'Справочники и промежут.расчет'!$B$217:$B$219</xm:f>
          </x14:formula1>
          <xm:sqref>AA8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Z220"/>
  <sheetViews>
    <sheetView topLeftCell="I76" zoomScale="85" zoomScaleNormal="85" workbookViewId="0">
      <selection activeCell="O96" sqref="O96"/>
    </sheetView>
  </sheetViews>
  <sheetFormatPr defaultColWidth="9.140625" defaultRowHeight="12.75" x14ac:dyDescent="0.2"/>
  <cols>
    <col min="1" max="1" width="9.140625" style="144"/>
    <col min="2" max="2" width="48.7109375" style="144" customWidth="1"/>
    <col min="3" max="3" width="15.140625" style="144" customWidth="1"/>
    <col min="4" max="4" width="55.42578125" style="144" bestFit="1" customWidth="1"/>
    <col min="5" max="5" width="15.5703125" style="144" customWidth="1"/>
    <col min="6" max="6" width="15.140625" style="144" customWidth="1"/>
    <col min="7" max="7" width="14.42578125" style="144" customWidth="1"/>
    <col min="8" max="8" width="52.5703125" style="144" customWidth="1"/>
    <col min="9" max="9" width="53.42578125" style="144" customWidth="1"/>
    <col min="10" max="10" width="19.85546875" style="144" customWidth="1"/>
    <col min="11" max="11" width="16.85546875" style="144" customWidth="1"/>
    <col min="12" max="12" width="21.140625" style="144" customWidth="1"/>
    <col min="13" max="13" width="21.5703125" style="144" customWidth="1"/>
    <col min="14" max="14" width="21" style="144" customWidth="1"/>
    <col min="15" max="15" width="17.5703125" style="144" customWidth="1"/>
    <col min="16" max="16" width="22.140625" style="144" customWidth="1"/>
    <col min="17" max="17" width="26" style="144" customWidth="1"/>
    <col min="18" max="18" width="18.42578125" style="144" customWidth="1"/>
    <col min="19" max="20" width="16.140625" style="144" customWidth="1"/>
    <col min="21" max="21" width="14.85546875" style="144" customWidth="1"/>
    <col min="22" max="22" width="15.140625" style="144" customWidth="1"/>
    <col min="23" max="23" width="20.5703125" style="144" customWidth="1"/>
    <col min="24" max="24" width="32" style="144" customWidth="1"/>
    <col min="25" max="25" width="44.5703125" style="144" customWidth="1"/>
    <col min="26" max="26" width="48.42578125" style="144" customWidth="1"/>
    <col min="27" max="27" width="25.5703125" style="144" customWidth="1"/>
    <col min="28" max="28" width="23.5703125" style="144" customWidth="1"/>
    <col min="29" max="16384" width="9.140625" style="144"/>
  </cols>
  <sheetData>
    <row r="1" spans="1:11" ht="15.75" x14ac:dyDescent="0.25">
      <c r="K1" s="558" t="s">
        <v>733</v>
      </c>
    </row>
    <row r="2" spans="1:11" x14ac:dyDescent="0.2">
      <c r="A2" s="193">
        <v>1</v>
      </c>
      <c r="B2" s="194" t="s">
        <v>97</v>
      </c>
      <c r="C2" s="193">
        <v>2</v>
      </c>
      <c r="D2" s="194" t="s">
        <v>98</v>
      </c>
    </row>
    <row r="3" spans="1:11" x14ac:dyDescent="0.2">
      <c r="B3" s="195" t="s">
        <v>65</v>
      </c>
      <c r="C3" s="193"/>
      <c r="D3" s="158" t="s">
        <v>100</v>
      </c>
      <c r="H3" s="193" t="s">
        <v>231</v>
      </c>
      <c r="I3" s="194" t="s">
        <v>232</v>
      </c>
    </row>
    <row r="4" spans="1:11" x14ac:dyDescent="0.2">
      <c r="B4" s="158" t="s">
        <v>101</v>
      </c>
      <c r="C4" s="193"/>
      <c r="D4" s="158" t="s">
        <v>81</v>
      </c>
      <c r="I4" s="200" t="s">
        <v>71</v>
      </c>
      <c r="J4" s="201" t="s">
        <v>237</v>
      </c>
    </row>
    <row r="5" spans="1:11" x14ac:dyDescent="0.2">
      <c r="B5" s="158" t="s">
        <v>391</v>
      </c>
      <c r="C5" s="193"/>
      <c r="I5" s="200" t="s">
        <v>122</v>
      </c>
      <c r="J5" s="158" t="s">
        <v>239</v>
      </c>
    </row>
    <row r="6" spans="1:11" x14ac:dyDescent="0.2">
      <c r="B6" s="196" t="s">
        <v>103</v>
      </c>
      <c r="C6" s="193"/>
      <c r="I6" s="158" t="s">
        <v>144</v>
      </c>
      <c r="J6" s="158" t="s">
        <v>241</v>
      </c>
    </row>
    <row r="7" spans="1:11" x14ac:dyDescent="0.2">
      <c r="B7" s="158" t="s">
        <v>102</v>
      </c>
      <c r="C7" s="193">
        <v>3</v>
      </c>
      <c r="D7" s="194" t="s">
        <v>228</v>
      </c>
      <c r="I7" s="205" t="s">
        <v>141</v>
      </c>
      <c r="J7" s="158" t="s">
        <v>243</v>
      </c>
    </row>
    <row r="8" spans="1:11" x14ac:dyDescent="0.2">
      <c r="B8" s="158" t="s">
        <v>595</v>
      </c>
      <c r="D8" s="466">
        <v>0.08</v>
      </c>
      <c r="I8" s="232" t="str">
        <f>B26</f>
        <v>Амурская область</v>
      </c>
      <c r="J8" s="158" t="s">
        <v>694</v>
      </c>
      <c r="K8" s="144" t="s">
        <v>107</v>
      </c>
    </row>
    <row r="9" spans="1:11" x14ac:dyDescent="0.2">
      <c r="B9" s="195" t="s">
        <v>596</v>
      </c>
      <c r="D9" s="146"/>
      <c r="I9" s="232" t="str">
        <f>B37</f>
        <v>Еврейская авт.область</v>
      </c>
      <c r="J9" s="158" t="s">
        <v>694</v>
      </c>
      <c r="K9" s="144" t="s">
        <v>692</v>
      </c>
    </row>
    <row r="10" spans="1:11" x14ac:dyDescent="0.2">
      <c r="B10" s="195" t="s">
        <v>643</v>
      </c>
      <c r="D10" s="146"/>
      <c r="I10" s="232" t="str">
        <f>B38</f>
        <v>Забайкальский край</v>
      </c>
      <c r="J10" s="158" t="s">
        <v>694</v>
      </c>
      <c r="K10" s="144" t="s">
        <v>126</v>
      </c>
    </row>
    <row r="11" spans="1:11" x14ac:dyDescent="0.2">
      <c r="B11" s="158" t="s">
        <v>648</v>
      </c>
      <c r="C11" s="146"/>
      <c r="D11" s="146"/>
      <c r="E11" s="146"/>
      <c r="I11" s="232" t="str">
        <f>B44</f>
        <v>Камчатский край</v>
      </c>
      <c r="J11" s="158" t="s">
        <v>694</v>
      </c>
      <c r="K11" s="144" t="s">
        <v>132</v>
      </c>
    </row>
    <row r="12" spans="1:11" ht="15" x14ac:dyDescent="0.25">
      <c r="B12" s="158" t="s">
        <v>691</v>
      </c>
      <c r="C12"/>
      <c r="E12"/>
      <c r="I12" s="232" t="str">
        <f>B55</f>
        <v>Магаданская область</v>
      </c>
      <c r="J12" s="158" t="s">
        <v>694</v>
      </c>
      <c r="K12" s="144" t="s">
        <v>143</v>
      </c>
    </row>
    <row r="13" spans="1:11" ht="15" x14ac:dyDescent="0.25">
      <c r="A13" s="193">
        <v>4</v>
      </c>
      <c r="B13" s="197" t="s">
        <v>229</v>
      </c>
      <c r="C13"/>
      <c r="D13"/>
      <c r="E13"/>
      <c r="I13" s="232" t="str">
        <f>B67</f>
        <v>Приморский край</v>
      </c>
      <c r="J13" s="158" t="s">
        <v>694</v>
      </c>
      <c r="K13" s="144" t="s">
        <v>155</v>
      </c>
    </row>
    <row r="14" spans="1:11" ht="15" x14ac:dyDescent="0.25">
      <c r="B14" s="479">
        <v>0.6</v>
      </c>
      <c r="C14"/>
      <c r="D14"/>
      <c r="E14"/>
      <c r="I14" s="232" t="str">
        <f>B72</f>
        <v>Республика Бурятия</v>
      </c>
      <c r="J14" s="158" t="s">
        <v>694</v>
      </c>
      <c r="K14" s="144" t="s">
        <v>160</v>
      </c>
    </row>
    <row r="15" spans="1:11" ht="15" x14ac:dyDescent="0.25">
      <c r="B15"/>
      <c r="C15"/>
      <c r="D15"/>
      <c r="E15"/>
      <c r="I15" s="232" t="str">
        <f>B80</f>
        <v>Республика Саха (Якутия)</v>
      </c>
      <c r="J15" s="158" t="s">
        <v>694</v>
      </c>
      <c r="K15" s="144" t="s">
        <v>168</v>
      </c>
    </row>
    <row r="16" spans="1:11" x14ac:dyDescent="0.2">
      <c r="I16" s="232" t="str">
        <f>B89</f>
        <v>Сахалинская область</v>
      </c>
      <c r="J16" s="158" t="s">
        <v>694</v>
      </c>
      <c r="K16" s="144" t="s">
        <v>177</v>
      </c>
    </row>
    <row r="17" spans="1:12" x14ac:dyDescent="0.2">
      <c r="A17" s="193">
        <v>5</v>
      </c>
      <c r="B17" s="194" t="s">
        <v>230</v>
      </c>
      <c r="I17" s="232" t="str">
        <f>B100</f>
        <v>Хабаровский край</v>
      </c>
      <c r="J17" s="158" t="s">
        <v>694</v>
      </c>
      <c r="K17" s="144" t="s">
        <v>188</v>
      </c>
    </row>
    <row r="18" spans="1:12" x14ac:dyDescent="0.2">
      <c r="B18" s="158"/>
      <c r="C18" s="199" t="s">
        <v>233</v>
      </c>
      <c r="D18" s="199" t="s">
        <v>234</v>
      </c>
      <c r="E18" s="199" t="s">
        <v>235</v>
      </c>
      <c r="F18" s="199" t="s">
        <v>236</v>
      </c>
      <c r="I18" s="232" t="str">
        <f>B105</f>
        <v>Чукотский авт.округ</v>
      </c>
      <c r="J18" s="158" t="s">
        <v>694</v>
      </c>
      <c r="K18" s="144" t="s">
        <v>693</v>
      </c>
    </row>
    <row r="19" spans="1:12" x14ac:dyDescent="0.2">
      <c r="B19" s="185" t="s">
        <v>238</v>
      </c>
      <c r="C19" s="202" t="str">
        <f>IFERROR(VLOOKUP('Расчет по доходу заемщика'!$E$3,$I$4:$J$7,2,0),'Расчет по доходу заемщика'!$E$3)</f>
        <v>Москва</v>
      </c>
      <c r="D19" s="202" t="str">
        <f>IFERROR(VLOOKUP('Расчет по доходу заемщика'!$E$3,$I$4:$J$7,2,0),'Расчет по доходу заемщика'!$E$3)</f>
        <v>Москва</v>
      </c>
      <c r="E19" s="202" t="str">
        <f>IFERROR(VLOOKUP('Расчет по доходу заемщика'!$E$3,$I$4:$J$7,2,0),'Расчет по доходу заемщика'!$E$3)</f>
        <v>Москва</v>
      </c>
      <c r="F19" s="202" t="str">
        <f>IFERROR(VLOOKUP('Расчет по доходу заемщика'!$E$3,$I$4:$J$7,2,0),'Расчет по доходу заемщика'!$E$3)</f>
        <v>Москва</v>
      </c>
    </row>
    <row r="20" spans="1:12" ht="15" x14ac:dyDescent="0.2">
      <c r="B20" s="185" t="s">
        <v>240</v>
      </c>
      <c r="C20" s="203">
        <f>'Расчет по доходу заемщика'!E6</f>
        <v>100000</v>
      </c>
      <c r="D20" s="203">
        <f>'Расчет по доходу заемщика'!F6</f>
        <v>0</v>
      </c>
      <c r="E20" s="204">
        <f>'Расчет по доходу заемщика'!G6</f>
        <v>0</v>
      </c>
      <c r="F20" s="204">
        <f>'Расчет по доходу заемщика'!H6</f>
        <v>0</v>
      </c>
    </row>
    <row r="21" spans="1:12" x14ac:dyDescent="0.2">
      <c r="B21" s="185" t="s">
        <v>242</v>
      </c>
      <c r="C21" s="480">
        <v>0.6</v>
      </c>
      <c r="D21" s="480">
        <v>0.6</v>
      </c>
      <c r="E21" s="480">
        <v>0.6</v>
      </c>
      <c r="F21" s="480">
        <v>0.6</v>
      </c>
      <c r="H21" s="194">
        <v>7</v>
      </c>
      <c r="I21" s="194" t="s">
        <v>245</v>
      </c>
    </row>
    <row r="22" spans="1:12" ht="15" x14ac:dyDescent="0.25">
      <c r="B22" s="185" t="s">
        <v>244</v>
      </c>
      <c r="C22" s="481">
        <v>0.6</v>
      </c>
      <c r="D22" s="481">
        <v>0.6</v>
      </c>
      <c r="E22" s="481">
        <v>0.6</v>
      </c>
      <c r="F22" s="481">
        <v>0.6</v>
      </c>
      <c r="I22" s="158" t="s">
        <v>67</v>
      </c>
    </row>
    <row r="23" spans="1:12" x14ac:dyDescent="0.2">
      <c r="I23" s="209" t="s">
        <v>109</v>
      </c>
    </row>
    <row r="24" spans="1:12" x14ac:dyDescent="0.2">
      <c r="A24" s="193">
        <v>6</v>
      </c>
      <c r="B24" s="206" t="s">
        <v>104</v>
      </c>
      <c r="F24" s="144" t="s">
        <v>741</v>
      </c>
      <c r="I24" s="200" t="s">
        <v>111</v>
      </c>
    </row>
    <row r="25" spans="1:12" ht="15" x14ac:dyDescent="0.2">
      <c r="A25" s="144">
        <v>2022</v>
      </c>
      <c r="B25" s="200" t="s">
        <v>105</v>
      </c>
      <c r="C25" s="482">
        <v>12090</v>
      </c>
      <c r="D25" s="200" t="s">
        <v>644</v>
      </c>
      <c r="E25" s="207"/>
      <c r="F25" s="567">
        <v>2296353</v>
      </c>
      <c r="I25" s="200" t="s">
        <v>113</v>
      </c>
    </row>
    <row r="26" spans="1:12" ht="15" x14ac:dyDescent="0.2">
      <c r="A26" s="144">
        <v>2022</v>
      </c>
      <c r="B26" s="200" t="s">
        <v>107</v>
      </c>
      <c r="C26" s="482">
        <v>16027</v>
      </c>
      <c r="D26" s="200" t="s">
        <v>384</v>
      </c>
      <c r="E26" s="207" t="s">
        <v>694</v>
      </c>
      <c r="F26" s="567">
        <v>781846</v>
      </c>
      <c r="I26" s="200" t="s">
        <v>115</v>
      </c>
      <c r="L26" s="171"/>
    </row>
    <row r="27" spans="1:12" ht="15" x14ac:dyDescent="0.2">
      <c r="A27" s="144">
        <v>2022</v>
      </c>
      <c r="B27" s="200" t="s">
        <v>108</v>
      </c>
      <c r="C27" s="482">
        <v>15481</v>
      </c>
      <c r="D27" s="200" t="s">
        <v>644</v>
      </c>
      <c r="E27" s="207"/>
      <c r="F27" s="567">
        <v>1082662</v>
      </c>
      <c r="I27" s="210" t="s">
        <v>707</v>
      </c>
    </row>
    <row r="28" spans="1:12" ht="15" x14ac:dyDescent="0.2">
      <c r="A28" s="144">
        <v>2022</v>
      </c>
      <c r="B28" s="200" t="s">
        <v>110</v>
      </c>
      <c r="C28" s="482">
        <v>12635</v>
      </c>
      <c r="D28" s="200" t="s">
        <v>644</v>
      </c>
      <c r="E28" s="207"/>
      <c r="F28" s="567">
        <v>997778</v>
      </c>
      <c r="I28" s="195" t="s">
        <v>390</v>
      </c>
    </row>
    <row r="29" spans="1:12" ht="15" x14ac:dyDescent="0.2">
      <c r="A29" s="144">
        <v>2022</v>
      </c>
      <c r="B29" s="200" t="s">
        <v>112</v>
      </c>
      <c r="C29" s="482">
        <v>10941</v>
      </c>
      <c r="D29" s="200" t="s">
        <v>644</v>
      </c>
      <c r="E29" s="207"/>
      <c r="F29" s="567">
        <v>1541259</v>
      </c>
    </row>
    <row r="30" spans="1:12" ht="15" x14ac:dyDescent="0.2">
      <c r="A30" s="144">
        <v>2022</v>
      </c>
      <c r="B30" s="200" t="s">
        <v>114</v>
      </c>
      <c r="C30" s="482">
        <v>12787</v>
      </c>
      <c r="D30" s="200" t="s">
        <v>644</v>
      </c>
      <c r="E30" s="207"/>
      <c r="F30" s="567">
        <v>1182682</v>
      </c>
      <c r="H30" s="144">
        <v>8</v>
      </c>
      <c r="I30" s="194" t="s">
        <v>246</v>
      </c>
    </row>
    <row r="31" spans="1:12" ht="15" x14ac:dyDescent="0.2">
      <c r="A31" s="144">
        <v>2022</v>
      </c>
      <c r="B31" s="200" t="s">
        <v>116</v>
      </c>
      <c r="C31" s="482">
        <v>12635</v>
      </c>
      <c r="D31" s="200" t="s">
        <v>644</v>
      </c>
      <c r="E31" s="207"/>
      <c r="F31" s="567">
        <v>1342099</v>
      </c>
      <c r="I31" s="200" t="s">
        <v>82</v>
      </c>
    </row>
    <row r="32" spans="1:12" ht="15" x14ac:dyDescent="0.2">
      <c r="A32" s="144">
        <v>2022</v>
      </c>
      <c r="B32" s="200" t="s">
        <v>118</v>
      </c>
      <c r="C32" s="482">
        <v>11349</v>
      </c>
      <c r="D32" s="200" t="s">
        <v>644</v>
      </c>
      <c r="E32" s="207"/>
      <c r="F32" s="567">
        <v>2474556</v>
      </c>
      <c r="I32" s="200" t="s">
        <v>67</v>
      </c>
    </row>
    <row r="33" spans="1:21" ht="15" x14ac:dyDescent="0.2">
      <c r="A33" s="144">
        <v>2022</v>
      </c>
      <c r="B33" s="200" t="s">
        <v>119</v>
      </c>
      <c r="C33" s="482">
        <v>13271</v>
      </c>
      <c r="D33" s="200" t="s">
        <v>644</v>
      </c>
      <c r="E33" s="207"/>
      <c r="F33" s="567">
        <v>1151042</v>
      </c>
      <c r="L33" s="144" t="s">
        <v>709</v>
      </c>
      <c r="M33" s="144" t="s">
        <v>712</v>
      </c>
      <c r="O33" s="144" t="s">
        <v>711</v>
      </c>
      <c r="P33" s="144" t="s">
        <v>710</v>
      </c>
      <c r="T33" s="144" t="s">
        <v>708</v>
      </c>
    </row>
    <row r="34" spans="1:21" ht="15" x14ac:dyDescent="0.2">
      <c r="A34" s="144">
        <v>2022</v>
      </c>
      <c r="B34" s="200" t="s">
        <v>120</v>
      </c>
      <c r="C34" s="482">
        <v>11072</v>
      </c>
      <c r="D34" s="200" t="s">
        <v>644</v>
      </c>
      <c r="E34" s="207"/>
      <c r="F34" s="567">
        <v>2305608</v>
      </c>
      <c r="H34" s="144">
        <v>9</v>
      </c>
      <c r="I34" s="194" t="s">
        <v>247</v>
      </c>
      <c r="J34" s="468"/>
      <c r="K34" s="468"/>
      <c r="L34" s="468"/>
      <c r="M34" s="533"/>
      <c r="N34" s="468"/>
      <c r="O34" s="468"/>
      <c r="P34" s="468"/>
      <c r="Q34" s="468"/>
      <c r="R34" s="468"/>
      <c r="S34" s="468"/>
      <c r="T34" s="468"/>
      <c r="U34" s="533"/>
    </row>
    <row r="35" spans="1:21" ht="51" x14ac:dyDescent="0.2">
      <c r="A35" s="144">
        <v>2022</v>
      </c>
      <c r="B35" s="200" t="s">
        <v>71</v>
      </c>
      <c r="C35" s="482">
        <v>21371</v>
      </c>
      <c r="D35" s="200" t="s">
        <v>644</v>
      </c>
      <c r="E35" s="207"/>
      <c r="F35" s="567">
        <v>12655050</v>
      </c>
      <c r="I35" s="211" t="s">
        <v>248</v>
      </c>
      <c r="J35" s="603" t="s">
        <v>65</v>
      </c>
      <c r="K35" s="603" t="s">
        <v>101</v>
      </c>
      <c r="L35" s="603" t="s">
        <v>391</v>
      </c>
      <c r="M35" s="530" t="s">
        <v>705</v>
      </c>
      <c r="N35" s="603" t="s">
        <v>102</v>
      </c>
      <c r="O35" s="603" t="s">
        <v>103</v>
      </c>
      <c r="P35" s="603" t="s">
        <v>595</v>
      </c>
      <c r="Q35" s="603" t="s">
        <v>596</v>
      </c>
      <c r="R35" s="603" t="s">
        <v>740</v>
      </c>
      <c r="S35" s="604" t="str">
        <f>B10</f>
        <v>Дальневосточная ипотека</v>
      </c>
      <c r="T35" s="604" t="s">
        <v>648</v>
      </c>
      <c r="U35" s="461" t="s">
        <v>691</v>
      </c>
    </row>
    <row r="36" spans="1:21" ht="15" x14ac:dyDescent="0.2">
      <c r="A36" s="144">
        <v>2022</v>
      </c>
      <c r="B36" s="200" t="s">
        <v>122</v>
      </c>
      <c r="C36" s="482">
        <v>13571.9</v>
      </c>
      <c r="D36" s="200" t="s">
        <v>644</v>
      </c>
      <c r="E36" s="207"/>
      <c r="F36" s="567">
        <v>5384342</v>
      </c>
      <c r="I36" s="213">
        <v>0.89990000000000003</v>
      </c>
      <c r="J36" s="463">
        <v>0.16600000000000001</v>
      </c>
      <c r="K36" s="463">
        <v>0.16600000000000001</v>
      </c>
      <c r="L36" s="463">
        <v>0</v>
      </c>
      <c r="M36" s="463">
        <v>0</v>
      </c>
      <c r="N36" s="463">
        <v>0.183</v>
      </c>
      <c r="O36" s="463">
        <v>0</v>
      </c>
      <c r="P36" s="465">
        <v>0</v>
      </c>
      <c r="Q36" s="465">
        <v>0</v>
      </c>
      <c r="R36" s="463">
        <v>0</v>
      </c>
      <c r="S36" s="465">
        <v>0</v>
      </c>
      <c r="T36" s="532">
        <v>0</v>
      </c>
      <c r="U36" s="532">
        <v>2.5000000000000001E-2</v>
      </c>
    </row>
    <row r="37" spans="1:21" ht="15" x14ac:dyDescent="0.2">
      <c r="A37" s="144">
        <v>2022</v>
      </c>
      <c r="B37" s="200" t="s">
        <v>124</v>
      </c>
      <c r="C37" s="482">
        <v>18308</v>
      </c>
      <c r="D37" s="200" t="s">
        <v>384</v>
      </c>
      <c r="E37" s="207" t="s">
        <v>694</v>
      </c>
      <c r="F37" s="567">
        <v>156500</v>
      </c>
      <c r="I37" s="214">
        <v>0.84989999999999999</v>
      </c>
      <c r="J37" s="463">
        <f>IF(AND('Калькулятор_от дохода'!P44="Да",'Калькулятор_от дохода'!P105&lt;=20%),17.6%,16.6%)</f>
        <v>0.16600000000000001</v>
      </c>
      <c r="K37" s="463">
        <f>IF(AND('Калькулятор_от дохода'!P44="Да",'Калькулятор_от дохода'!P105&lt;=20%),17.6%,16.6%)</f>
        <v>0.16600000000000001</v>
      </c>
      <c r="L37" s="463">
        <v>0</v>
      </c>
      <c r="M37" s="463">
        <f>IFERROR(IF(VLOOKUP('Калькулятор_от дохода'!$P$11,'Справочники и промежут.расчет'!$I$8:$J$18,2,0)="ДФО",4.6%),5.4%)</f>
        <v>5.4000000000000006E-2</v>
      </c>
      <c r="N37" s="463">
        <f>IF(AND('Калькулятор_от дохода'!P44="Да",'Калькулятор_от дохода'!P105&lt;=20%),19.3%,18.3%)</f>
        <v>0.183</v>
      </c>
      <c r="O37" s="463">
        <v>0</v>
      </c>
      <c r="P37" s="465">
        <v>0</v>
      </c>
      <c r="Q37" s="465">
        <v>0</v>
      </c>
      <c r="R37" s="463">
        <v>0</v>
      </c>
      <c r="S37" s="465">
        <v>0</v>
      </c>
      <c r="T37" s="465">
        <v>0</v>
      </c>
      <c r="U37" s="532">
        <v>2.5000000000000001E-2</v>
      </c>
    </row>
    <row r="38" spans="1:21" ht="15" x14ac:dyDescent="0.2">
      <c r="A38" s="144">
        <v>2022</v>
      </c>
      <c r="B38" s="200" t="s">
        <v>126</v>
      </c>
      <c r="C38" s="482">
        <v>15240</v>
      </c>
      <c r="D38" s="200" t="s">
        <v>385</v>
      </c>
      <c r="E38" s="207" t="s">
        <v>694</v>
      </c>
      <c r="F38" s="567">
        <v>1053485</v>
      </c>
      <c r="I38" s="214">
        <v>0.79990000000000006</v>
      </c>
      <c r="J38" s="463">
        <f>IF(AND('Калькулятор_от дохода'!P44="Да",'Калькулятор_от дохода'!P105&lt;=30%),16.6%,15.6%)</f>
        <v>0.156</v>
      </c>
      <c r="K38" s="463">
        <f>IF(AND('Калькулятор_от дохода'!P44="Да",'Калькулятор_от дохода'!P105&lt;=30%),16.6%,15.6%)</f>
        <v>0.156</v>
      </c>
      <c r="L38" s="463">
        <f>IF('Расчет по доходу заемщика'!F3="ДФО",5%,6%)</f>
        <v>0.06</v>
      </c>
      <c r="M38" s="463">
        <f>IFERROR(IF(VLOOKUP('Калькулятор_от дохода'!$P$11,'Справочники и промежут.расчет'!$I$8:$J$18,2,0)="ДФО",4.6%),5.4%)</f>
        <v>5.4000000000000006E-2</v>
      </c>
      <c r="N38" s="463">
        <f>IF(AND('Калькулятор_от дохода'!P44="Да",'Калькулятор_от дохода'!P105&lt;=30%),18.3%,17.3%)</f>
        <v>0.17300000000000001</v>
      </c>
      <c r="O38" s="463">
        <v>0</v>
      </c>
      <c r="P38" s="465">
        <v>0</v>
      </c>
      <c r="Q38" s="465">
        <f>IF(AND('Калькулятор_от дохода'!P44="Да",'Калькулятор_от дохода'!P105&lt;=30%),16.6%,15.6%)</f>
        <v>0.156</v>
      </c>
      <c r="R38" s="463">
        <v>0.05</v>
      </c>
      <c r="S38" s="465">
        <v>0.02</v>
      </c>
      <c r="T38" s="465">
        <v>0.08</v>
      </c>
      <c r="U38" s="532">
        <v>2.5000000000000001E-2</v>
      </c>
    </row>
    <row r="39" spans="1:21" ht="15" x14ac:dyDescent="0.2">
      <c r="A39" s="144">
        <v>2022</v>
      </c>
      <c r="B39" s="200" t="s">
        <v>127</v>
      </c>
      <c r="C39" s="482">
        <v>11983</v>
      </c>
      <c r="D39" s="200" t="s">
        <v>644</v>
      </c>
      <c r="E39" s="207"/>
      <c r="F39" s="567">
        <v>987032</v>
      </c>
      <c r="H39" s="529">
        <v>0.7</v>
      </c>
      <c r="I39" s="214">
        <v>0.64990000000000003</v>
      </c>
      <c r="J39" s="463">
        <f>IF(AND('Калькулятор_от дохода'!P44="Да",'Калькулятор_от дохода'!P105&lt;=30%),16.6%,15.6%)</f>
        <v>0.156</v>
      </c>
      <c r="K39" s="463">
        <f>IF(AND('Калькулятор_от дохода'!P44="Да",'Калькулятор_от дохода'!P105&lt;=30%),16.6%,15.6%)</f>
        <v>0.156</v>
      </c>
      <c r="L39" s="463">
        <f>IF('Расчет по доходу заемщика'!F3="ДФО",5%,6%)</f>
        <v>0.06</v>
      </c>
      <c r="M39" s="463">
        <f>IFERROR(IF(VLOOKUP('Калькулятор_от дохода'!$P$11,'Справочники и промежут.расчет'!$I$8:$J$18,2,0)="ДФО",4.6%),5.4%)</f>
        <v>5.4000000000000006E-2</v>
      </c>
      <c r="N39" s="463">
        <f>IF(AND('Калькулятор_от дохода'!P44="Да",'Калькулятор_от дохода'!P105&lt;=30%),18.3%,17.3%)</f>
        <v>0.17300000000000001</v>
      </c>
      <c r="O39" s="463">
        <v>0.18099999999999999</v>
      </c>
      <c r="P39" s="463">
        <v>0</v>
      </c>
      <c r="Q39" s="465">
        <f>IF(AND('Калькулятор_от дохода'!P44="Да",'Калькулятор_от дохода'!P105&lt;=30%),16.6%,15.6%)</f>
        <v>0.156</v>
      </c>
      <c r="R39" s="463">
        <v>0.05</v>
      </c>
      <c r="S39" s="465">
        <v>0.02</v>
      </c>
      <c r="T39" s="465">
        <v>0.08</v>
      </c>
      <c r="U39" s="532">
        <v>2.5000000000000001E-2</v>
      </c>
    </row>
    <row r="40" spans="1:21" ht="15" x14ac:dyDescent="0.2">
      <c r="A40" s="144">
        <v>2022</v>
      </c>
      <c r="B40" s="200" t="s">
        <v>128</v>
      </c>
      <c r="C40" s="482">
        <v>13807</v>
      </c>
      <c r="D40" s="200" t="s">
        <v>385</v>
      </c>
      <c r="E40" s="207"/>
      <c r="F40" s="567">
        <v>2375021</v>
      </c>
      <c r="H40" s="529">
        <v>0.5</v>
      </c>
      <c r="I40" s="214">
        <v>0.59989999999999999</v>
      </c>
      <c r="J40" s="463">
        <f>IF(AND('Калькулятор_от дохода'!P44="Да",'Калькулятор_от дохода'!P105&lt;=30%),16.6%,15.6%)</f>
        <v>0.156</v>
      </c>
      <c r="K40" s="463">
        <f>IF(AND('Калькулятор_от дохода'!P44="Да",'Калькулятор_от дохода'!P105&lt;=30%),16.6%,15.6%)</f>
        <v>0.156</v>
      </c>
      <c r="L40" s="463">
        <f>IF('Расчет по доходу заемщика'!F3="ДФО",5%,6%)</f>
        <v>0.06</v>
      </c>
      <c r="M40" s="463">
        <f>IFERROR(IF(VLOOKUP('Калькулятор_от дохода'!$P$11,'Справочники и промежут.расчет'!$I$8:$J$18,2,0)="ДФО",4.6%),5.4%)</f>
        <v>5.4000000000000006E-2</v>
      </c>
      <c r="N40" s="463">
        <f>IF(AND('Калькулятор_от дохода'!P44="Да",'Калькулятор_от дохода'!P105&lt;=30%),18.3%,17.3%)</f>
        <v>0.17300000000000001</v>
      </c>
      <c r="O40" s="463">
        <v>0.18099999999999999</v>
      </c>
      <c r="P40" s="463">
        <v>0.186</v>
      </c>
      <c r="Q40" s="465">
        <f>IF(AND('Калькулятор_от дохода'!P44="Да",'Калькулятор_от дохода'!P105&lt;=30%),16.6%,15.6%)</f>
        <v>0.156</v>
      </c>
      <c r="R40" s="463">
        <v>0.05</v>
      </c>
      <c r="S40" s="465">
        <v>0.02</v>
      </c>
      <c r="T40" s="465">
        <v>0.08</v>
      </c>
      <c r="U40" s="532">
        <v>2.5000000000000001E-2</v>
      </c>
    </row>
    <row r="41" spans="1:21" ht="15" x14ac:dyDescent="0.2">
      <c r="A41" s="144">
        <v>2022</v>
      </c>
      <c r="B41" s="200" t="s">
        <v>129</v>
      </c>
      <c r="C41" s="482">
        <v>14050</v>
      </c>
      <c r="D41" s="200" t="s">
        <v>644</v>
      </c>
      <c r="E41" s="207"/>
      <c r="F41" s="567">
        <v>869191</v>
      </c>
      <c r="H41" s="144" t="s">
        <v>251</v>
      </c>
      <c r="I41" s="215" t="s">
        <v>249</v>
      </c>
      <c r="J41" s="216"/>
      <c r="K41" s="216"/>
      <c r="L41" s="216"/>
      <c r="M41" s="216"/>
      <c r="N41" s="216"/>
      <c r="O41" s="158"/>
      <c r="P41" s="199"/>
      <c r="Q41" s="199"/>
      <c r="R41" s="216"/>
      <c r="S41" s="199"/>
      <c r="T41" s="199"/>
      <c r="U41" s="199"/>
    </row>
    <row r="42" spans="1:21" ht="15" x14ac:dyDescent="0.2">
      <c r="A42" s="144">
        <v>2022</v>
      </c>
      <c r="B42" s="200" t="s">
        <v>130</v>
      </c>
      <c r="C42" s="482">
        <v>13482</v>
      </c>
      <c r="D42" s="200" t="s">
        <v>644</v>
      </c>
      <c r="E42" s="207"/>
      <c r="F42" s="567">
        <v>1018624</v>
      </c>
      <c r="I42" s="521" t="s">
        <v>67</v>
      </c>
      <c r="J42" s="519">
        <v>0</v>
      </c>
      <c r="K42" s="519">
        <v>0</v>
      </c>
      <c r="L42" s="519">
        <v>0</v>
      </c>
      <c r="M42" s="519">
        <v>0</v>
      </c>
      <c r="N42" s="519">
        <v>0</v>
      </c>
      <c r="O42" s="519">
        <v>0</v>
      </c>
      <c r="P42" s="520">
        <v>0</v>
      </c>
      <c r="Q42" s="520">
        <v>0</v>
      </c>
      <c r="R42" s="519">
        <v>0</v>
      </c>
      <c r="S42" s="520">
        <v>0</v>
      </c>
      <c r="T42" s="520">
        <v>0</v>
      </c>
      <c r="U42" s="520">
        <v>0</v>
      </c>
    </row>
    <row r="43" spans="1:21" ht="15" x14ac:dyDescent="0.2">
      <c r="A43" s="144">
        <v>2022</v>
      </c>
      <c r="B43" s="200" t="s">
        <v>131</v>
      </c>
      <c r="C43" s="482">
        <v>12980</v>
      </c>
      <c r="D43" s="200" t="s">
        <v>644</v>
      </c>
      <c r="E43" s="207"/>
      <c r="F43" s="567">
        <v>1000980</v>
      </c>
      <c r="I43" s="217" t="str">
        <f>I23</f>
        <v>З ребенка в семье</v>
      </c>
      <c r="J43" s="519">
        <v>0</v>
      </c>
      <c r="K43" s="519">
        <v>0</v>
      </c>
      <c r="L43" s="519">
        <v>0</v>
      </c>
      <c r="M43" s="519">
        <v>0</v>
      </c>
      <c r="N43" s="519">
        <v>0</v>
      </c>
      <c r="O43" s="519">
        <v>0</v>
      </c>
      <c r="P43" s="520">
        <v>0</v>
      </c>
      <c r="Q43" s="520">
        <v>0</v>
      </c>
      <c r="R43" s="519">
        <v>0</v>
      </c>
      <c r="S43" s="520">
        <v>0</v>
      </c>
      <c r="T43" s="520">
        <v>0</v>
      </c>
      <c r="U43" s="520">
        <v>0</v>
      </c>
    </row>
    <row r="44" spans="1:21" ht="15" x14ac:dyDescent="0.2">
      <c r="A44" s="144">
        <v>2022</v>
      </c>
      <c r="B44" s="200" t="s">
        <v>132</v>
      </c>
      <c r="C44" s="482">
        <v>24709</v>
      </c>
      <c r="D44" s="200" t="s">
        <v>384</v>
      </c>
      <c r="E44" s="207" t="s">
        <v>694</v>
      </c>
      <c r="F44" s="567">
        <v>311667</v>
      </c>
      <c r="I44" s="217" t="str">
        <f>I24</f>
        <v>Программа ЖРС</v>
      </c>
      <c r="J44" s="519">
        <v>0</v>
      </c>
      <c r="K44" s="519">
        <v>0</v>
      </c>
      <c r="L44" s="519">
        <v>0</v>
      </c>
      <c r="M44" s="519">
        <v>0</v>
      </c>
      <c r="N44" s="519">
        <v>0</v>
      </c>
      <c r="O44" s="519">
        <v>0</v>
      </c>
      <c r="P44" s="520">
        <v>0</v>
      </c>
      <c r="Q44" s="520">
        <v>0</v>
      </c>
      <c r="R44" s="519">
        <v>0</v>
      </c>
      <c r="S44" s="520">
        <v>0</v>
      </c>
      <c r="T44" s="520">
        <v>0</v>
      </c>
      <c r="U44" s="520">
        <v>0</v>
      </c>
    </row>
    <row r="45" spans="1:21" ht="15" x14ac:dyDescent="0.2">
      <c r="A45" s="144">
        <v>2022</v>
      </c>
      <c r="B45" s="200" t="s">
        <v>133</v>
      </c>
      <c r="C45" s="482">
        <v>11854</v>
      </c>
      <c r="D45" s="200" t="s">
        <v>644</v>
      </c>
      <c r="E45" s="207"/>
      <c r="F45" s="567">
        <v>465357</v>
      </c>
      <c r="I45" s="217" t="str">
        <f>I25</f>
        <v>ОПК</v>
      </c>
      <c r="J45" s="519">
        <v>0</v>
      </c>
      <c r="K45" s="519">
        <v>0</v>
      </c>
      <c r="L45" s="519">
        <v>0</v>
      </c>
      <c r="M45" s="519">
        <v>0</v>
      </c>
      <c r="N45" s="519">
        <v>0</v>
      </c>
      <c r="O45" s="519">
        <v>0</v>
      </c>
      <c r="P45" s="520">
        <v>0</v>
      </c>
      <c r="Q45" s="520">
        <v>0</v>
      </c>
      <c r="R45" s="519">
        <v>0</v>
      </c>
      <c r="S45" s="520">
        <v>0</v>
      </c>
      <c r="T45" s="520">
        <v>0</v>
      </c>
      <c r="U45" s="520">
        <v>0</v>
      </c>
    </row>
    <row r="46" spans="1:21" ht="15" x14ac:dyDescent="0.2">
      <c r="A46" s="144">
        <v>2022</v>
      </c>
      <c r="B46" s="200" t="s">
        <v>134</v>
      </c>
      <c r="C46" s="482">
        <v>11985</v>
      </c>
      <c r="D46" s="200" t="s">
        <v>644</v>
      </c>
      <c r="E46" s="207"/>
      <c r="F46" s="567">
        <v>2633446</v>
      </c>
      <c r="I46" s="217" t="str">
        <f>I26</f>
        <v>Квартира в ДФО</v>
      </c>
      <c r="J46" s="519">
        <v>0</v>
      </c>
      <c r="K46" s="519">
        <v>0</v>
      </c>
      <c r="L46" s="519">
        <v>0</v>
      </c>
      <c r="M46" s="519">
        <v>0</v>
      </c>
      <c r="N46" s="519">
        <v>0</v>
      </c>
      <c r="O46" s="519">
        <v>0</v>
      </c>
      <c r="P46" s="520">
        <v>0</v>
      </c>
      <c r="Q46" s="520">
        <v>0</v>
      </c>
      <c r="R46" s="519">
        <v>0</v>
      </c>
      <c r="S46" s="520">
        <v>0</v>
      </c>
      <c r="T46" s="520">
        <v>0</v>
      </c>
      <c r="U46" s="520">
        <v>0</v>
      </c>
    </row>
    <row r="47" spans="1:21" ht="15" x14ac:dyDescent="0.2">
      <c r="A47" s="144">
        <v>2022</v>
      </c>
      <c r="B47" s="200" t="s">
        <v>135</v>
      </c>
      <c r="C47" s="482">
        <v>12176</v>
      </c>
      <c r="D47" s="200" t="s">
        <v>644</v>
      </c>
      <c r="E47" s="207"/>
      <c r="F47" s="567">
        <v>1250173</v>
      </c>
      <c r="I47" s="217" t="s">
        <v>380</v>
      </c>
      <c r="J47" s="519">
        <v>0</v>
      </c>
      <c r="K47" s="519">
        <v>0</v>
      </c>
      <c r="L47" s="519">
        <v>0</v>
      </c>
      <c r="M47" s="519">
        <v>0</v>
      </c>
      <c r="N47" s="519">
        <v>0</v>
      </c>
      <c r="O47" s="519">
        <v>0</v>
      </c>
      <c r="P47" s="520">
        <v>0</v>
      </c>
      <c r="Q47" s="520">
        <v>0</v>
      </c>
      <c r="R47" s="519">
        <v>0</v>
      </c>
      <c r="S47" s="520">
        <v>0</v>
      </c>
      <c r="T47" s="520">
        <v>0</v>
      </c>
      <c r="U47" s="520">
        <v>0</v>
      </c>
    </row>
    <row r="48" spans="1:21" ht="15" x14ac:dyDescent="0.2">
      <c r="A48" s="144">
        <v>2022</v>
      </c>
      <c r="B48" s="200" t="s">
        <v>136</v>
      </c>
      <c r="C48" s="482">
        <v>12571</v>
      </c>
      <c r="D48" s="200" t="s">
        <v>644</v>
      </c>
      <c r="E48" s="207"/>
      <c r="F48" s="567">
        <v>628423</v>
      </c>
      <c r="I48" s="224" t="str">
        <f>I27</f>
        <v>Квартира ЕИРЖС</v>
      </c>
      <c r="J48" s="526">
        <v>0</v>
      </c>
      <c r="K48" s="526">
        <v>0</v>
      </c>
      <c r="L48" s="526">
        <v>0</v>
      </c>
      <c r="M48" s="524">
        <v>0</v>
      </c>
      <c r="N48" s="526">
        <v>0</v>
      </c>
      <c r="O48" s="526">
        <v>0</v>
      </c>
      <c r="P48" s="520">
        <v>0</v>
      </c>
      <c r="Q48" s="520">
        <v>0</v>
      </c>
      <c r="R48" s="519">
        <v>0</v>
      </c>
      <c r="S48" s="520">
        <v>0</v>
      </c>
      <c r="T48" s="520">
        <v>0</v>
      </c>
      <c r="U48" s="520">
        <v>0</v>
      </c>
    </row>
    <row r="49" spans="1:21" s="523" customFormat="1" ht="15" x14ac:dyDescent="0.2">
      <c r="A49" s="523">
        <v>2022</v>
      </c>
      <c r="B49" s="521" t="s">
        <v>137</v>
      </c>
      <c r="C49" s="482">
        <v>12733</v>
      </c>
      <c r="D49" s="521" t="s">
        <v>644</v>
      </c>
      <c r="E49" s="522"/>
      <c r="F49" s="567">
        <v>5683947</v>
      </c>
      <c r="I49" s="217" t="str">
        <f>I28</f>
        <v>Социальная ипотека Московской области</v>
      </c>
      <c r="J49" s="524">
        <v>0</v>
      </c>
      <c r="K49" s="524">
        <v>0</v>
      </c>
      <c r="L49" s="524">
        <v>0</v>
      </c>
      <c r="M49" s="524">
        <v>0</v>
      </c>
      <c r="N49" s="524">
        <v>0</v>
      </c>
      <c r="O49" s="524">
        <v>0</v>
      </c>
      <c r="P49" s="519">
        <v>0</v>
      </c>
      <c r="Q49" s="519">
        <v>0</v>
      </c>
      <c r="R49" s="519">
        <v>0</v>
      </c>
      <c r="S49" s="519">
        <v>0</v>
      </c>
      <c r="T49" s="519">
        <v>0</v>
      </c>
      <c r="U49" s="519">
        <v>0</v>
      </c>
    </row>
    <row r="50" spans="1:21" s="311" customFormat="1" ht="15" x14ac:dyDescent="0.2">
      <c r="A50" s="311">
        <v>2022</v>
      </c>
      <c r="B50" s="210" t="s">
        <v>138</v>
      </c>
      <c r="C50" s="482">
        <v>14981</v>
      </c>
      <c r="D50" s="210" t="s">
        <v>644</v>
      </c>
      <c r="E50" s="525"/>
      <c r="F50" s="567">
        <v>2855899</v>
      </c>
      <c r="I50" s="224" t="s">
        <v>410</v>
      </c>
      <c r="J50" s="526">
        <v>0</v>
      </c>
      <c r="K50" s="526">
        <v>0</v>
      </c>
      <c r="L50" s="526">
        <v>0</v>
      </c>
      <c r="M50" s="524">
        <v>0</v>
      </c>
      <c r="N50" s="526">
        <v>0</v>
      </c>
      <c r="O50" s="526">
        <v>0</v>
      </c>
      <c r="P50" s="520">
        <v>0</v>
      </c>
      <c r="Q50" s="520">
        <v>0</v>
      </c>
      <c r="R50" s="519">
        <v>0</v>
      </c>
      <c r="S50" s="520">
        <v>0</v>
      </c>
      <c r="T50" s="520">
        <v>0</v>
      </c>
      <c r="U50" s="520">
        <v>0</v>
      </c>
    </row>
    <row r="51" spans="1:21" ht="15" x14ac:dyDescent="0.2">
      <c r="A51" s="144">
        <v>2022</v>
      </c>
      <c r="B51" s="200" t="s">
        <v>139</v>
      </c>
      <c r="C51" s="482">
        <v>12244</v>
      </c>
      <c r="D51" s="200" t="s">
        <v>644</v>
      </c>
      <c r="E51" s="207"/>
      <c r="F51" s="567">
        <v>818570</v>
      </c>
      <c r="I51" s="185" t="s">
        <v>250</v>
      </c>
      <c r="J51" s="527"/>
      <c r="K51" s="224"/>
      <c r="L51" s="224"/>
      <c r="M51" s="217"/>
      <c r="N51" s="224"/>
      <c r="O51" s="224"/>
      <c r="P51" s="224"/>
      <c r="Q51" s="224"/>
      <c r="R51" s="217"/>
      <c r="S51" s="528"/>
      <c r="T51" s="528"/>
      <c r="U51" s="528"/>
    </row>
    <row r="52" spans="1:21" ht="15" x14ac:dyDescent="0.2">
      <c r="A52" s="144">
        <v>2022</v>
      </c>
      <c r="B52" s="200" t="s">
        <v>140</v>
      </c>
      <c r="C52" s="482">
        <v>11685</v>
      </c>
      <c r="D52" s="200" t="s">
        <v>644</v>
      </c>
      <c r="E52" s="207"/>
      <c r="F52" s="567">
        <v>1096488</v>
      </c>
      <c r="H52" s="544" t="s">
        <v>739</v>
      </c>
      <c r="I52" s="462" t="s">
        <v>652</v>
      </c>
      <c r="J52" s="465">
        <v>0</v>
      </c>
      <c r="K52" s="465">
        <v>0</v>
      </c>
      <c r="L52" s="465">
        <v>0</v>
      </c>
      <c r="M52" s="519">
        <v>0</v>
      </c>
      <c r="N52" s="465">
        <v>0</v>
      </c>
      <c r="O52" s="465">
        <v>0</v>
      </c>
      <c r="P52" s="465">
        <v>0</v>
      </c>
      <c r="Q52" s="465">
        <v>0</v>
      </c>
      <c r="R52" s="519">
        <v>0</v>
      </c>
      <c r="S52" s="465">
        <v>0</v>
      </c>
      <c r="T52" s="465">
        <v>0</v>
      </c>
      <c r="U52" s="465">
        <v>0</v>
      </c>
    </row>
    <row r="53" spans="1:21" ht="15" x14ac:dyDescent="0.2">
      <c r="A53" s="144">
        <v>2022</v>
      </c>
      <c r="B53" s="200" t="s">
        <v>141</v>
      </c>
      <c r="C53" s="482">
        <v>13156</v>
      </c>
      <c r="D53" s="200" t="s">
        <v>644</v>
      </c>
      <c r="E53" s="207"/>
      <c r="F53" s="567">
        <v>1892711</v>
      </c>
      <c r="H53" s="544" t="s">
        <v>718</v>
      </c>
      <c r="I53" s="462" t="s">
        <v>639</v>
      </c>
      <c r="J53" s="520">
        <v>0</v>
      </c>
      <c r="K53" s="465">
        <v>1E-3</v>
      </c>
      <c r="L53" s="465">
        <v>0</v>
      </c>
      <c r="M53" s="519">
        <v>0</v>
      </c>
      <c r="N53" s="520">
        <v>0</v>
      </c>
      <c r="O53" s="520">
        <v>0</v>
      </c>
      <c r="P53" s="520">
        <v>0</v>
      </c>
      <c r="Q53" s="520">
        <v>0</v>
      </c>
      <c r="R53" s="463">
        <v>0</v>
      </c>
      <c r="S53" s="465">
        <v>0</v>
      </c>
      <c r="T53" s="465">
        <v>0</v>
      </c>
      <c r="U53" s="520">
        <v>0</v>
      </c>
    </row>
    <row r="54" spans="1:21" ht="15" x14ac:dyDescent="0.2">
      <c r="A54" s="144">
        <v>2022</v>
      </c>
      <c r="B54" s="200" t="s">
        <v>142</v>
      </c>
      <c r="C54" s="482">
        <v>11307</v>
      </c>
      <c r="D54" s="200" t="s">
        <v>644</v>
      </c>
      <c r="E54" s="207"/>
      <c r="F54" s="567">
        <v>1128192</v>
      </c>
      <c r="H54" s="544" t="s">
        <v>716</v>
      </c>
      <c r="I54" s="462" t="s">
        <v>647</v>
      </c>
      <c r="J54" s="599">
        <v>-1.2999999999999999E-2</v>
      </c>
      <c r="K54" s="599">
        <v>-1.2999999999999999E-2</v>
      </c>
      <c r="L54" s="520">
        <v>0</v>
      </c>
      <c r="M54" s="519">
        <v>0</v>
      </c>
      <c r="N54" s="520">
        <v>0</v>
      </c>
      <c r="O54" s="520">
        <v>0</v>
      </c>
      <c r="P54" s="520">
        <v>0</v>
      </c>
      <c r="Q54" s="520">
        <v>0</v>
      </c>
      <c r="R54" s="519">
        <v>0</v>
      </c>
      <c r="S54" s="520">
        <v>0</v>
      </c>
      <c r="T54" s="520">
        <v>0</v>
      </c>
      <c r="U54" s="520">
        <v>0</v>
      </c>
    </row>
    <row r="55" spans="1:21" ht="15" x14ac:dyDescent="0.2">
      <c r="A55" s="144">
        <v>2022</v>
      </c>
      <c r="B55" s="200" t="s">
        <v>143</v>
      </c>
      <c r="C55" s="482">
        <v>23921</v>
      </c>
      <c r="D55" s="200" t="s">
        <v>384</v>
      </c>
      <c r="E55" s="207" t="s">
        <v>694</v>
      </c>
      <c r="F55" s="567">
        <v>139034</v>
      </c>
      <c r="I55" s="462" t="s">
        <v>645</v>
      </c>
      <c r="J55" s="520">
        <v>0</v>
      </c>
      <c r="K55" s="520">
        <v>0</v>
      </c>
      <c r="L55" s="520">
        <v>0</v>
      </c>
      <c r="M55" s="519">
        <v>0</v>
      </c>
      <c r="N55" s="520">
        <v>0</v>
      </c>
      <c r="O55" s="520">
        <v>0</v>
      </c>
      <c r="P55" s="520">
        <v>0</v>
      </c>
      <c r="Q55" s="520">
        <v>0</v>
      </c>
      <c r="R55" s="519">
        <v>0</v>
      </c>
      <c r="S55" s="520">
        <v>0</v>
      </c>
      <c r="T55" s="520">
        <v>0</v>
      </c>
      <c r="U55" s="520">
        <v>0</v>
      </c>
    </row>
    <row r="56" spans="1:21" ht="15" x14ac:dyDescent="0.2">
      <c r="A56" s="144">
        <v>2022</v>
      </c>
      <c r="B56" s="200" t="s">
        <v>144</v>
      </c>
      <c r="C56" s="482">
        <v>15394</v>
      </c>
      <c r="D56" s="200" t="s">
        <v>644</v>
      </c>
      <c r="E56" s="207"/>
      <c r="F56" s="567">
        <v>7708499</v>
      </c>
      <c r="I56" s="462" t="s">
        <v>646</v>
      </c>
      <c r="J56" s="520">
        <v>0</v>
      </c>
      <c r="K56" s="520">
        <v>0</v>
      </c>
      <c r="L56" s="520">
        <v>0</v>
      </c>
      <c r="M56" s="519">
        <v>0</v>
      </c>
      <c r="N56" s="520">
        <v>0</v>
      </c>
      <c r="O56" s="520">
        <v>0</v>
      </c>
      <c r="P56" s="520">
        <v>0</v>
      </c>
      <c r="Q56" s="520">
        <v>0</v>
      </c>
      <c r="R56" s="519">
        <v>0</v>
      </c>
      <c r="S56" s="520">
        <v>0</v>
      </c>
      <c r="T56" s="520">
        <v>0</v>
      </c>
      <c r="U56" s="520">
        <v>0</v>
      </c>
    </row>
    <row r="57" spans="1:21" ht="15" x14ac:dyDescent="0.2">
      <c r="A57" s="144">
        <v>2022</v>
      </c>
      <c r="B57" s="200" t="s">
        <v>145</v>
      </c>
      <c r="C57" s="482">
        <v>21113</v>
      </c>
      <c r="D57" s="200" t="s">
        <v>644</v>
      </c>
      <c r="E57" s="207"/>
      <c r="F57" s="567">
        <v>732864</v>
      </c>
      <c r="I57" s="462" t="s">
        <v>706</v>
      </c>
      <c r="J57" s="520">
        <v>0</v>
      </c>
      <c r="K57" s="520">
        <v>0</v>
      </c>
      <c r="L57" s="520">
        <v>0</v>
      </c>
      <c r="M57" s="519">
        <v>0</v>
      </c>
      <c r="N57" s="520">
        <v>0</v>
      </c>
      <c r="O57" s="520">
        <v>0</v>
      </c>
      <c r="P57" s="520">
        <v>0</v>
      </c>
      <c r="Q57" s="520">
        <v>0</v>
      </c>
      <c r="R57" s="519">
        <v>0</v>
      </c>
      <c r="S57" s="520">
        <v>0</v>
      </c>
      <c r="T57" s="520">
        <v>0</v>
      </c>
      <c r="U57" s="520">
        <v>0</v>
      </c>
    </row>
    <row r="58" spans="1:21" ht="15" x14ac:dyDescent="0.2">
      <c r="A58" s="144">
        <v>2022</v>
      </c>
      <c r="B58" s="200" t="s">
        <v>146</v>
      </c>
      <c r="C58" s="482">
        <v>25188</v>
      </c>
      <c r="D58" s="200" t="s">
        <v>644</v>
      </c>
      <c r="E58" s="207"/>
      <c r="F58" s="567">
        <v>44389</v>
      </c>
      <c r="H58" s="544" t="s">
        <v>715</v>
      </c>
      <c r="I58" s="462" t="s">
        <v>696</v>
      </c>
      <c r="J58" s="465">
        <v>2E-3</v>
      </c>
      <c r="K58" s="465">
        <v>2E-3</v>
      </c>
      <c r="L58" s="465">
        <v>0</v>
      </c>
      <c r="M58" s="519">
        <v>0</v>
      </c>
      <c r="N58" s="465">
        <v>2E-3</v>
      </c>
      <c r="O58" s="465">
        <v>2E-3</v>
      </c>
      <c r="P58" s="465">
        <v>2E-3</v>
      </c>
      <c r="Q58" s="465">
        <v>2E-3</v>
      </c>
      <c r="R58" s="465">
        <v>0</v>
      </c>
      <c r="S58" s="465">
        <v>0</v>
      </c>
      <c r="T58" s="465">
        <v>0</v>
      </c>
      <c r="U58" s="465">
        <v>2E-3</v>
      </c>
    </row>
    <row r="59" spans="1:21" ht="15" x14ac:dyDescent="0.2">
      <c r="A59" s="144">
        <v>2022</v>
      </c>
      <c r="B59" s="200" t="s">
        <v>147</v>
      </c>
      <c r="C59" s="482">
        <v>12244</v>
      </c>
      <c r="D59" s="200" t="s">
        <v>644</v>
      </c>
      <c r="E59" s="207"/>
      <c r="F59" s="567">
        <v>3176552</v>
      </c>
      <c r="H59" s="144" t="s">
        <v>255</v>
      </c>
      <c r="I59" s="215" t="s">
        <v>252</v>
      </c>
      <c r="J59" s="531"/>
      <c r="K59" s="531"/>
      <c r="L59" s="531"/>
      <c r="M59" s="531"/>
      <c r="N59" s="519"/>
      <c r="O59" s="224"/>
      <c r="P59" s="224"/>
      <c r="Q59" s="224"/>
      <c r="R59" s="217"/>
      <c r="S59" s="528"/>
      <c r="T59" s="528"/>
      <c r="U59" s="528"/>
    </row>
    <row r="60" spans="1:21" ht="15" x14ac:dyDescent="0.2">
      <c r="A60" s="144">
        <v>2022</v>
      </c>
      <c r="B60" s="200" t="s">
        <v>148</v>
      </c>
      <c r="C60" s="482">
        <v>12765</v>
      </c>
      <c r="D60" s="200" t="s">
        <v>644</v>
      </c>
      <c r="E60" s="207"/>
      <c r="F60" s="567">
        <v>592415</v>
      </c>
      <c r="H60" s="544" t="s">
        <v>714</v>
      </c>
      <c r="I60" s="217" t="s">
        <v>253</v>
      </c>
      <c r="J60" s="463">
        <v>1.4999999999999999E-2</v>
      </c>
      <c r="K60" s="463">
        <v>1.4999999999999999E-2</v>
      </c>
      <c r="L60" s="463">
        <v>0</v>
      </c>
      <c r="M60" s="519">
        <v>0</v>
      </c>
      <c r="N60" s="463">
        <v>1.4999999999999999E-2</v>
      </c>
      <c r="O60" s="463">
        <v>1.4999999999999999E-2</v>
      </c>
      <c r="P60" s="465">
        <v>1.4999999999999999E-2</v>
      </c>
      <c r="Q60" s="465">
        <v>1.4999999999999999E-2</v>
      </c>
      <c r="R60" s="465">
        <v>0</v>
      </c>
      <c r="S60" s="464">
        <v>0.01</v>
      </c>
      <c r="T60" s="464">
        <v>0.01</v>
      </c>
      <c r="U60" s="464">
        <v>0</v>
      </c>
    </row>
    <row r="61" spans="1:21" ht="15" x14ac:dyDescent="0.2">
      <c r="A61" s="144">
        <v>2022</v>
      </c>
      <c r="B61" s="200" t="s">
        <v>149</v>
      </c>
      <c r="C61" s="482">
        <v>13925</v>
      </c>
      <c r="D61" s="200" t="s">
        <v>644</v>
      </c>
      <c r="E61" s="218"/>
      <c r="F61" s="567">
        <v>2785836</v>
      </c>
      <c r="I61" s="217" t="s">
        <v>254</v>
      </c>
      <c r="J61" s="519">
        <v>0</v>
      </c>
      <c r="K61" s="519">
        <v>0</v>
      </c>
      <c r="L61" s="519">
        <v>0</v>
      </c>
      <c r="M61" s="519">
        <v>0</v>
      </c>
      <c r="N61" s="519">
        <v>0</v>
      </c>
      <c r="O61" s="519">
        <v>0</v>
      </c>
      <c r="P61" s="519">
        <v>0</v>
      </c>
      <c r="Q61" s="519">
        <v>0</v>
      </c>
      <c r="R61" s="519">
        <v>0</v>
      </c>
      <c r="S61" s="519">
        <v>0</v>
      </c>
      <c r="T61" s="519">
        <v>0</v>
      </c>
      <c r="U61" s="519">
        <v>0</v>
      </c>
    </row>
    <row r="62" spans="1:21" ht="15" x14ac:dyDescent="0.2">
      <c r="A62" s="144">
        <v>2022</v>
      </c>
      <c r="B62" s="200" t="s">
        <v>150</v>
      </c>
      <c r="C62" s="482">
        <v>11940</v>
      </c>
      <c r="D62" s="200" t="s">
        <v>644</v>
      </c>
      <c r="E62" s="207"/>
      <c r="F62" s="567">
        <v>1903675</v>
      </c>
      <c r="H62" s="544" t="s">
        <v>713</v>
      </c>
      <c r="I62" s="217" t="s">
        <v>386</v>
      </c>
      <c r="J62" s="463">
        <v>0</v>
      </c>
      <c r="K62" s="463">
        <v>0</v>
      </c>
      <c r="L62" s="463">
        <v>0</v>
      </c>
      <c r="M62" s="519">
        <v>0</v>
      </c>
      <c r="N62" s="463">
        <v>0</v>
      </c>
      <c r="O62" s="463">
        <v>0</v>
      </c>
      <c r="P62" s="463">
        <v>0</v>
      </c>
      <c r="Q62" s="463">
        <v>0</v>
      </c>
      <c r="R62" s="519">
        <v>0</v>
      </c>
      <c r="S62" s="463">
        <v>0</v>
      </c>
      <c r="T62" s="463">
        <v>0</v>
      </c>
      <c r="U62" s="463">
        <v>0</v>
      </c>
    </row>
    <row r="63" spans="1:21" ht="15" x14ac:dyDescent="0.2">
      <c r="A63" s="144">
        <v>2022</v>
      </c>
      <c r="B63" s="200" t="s">
        <v>151</v>
      </c>
      <c r="C63" s="482">
        <v>11333</v>
      </c>
      <c r="D63" s="200" t="s">
        <v>644</v>
      </c>
      <c r="E63" s="207"/>
      <c r="F63" s="567">
        <v>1942915</v>
      </c>
      <c r="I63" s="217" t="s">
        <v>750</v>
      </c>
      <c r="J63" s="519">
        <v>0</v>
      </c>
      <c r="K63" s="519">
        <v>0</v>
      </c>
      <c r="L63" s="463">
        <v>0</v>
      </c>
      <c r="M63" s="519">
        <v>0</v>
      </c>
      <c r="N63" s="519">
        <v>0</v>
      </c>
      <c r="O63" s="519">
        <v>0</v>
      </c>
      <c r="P63" s="519">
        <v>0</v>
      </c>
      <c r="Q63" s="519">
        <v>0</v>
      </c>
      <c r="R63" s="463">
        <v>0</v>
      </c>
      <c r="S63" s="463">
        <v>0</v>
      </c>
      <c r="T63" s="463">
        <v>0</v>
      </c>
      <c r="U63" s="519">
        <v>0</v>
      </c>
    </row>
    <row r="64" spans="1:21" ht="15" x14ac:dyDescent="0.2">
      <c r="A64" s="144">
        <v>2022</v>
      </c>
      <c r="B64" s="200" t="s">
        <v>152</v>
      </c>
      <c r="C64" s="482">
        <v>12114</v>
      </c>
      <c r="D64" s="200" t="s">
        <v>644</v>
      </c>
      <c r="E64" s="207"/>
      <c r="F64" s="567">
        <v>724686</v>
      </c>
      <c r="I64" s="217" t="s">
        <v>637</v>
      </c>
      <c r="J64" s="519">
        <v>0</v>
      </c>
      <c r="K64" s="519">
        <v>0</v>
      </c>
      <c r="L64" s="519">
        <v>0</v>
      </c>
      <c r="M64" s="519">
        <v>0</v>
      </c>
      <c r="N64" s="519">
        <v>0</v>
      </c>
      <c r="O64" s="519">
        <v>0</v>
      </c>
      <c r="P64" s="519">
        <v>0</v>
      </c>
      <c r="Q64" s="519">
        <v>0</v>
      </c>
      <c r="R64" s="519">
        <v>0</v>
      </c>
      <c r="S64" s="519">
        <v>0</v>
      </c>
      <c r="T64" s="519">
        <v>0</v>
      </c>
      <c r="U64" s="519">
        <v>0</v>
      </c>
    </row>
    <row r="65" spans="1:26" ht="15" x14ac:dyDescent="0.2">
      <c r="A65" s="144">
        <v>2022</v>
      </c>
      <c r="B65" s="200" t="s">
        <v>153</v>
      </c>
      <c r="C65" s="482">
        <v>10941</v>
      </c>
      <c r="D65" s="200" t="s">
        <v>644</v>
      </c>
      <c r="E65" s="207"/>
      <c r="F65" s="567">
        <v>1290898</v>
      </c>
    </row>
    <row r="66" spans="1:26" ht="15" x14ac:dyDescent="0.2">
      <c r="A66" s="144">
        <v>2022</v>
      </c>
      <c r="B66" s="200" t="s">
        <v>154</v>
      </c>
      <c r="C66" s="482">
        <v>12122</v>
      </c>
      <c r="D66" s="200" t="s">
        <v>644</v>
      </c>
      <c r="E66" s="207"/>
      <c r="F66" s="567">
        <v>2579261</v>
      </c>
    </row>
    <row r="67" spans="1:26" ht="15" x14ac:dyDescent="0.2">
      <c r="A67" s="144">
        <v>2022</v>
      </c>
      <c r="B67" s="200" t="s">
        <v>155</v>
      </c>
      <c r="C67" s="482">
        <v>15600</v>
      </c>
      <c r="D67" s="200" t="s">
        <v>384</v>
      </c>
      <c r="E67" s="207" t="s">
        <v>694</v>
      </c>
      <c r="F67" s="567">
        <v>1877844</v>
      </c>
    </row>
    <row r="68" spans="1:26" ht="15" x14ac:dyDescent="0.2">
      <c r="A68" s="144">
        <v>2022</v>
      </c>
      <c r="B68" s="200" t="s">
        <v>156</v>
      </c>
      <c r="C68" s="482">
        <v>13384</v>
      </c>
      <c r="D68" s="200" t="s">
        <v>644</v>
      </c>
      <c r="E68" s="207"/>
      <c r="F68" s="567">
        <v>620249</v>
      </c>
      <c r="I68" s="144" t="s">
        <v>256</v>
      </c>
    </row>
    <row r="69" spans="1:26" ht="15" x14ac:dyDescent="0.2">
      <c r="A69" s="144">
        <v>2022</v>
      </c>
      <c r="B69" s="200" t="s">
        <v>157</v>
      </c>
      <c r="C69" s="482">
        <v>11202</v>
      </c>
      <c r="D69" s="200" t="s">
        <v>644</v>
      </c>
      <c r="E69" s="207"/>
      <c r="F69" s="567">
        <v>463167</v>
      </c>
      <c r="I69" s="158" t="s">
        <v>64</v>
      </c>
      <c r="J69" s="219" t="s">
        <v>248</v>
      </c>
      <c r="K69" s="158" t="s">
        <v>257</v>
      </c>
      <c r="L69" s="220" t="s">
        <v>258</v>
      </c>
      <c r="M69" s="220" t="s">
        <v>259</v>
      </c>
    </row>
    <row r="70" spans="1:26" ht="15" x14ac:dyDescent="0.25">
      <c r="A70" s="144">
        <v>2022</v>
      </c>
      <c r="B70" s="200" t="s">
        <v>158</v>
      </c>
      <c r="C70" s="482">
        <v>12244</v>
      </c>
      <c r="D70" s="200" t="s">
        <v>644</v>
      </c>
      <c r="E70" s="207"/>
      <c r="F70" s="567">
        <v>220954</v>
      </c>
      <c r="I70" s="221" t="str">
        <f>'Расчет по доходу заемщика'!$E$2</f>
        <v>Приобретение жилья на этапе строительства</v>
      </c>
      <c r="J70" s="602">
        <f>1-'Расчет по доходу заемщика'!$E$27</f>
        <v>0.84989999999999999</v>
      </c>
      <c r="K70" s="223">
        <f>IF(I74=I28,INDEX(J36:U40,L70,M70),INDEX(J36:U40,L70,M70))</f>
        <v>0.16600000000000001</v>
      </c>
      <c r="L70" s="199">
        <f>MATCH(J70,I36:I40,-1)</f>
        <v>2</v>
      </c>
      <c r="M70" s="199">
        <f>MATCH(I70,J35:U35,0)</f>
        <v>2</v>
      </c>
    </row>
    <row r="71" spans="1:26" ht="15" x14ac:dyDescent="0.2">
      <c r="A71" s="144">
        <v>2022</v>
      </c>
      <c r="B71" s="200" t="s">
        <v>159</v>
      </c>
      <c r="C71" s="482">
        <v>11333</v>
      </c>
      <c r="D71" s="200" t="s">
        <v>644</v>
      </c>
      <c r="E71" s="207"/>
      <c r="F71" s="567">
        <v>4013786</v>
      </c>
      <c r="H71" s="144" t="s">
        <v>268</v>
      </c>
    </row>
    <row r="72" spans="1:26" ht="15" x14ac:dyDescent="0.2">
      <c r="A72" s="144">
        <v>2022</v>
      </c>
      <c r="B72" s="200" t="s">
        <v>160</v>
      </c>
      <c r="C72" s="482">
        <v>14312</v>
      </c>
      <c r="D72" s="200" t="s">
        <v>385</v>
      </c>
      <c r="E72" s="207" t="s">
        <v>694</v>
      </c>
      <c r="F72" s="567">
        <v>985431</v>
      </c>
      <c r="I72" s="144" t="s">
        <v>260</v>
      </c>
      <c r="N72" s="144" t="s">
        <v>718</v>
      </c>
      <c r="P72" s="144" t="s">
        <v>714</v>
      </c>
      <c r="R72" s="144" t="s">
        <v>713</v>
      </c>
      <c r="U72" s="144" t="s">
        <v>716</v>
      </c>
      <c r="Y72" s="144" t="s">
        <v>717</v>
      </c>
      <c r="Z72" s="144" t="s">
        <v>715</v>
      </c>
    </row>
    <row r="73" spans="1:26" ht="15" x14ac:dyDescent="0.2">
      <c r="A73" s="144">
        <v>2022</v>
      </c>
      <c r="B73" s="200" t="s">
        <v>161</v>
      </c>
      <c r="C73" s="482">
        <v>11854</v>
      </c>
      <c r="D73" s="200" t="s">
        <v>644</v>
      </c>
      <c r="E73" s="208"/>
      <c r="F73" s="567">
        <v>3133303</v>
      </c>
      <c r="I73" s="158" t="s">
        <v>261</v>
      </c>
      <c r="J73" s="158" t="s">
        <v>262</v>
      </c>
      <c r="K73" s="158" t="s">
        <v>263</v>
      </c>
      <c r="L73" s="158" t="s">
        <v>264</v>
      </c>
      <c r="M73" s="158" t="s">
        <v>265</v>
      </c>
      <c r="N73" s="545" t="s">
        <v>641</v>
      </c>
      <c r="O73" s="185" t="s">
        <v>248</v>
      </c>
      <c r="P73" s="545" t="s">
        <v>266</v>
      </c>
      <c r="Q73" s="224" t="s">
        <v>267</v>
      </c>
      <c r="R73" s="545" t="s">
        <v>387</v>
      </c>
      <c r="S73" s="545" t="s">
        <v>750</v>
      </c>
      <c r="T73" s="158" t="s">
        <v>638</v>
      </c>
      <c r="U73" s="545" t="str">
        <f>I54</f>
        <v>Справка из ПФР</v>
      </c>
      <c r="V73" s="158" t="str">
        <f>I55</f>
        <v>Менеджерская скидка</v>
      </c>
      <c r="W73" s="158" t="str">
        <f>I56</f>
        <v>Сотрудник организации развития</v>
      </c>
      <c r="X73" s="158" t="s">
        <v>649</v>
      </c>
      <c r="Y73" s="545" t="s">
        <v>652</v>
      </c>
      <c r="Z73" s="545" t="s">
        <v>696</v>
      </c>
    </row>
    <row r="74" spans="1:26" ht="15" x14ac:dyDescent="0.25">
      <c r="A74" s="144">
        <v>2022</v>
      </c>
      <c r="B74" s="200" t="s">
        <v>162</v>
      </c>
      <c r="C74" s="482">
        <v>12244</v>
      </c>
      <c r="D74" s="200" t="s">
        <v>644</v>
      </c>
      <c r="E74" s="207"/>
      <c r="F74" s="567">
        <v>515564</v>
      </c>
      <c r="H74" s="144">
        <v>10</v>
      </c>
      <c r="I74" s="221" t="str">
        <f>'Расчет по доходу заемщика'!E25</f>
        <v>НЕТ</v>
      </c>
      <c r="J74" s="164">
        <v>0</v>
      </c>
      <c r="K74" s="191">
        <v>0</v>
      </c>
      <c r="L74" s="191">
        <f>IF(AND(O74&gt;0.7,O74&lt;=0.8),1,0)</f>
        <v>0</v>
      </c>
      <c r="M74" s="191" t="str">
        <f>'Калькулятор_от дохода'!$P$61</f>
        <v>НЕТ</v>
      </c>
      <c r="N74" s="191" t="str">
        <f>'Калькулятор_от дохода'!$P$50</f>
        <v>НЕТ</v>
      </c>
      <c r="O74" s="223">
        <f>J70</f>
        <v>0.84989999999999999</v>
      </c>
      <c r="P74" s="221" t="str">
        <f>'Расчет по доходу заемщика'!E26</f>
        <v>ДА</v>
      </c>
      <c r="Q74" s="221" t="str">
        <f>'Калькулятор_от дохода'!$P$37</f>
        <v>НЕТ</v>
      </c>
      <c r="R74" s="158" t="str">
        <f>'Калькулятор_от дохода'!P44</f>
        <v>НЕТ</v>
      </c>
      <c r="S74" s="158" t="str">
        <f>'Калькулятор_от дохода'!$P$65</f>
        <v>НЕТ</v>
      </c>
      <c r="T74" s="158" t="str">
        <f>'Калькулятор_от дохода'!$P$31</f>
        <v>НЕТ</v>
      </c>
      <c r="U74" s="158" t="str">
        <f>'Калькулятор_от дохода'!P59</f>
        <v>НЕТ</v>
      </c>
      <c r="V74" s="158" t="str">
        <f>'Калькулятор_от дохода'!P54</f>
        <v>НЕТ</v>
      </c>
      <c r="W74" s="158" t="str">
        <f>'Калькулятор_от дохода'!P56</f>
        <v>НЕТ</v>
      </c>
      <c r="X74" s="221" t="str">
        <f>'Калькулятор_от дохода'!P21</f>
        <v>НЕТ</v>
      </c>
      <c r="Y74" s="158" t="str">
        <f>'Калькулятор_от дохода'!P29</f>
        <v>НЕТ</v>
      </c>
      <c r="Z74" s="158" t="str">
        <f>'Калькулятор_от дохода'!P57</f>
        <v>НЕТ</v>
      </c>
    </row>
    <row r="75" spans="1:26" ht="15" x14ac:dyDescent="0.25">
      <c r="A75" s="144">
        <v>2022</v>
      </c>
      <c r="B75" s="200" t="s">
        <v>163</v>
      </c>
      <c r="C75" s="482">
        <v>12114</v>
      </c>
      <c r="D75" s="200" t="s">
        <v>644</v>
      </c>
      <c r="E75" s="207"/>
      <c r="F75" s="567">
        <v>269984</v>
      </c>
      <c r="I75" s="225">
        <f>IFERROR(INDEX($J$42:$O$50,MATCH(I74,$I$42:$I$50,0),MATCH($I$70,$J$35:$O$35,0)),0)</f>
        <v>0</v>
      </c>
      <c r="J75" s="225"/>
      <c r="K75" s="225"/>
      <c r="L75" s="225"/>
      <c r="M75" s="225">
        <f>IF(M74="да",'Калькулятор_от дохода'!$V$61,0)</f>
        <v>0</v>
      </c>
      <c r="N75" s="225">
        <f>IF(AND($N$74="да",I74="нет"),INDEX($J$53:$U$53,1,MATCH(I70,$J$35:$U$35,0)),0)</f>
        <v>0</v>
      </c>
      <c r="O75" s="225"/>
      <c r="P75" s="226">
        <f>IF(P74="нет",INDEX(J60:U60,1,MATCH(I70,J35:U35,0)),0)</f>
        <v>0</v>
      </c>
      <c r="Q75" s="226">
        <f>IF(Q74="да",INDEX(J61:U61,1,MATCH(I70,J35:U64,0)),0)</f>
        <v>0</v>
      </c>
      <c r="R75" s="226">
        <f>IF(R74="да",INDEX(J62:U62,1,MATCH(I70,J35:U35,0)),0)</f>
        <v>0</v>
      </c>
      <c r="S75" s="226">
        <f>IF(S74="да",INDEX($J$63:$U$63,1,MATCH($I$70,$J$35:$U$35,0)),0)</f>
        <v>0</v>
      </c>
      <c r="T75" s="226">
        <f>IF($T$74="да",INDEX($J$64:$U$64,1,MATCH($I$70,$J$35:$U$35,0)),0)</f>
        <v>0</v>
      </c>
      <c r="U75" s="225">
        <f>IF(AND(U74="да",$I$74="нет"),INDEX($J$54:$U$54,1,MATCH($I$70,$J$35:U$35,0)),0)</f>
        <v>0</v>
      </c>
      <c r="V75" s="225">
        <f>IF(AND(V74="да",$I$74="нет"),INDEX($J$55:$U$55,1,MATCH($I$70,$J$35:$U$35,0)),0)</f>
        <v>0</v>
      </c>
      <c r="W75" s="225">
        <f>IF(AND(W74="да",$I$74="нет"),INDEX($J$56:$U$56,1,MATCH($I$70,$J$35:$U$35,0)),0)</f>
        <v>0</v>
      </c>
      <c r="X75" s="254">
        <v>0</v>
      </c>
      <c r="Y75" s="254">
        <f>IF(AND(Y74="да",$I$74="нет"),INDEX($J$52:$U$52,1,MATCH($I$70,$J$35:$U$35,0)),0)</f>
        <v>0</v>
      </c>
      <c r="Z75" s="254">
        <f>IF(AND(Z74="да",R74="нет",$I$74="нет",'Калькулятор_от дохода'!P19="нет"),INDEX($J$58:$U$58,1,MATCH($I$70,$J$35:$U$35,0)),0)</f>
        <v>0</v>
      </c>
    </row>
    <row r="76" spans="1:26" ht="15" x14ac:dyDescent="0.2">
      <c r="A76" s="144">
        <v>2022</v>
      </c>
      <c r="B76" s="200" t="s">
        <v>164</v>
      </c>
      <c r="C76" s="482">
        <v>16463</v>
      </c>
      <c r="D76" s="200" t="s">
        <v>644</v>
      </c>
      <c r="E76" s="207"/>
      <c r="F76" s="567">
        <v>609071</v>
      </c>
    </row>
    <row r="77" spans="1:26" ht="15" x14ac:dyDescent="0.2">
      <c r="A77" s="144">
        <v>2022</v>
      </c>
      <c r="B77" s="200" t="s">
        <v>165</v>
      </c>
      <c r="C77" s="482">
        <v>16275</v>
      </c>
      <c r="D77" s="200" t="s">
        <v>644</v>
      </c>
      <c r="E77" s="207"/>
      <c r="F77" s="567">
        <v>813590</v>
      </c>
      <c r="I77" s="227" t="s">
        <v>269</v>
      </c>
    </row>
    <row r="78" spans="1:26" ht="15" x14ac:dyDescent="0.2">
      <c r="A78" s="144">
        <v>2022</v>
      </c>
      <c r="B78" s="200" t="s">
        <v>166</v>
      </c>
      <c r="C78" s="482">
        <v>11462</v>
      </c>
      <c r="D78" s="200" t="s">
        <v>644</v>
      </c>
      <c r="E78" s="207"/>
      <c r="F78" s="567">
        <v>675332</v>
      </c>
      <c r="I78" s="228">
        <f>IF('Калькулятор_от дохода'!P13='Калькулятор_от дохода'!M177,K70-I75-M75-N75-U75-V75-W75-Y75-Z75+P75+Q75+R75+S75+T75,IF(AND('Калькулятор_от дохода'!P13&lt;&gt;'Калькулятор_от дохода'!M177,'Калькулятор_от дохода'!P44="НЕТ",'Калькулятор_от дохода'!P46="ДА"),K70-I75-M75-N75-U75-V75-W75-Y75-Z75+P75+Q75+R75+S75+T75+0.5%,K70-I75-M75-N75-U75-V75-W75-Y75-Z75+P75+Q75+R75+S75+T75))</f>
        <v>0.16600000000000001</v>
      </c>
    </row>
    <row r="79" spans="1:26" ht="15" x14ac:dyDescent="0.2">
      <c r="A79" s="144">
        <v>2022</v>
      </c>
      <c r="B79" s="200" t="s">
        <v>167</v>
      </c>
      <c r="C79" s="482">
        <v>11072</v>
      </c>
      <c r="D79" s="200" t="s">
        <v>644</v>
      </c>
      <c r="E79" s="207"/>
      <c r="F79" s="567">
        <v>778965</v>
      </c>
    </row>
    <row r="80" spans="1:26" ht="15" x14ac:dyDescent="0.2">
      <c r="A80" s="144">
        <v>2022</v>
      </c>
      <c r="B80" s="200" t="s">
        <v>168</v>
      </c>
      <c r="C80" s="482">
        <v>20702</v>
      </c>
      <c r="D80" s="200" t="s">
        <v>384</v>
      </c>
      <c r="E80" s="208" t="s">
        <v>694</v>
      </c>
      <c r="F80" s="567">
        <v>981971</v>
      </c>
    </row>
    <row r="81" spans="1:17" ht="15" x14ac:dyDescent="0.2">
      <c r="A81" s="144">
        <v>2022</v>
      </c>
      <c r="B81" s="200" t="s">
        <v>169</v>
      </c>
      <c r="C81" s="482">
        <v>11838</v>
      </c>
      <c r="D81" s="200" t="s">
        <v>644</v>
      </c>
      <c r="E81" s="208"/>
      <c r="F81" s="567">
        <v>693098</v>
      </c>
    </row>
    <row r="82" spans="1:17" ht="15" x14ac:dyDescent="0.2">
      <c r="A82" s="144">
        <v>2022</v>
      </c>
      <c r="B82" s="200" t="s">
        <v>170</v>
      </c>
      <c r="C82" s="482">
        <v>11122</v>
      </c>
      <c r="D82" s="200" t="s">
        <v>644</v>
      </c>
      <c r="E82" s="207"/>
      <c r="F82" s="567">
        <v>3894120</v>
      </c>
    </row>
    <row r="83" spans="1:17" ht="15" x14ac:dyDescent="0.2">
      <c r="A83" s="144">
        <v>2022</v>
      </c>
      <c r="B83" s="200" t="s">
        <v>171</v>
      </c>
      <c r="C83" s="482">
        <v>13156</v>
      </c>
      <c r="D83" s="200" t="s">
        <v>644</v>
      </c>
      <c r="E83" s="207"/>
      <c r="F83" s="567">
        <v>330368</v>
      </c>
      <c r="I83" s="289" t="s">
        <v>270</v>
      </c>
      <c r="J83" s="629" t="s">
        <v>66</v>
      </c>
      <c r="K83" s="630"/>
      <c r="L83" s="290"/>
      <c r="M83" s="158"/>
      <c r="N83" s="158"/>
      <c r="O83" s="158"/>
      <c r="P83" s="158"/>
    </row>
    <row r="84" spans="1:17" ht="25.5" x14ac:dyDescent="0.2">
      <c r="A84" s="144">
        <v>2022</v>
      </c>
      <c r="B84" s="200" t="s">
        <v>172</v>
      </c>
      <c r="C84" s="482">
        <v>13286</v>
      </c>
      <c r="D84" s="200" t="s">
        <v>644</v>
      </c>
      <c r="E84" s="207"/>
      <c r="F84" s="567">
        <v>532036</v>
      </c>
      <c r="I84" s="199" t="s">
        <v>64</v>
      </c>
      <c r="J84" s="229" t="s">
        <v>271</v>
      </c>
      <c r="K84" s="199" t="s">
        <v>272</v>
      </c>
      <c r="L84" s="269" t="s">
        <v>273</v>
      </c>
      <c r="M84" s="515" t="s">
        <v>348</v>
      </c>
      <c r="N84" s="158" t="s">
        <v>349</v>
      </c>
      <c r="O84" s="158" t="s">
        <v>386</v>
      </c>
      <c r="P84" s="158" t="s">
        <v>409</v>
      </c>
      <c r="Q84" s="461" t="s">
        <v>639</v>
      </c>
    </row>
    <row r="85" spans="1:17" ht="15" x14ac:dyDescent="0.2">
      <c r="A85" s="144">
        <v>2022</v>
      </c>
      <c r="B85" s="200" t="s">
        <v>173</v>
      </c>
      <c r="C85" s="482">
        <v>12349</v>
      </c>
      <c r="D85" s="200" t="s">
        <v>644</v>
      </c>
      <c r="E85" s="207"/>
      <c r="F85" s="567">
        <v>4181486</v>
      </c>
      <c r="I85" s="158" t="str">
        <f>B3</f>
        <v>Приобретение готового жилья</v>
      </c>
      <c r="J85" s="466" t="s">
        <v>383</v>
      </c>
      <c r="K85" s="466" t="s">
        <v>383</v>
      </c>
      <c r="L85" s="549">
        <v>0.15010000000000001</v>
      </c>
      <c r="M85" s="467" t="s">
        <v>383</v>
      </c>
      <c r="N85" s="551">
        <v>0.1</v>
      </c>
      <c r="O85" s="548">
        <v>0.15010000000000001</v>
      </c>
      <c r="P85" s="550" t="s">
        <v>383</v>
      </c>
      <c r="Q85" s="549">
        <v>0.15010000000000001</v>
      </c>
    </row>
    <row r="86" spans="1:17" ht="15" x14ac:dyDescent="0.2">
      <c r="A86" s="144">
        <v>2022</v>
      </c>
      <c r="B86" s="200" t="s">
        <v>174</v>
      </c>
      <c r="C86" s="482">
        <v>12225</v>
      </c>
      <c r="D86" s="200" t="s">
        <v>644</v>
      </c>
      <c r="E86" s="207"/>
      <c r="F86" s="567">
        <v>1098257</v>
      </c>
      <c r="I86" s="158" t="str">
        <f>B4</f>
        <v>Приобретение жилья на этапе строительства</v>
      </c>
      <c r="J86" s="466" t="s">
        <v>383</v>
      </c>
      <c r="K86" s="466" t="s">
        <v>383</v>
      </c>
      <c r="L86" s="549">
        <v>0.15010000000000001</v>
      </c>
      <c r="M86" s="467" t="s">
        <v>383</v>
      </c>
      <c r="N86" s="551">
        <v>0.1</v>
      </c>
      <c r="O86" s="548">
        <v>0.15010000000000001</v>
      </c>
      <c r="P86" s="551" t="s">
        <v>383</v>
      </c>
      <c r="Q86" s="549">
        <v>0.15010000000000001</v>
      </c>
    </row>
    <row r="87" spans="1:17" ht="15" x14ac:dyDescent="0.2">
      <c r="A87" s="144">
        <v>2022</v>
      </c>
      <c r="B87" s="200" t="s">
        <v>175</v>
      </c>
      <c r="C87" s="482">
        <v>12611</v>
      </c>
      <c r="D87" s="200" t="s">
        <v>644</v>
      </c>
      <c r="E87" s="207"/>
      <c r="F87" s="567">
        <v>3154164</v>
      </c>
      <c r="I87" s="158" t="str">
        <f>B5</f>
        <v>Семейная ипотека с гос.поддержкой</v>
      </c>
      <c r="J87" s="466" t="s">
        <v>383</v>
      </c>
      <c r="K87" s="466" t="s">
        <v>383</v>
      </c>
      <c r="L87" s="549">
        <v>0.2001</v>
      </c>
      <c r="M87" s="467" t="s">
        <v>383</v>
      </c>
      <c r="N87" s="551">
        <v>0.15</v>
      </c>
      <c r="O87" s="548">
        <v>0.2001</v>
      </c>
      <c r="P87" s="551" t="s">
        <v>383</v>
      </c>
      <c r="Q87" s="549">
        <v>0.2001</v>
      </c>
    </row>
    <row r="88" spans="1:17" ht="15" x14ac:dyDescent="0.2">
      <c r="A88" s="144">
        <v>2022</v>
      </c>
      <c r="B88" s="200" t="s">
        <v>176</v>
      </c>
      <c r="C88" s="482">
        <v>11138</v>
      </c>
      <c r="D88" s="200" t="s">
        <v>644</v>
      </c>
      <c r="E88" s="208"/>
      <c r="F88" s="567">
        <v>2395111</v>
      </c>
      <c r="I88" s="158" t="str">
        <f>B6</f>
        <v>Целевой кредит под залог имеющейся квартиры</v>
      </c>
      <c r="J88" s="466" t="s">
        <v>383</v>
      </c>
      <c r="K88" s="466" t="s">
        <v>383</v>
      </c>
      <c r="L88" s="549">
        <v>0.35010000000000002</v>
      </c>
      <c r="M88" s="467" t="s">
        <v>383</v>
      </c>
      <c r="N88" s="551">
        <v>0.35</v>
      </c>
      <c r="O88" s="548">
        <v>0.35010000000000002</v>
      </c>
      <c r="P88" s="550" t="s">
        <v>383</v>
      </c>
      <c r="Q88" s="549">
        <v>0.35010000000000002</v>
      </c>
    </row>
    <row r="89" spans="1:17" ht="15" x14ac:dyDescent="0.2">
      <c r="A89" s="144">
        <v>2022</v>
      </c>
      <c r="B89" s="200" t="s">
        <v>177</v>
      </c>
      <c r="C89" s="482">
        <v>17715</v>
      </c>
      <c r="D89" s="200" t="s">
        <v>384</v>
      </c>
      <c r="E89" s="207" t="s">
        <v>694</v>
      </c>
      <c r="F89" s="567">
        <v>485621</v>
      </c>
      <c r="I89" s="158" t="str">
        <f>B7</f>
        <v>Перекредитование</v>
      </c>
      <c r="J89" s="466" t="s">
        <v>383</v>
      </c>
      <c r="K89" s="466" t="s">
        <v>383</v>
      </c>
      <c r="L89" s="549">
        <v>0.15010000000000001</v>
      </c>
      <c r="M89" s="467" t="s">
        <v>383</v>
      </c>
      <c r="N89" s="551">
        <v>0.1</v>
      </c>
      <c r="O89" s="548">
        <v>0.15010000000000001</v>
      </c>
      <c r="P89" s="551" t="s">
        <v>383</v>
      </c>
      <c r="Q89" s="549">
        <v>0.15010000000000001</v>
      </c>
    </row>
    <row r="90" spans="1:17" ht="15" x14ac:dyDescent="0.2">
      <c r="A90" s="144">
        <v>2022</v>
      </c>
      <c r="B90" s="200" t="s">
        <v>178</v>
      </c>
      <c r="C90" s="482">
        <v>12635</v>
      </c>
      <c r="D90" s="200" t="s">
        <v>644</v>
      </c>
      <c r="E90" s="207"/>
      <c r="F90" s="567">
        <v>4290067</v>
      </c>
      <c r="I90" s="158" t="s">
        <v>595</v>
      </c>
      <c r="J90" s="466" t="s">
        <v>383</v>
      </c>
      <c r="K90" s="466" t="s">
        <v>383</v>
      </c>
      <c r="L90" s="549">
        <v>0.40010000000000001</v>
      </c>
      <c r="M90" s="466" t="s">
        <v>383</v>
      </c>
      <c r="N90" s="551">
        <v>0.4</v>
      </c>
      <c r="O90" s="548">
        <v>0.40010000000000001</v>
      </c>
      <c r="P90" s="550" t="s">
        <v>383</v>
      </c>
      <c r="Q90" s="549">
        <v>0.40010000000000001</v>
      </c>
    </row>
    <row r="91" spans="1:17" ht="15" x14ac:dyDescent="0.2">
      <c r="A91" s="144">
        <v>2022</v>
      </c>
      <c r="B91" s="200" t="s">
        <v>179</v>
      </c>
      <c r="C91" s="482">
        <v>12504</v>
      </c>
      <c r="D91" s="200" t="s">
        <v>644</v>
      </c>
      <c r="E91" s="207"/>
      <c r="F91" s="567">
        <v>921127</v>
      </c>
      <c r="I91" s="195" t="s">
        <v>596</v>
      </c>
      <c r="J91" s="466" t="s">
        <v>383</v>
      </c>
      <c r="K91" s="466" t="s">
        <v>383</v>
      </c>
      <c r="L91" s="549">
        <v>0.2001</v>
      </c>
      <c r="M91" s="466" t="s">
        <v>383</v>
      </c>
      <c r="N91" s="551">
        <v>0.2</v>
      </c>
      <c r="O91" s="548">
        <v>0.2001</v>
      </c>
      <c r="P91" s="550" t="s">
        <v>383</v>
      </c>
      <c r="Q91" s="549">
        <v>0.2001</v>
      </c>
    </row>
    <row r="92" spans="1:17" ht="15" x14ac:dyDescent="0.2">
      <c r="A92" s="144">
        <v>2022</v>
      </c>
      <c r="B92" s="200" t="s">
        <v>180</v>
      </c>
      <c r="C92" s="482">
        <v>11723</v>
      </c>
      <c r="D92" s="200" t="s">
        <v>644</v>
      </c>
      <c r="E92" s="207"/>
      <c r="F92" s="567">
        <v>2792796</v>
      </c>
      <c r="I92" s="195" t="str">
        <f>B10</f>
        <v>Дальневосточная ипотека</v>
      </c>
      <c r="J92" s="466" t="s">
        <v>383</v>
      </c>
      <c r="K92" s="466" t="s">
        <v>383</v>
      </c>
      <c r="L92" s="549">
        <v>0.2001</v>
      </c>
      <c r="M92" s="466" t="s">
        <v>383</v>
      </c>
      <c r="N92" s="487">
        <v>0.15</v>
      </c>
      <c r="O92" s="548">
        <v>0.2001</v>
      </c>
      <c r="P92" s="487" t="s">
        <v>383</v>
      </c>
      <c r="Q92" s="549">
        <v>0.2001</v>
      </c>
    </row>
    <row r="93" spans="1:17" ht="15" x14ac:dyDescent="0.2">
      <c r="A93" s="144">
        <v>2022</v>
      </c>
      <c r="B93" s="200" t="s">
        <v>181</v>
      </c>
      <c r="C93" s="482">
        <v>11587</v>
      </c>
      <c r="D93" s="200" t="s">
        <v>644</v>
      </c>
      <c r="E93" s="207"/>
      <c r="F93" s="567">
        <v>994420</v>
      </c>
      <c r="I93" s="158" t="s">
        <v>648</v>
      </c>
      <c r="J93" s="466" t="s">
        <v>383</v>
      </c>
      <c r="K93" s="466" t="s">
        <v>383</v>
      </c>
      <c r="L93" s="549">
        <v>0.30009999999999998</v>
      </c>
      <c r="M93" s="466" t="s">
        <v>383</v>
      </c>
      <c r="N93" s="487">
        <v>0.15</v>
      </c>
      <c r="O93" s="548">
        <v>0.30009999999999998</v>
      </c>
      <c r="P93" s="487" t="s">
        <v>383</v>
      </c>
      <c r="Q93" s="549">
        <v>0.30009999999999998</v>
      </c>
    </row>
    <row r="94" spans="1:17" ht="15" x14ac:dyDescent="0.2">
      <c r="A94" s="144">
        <v>2022</v>
      </c>
      <c r="B94" s="200" t="s">
        <v>182</v>
      </c>
      <c r="C94" s="482">
        <v>12504</v>
      </c>
      <c r="D94" s="200" t="s">
        <v>644</v>
      </c>
      <c r="E94" s="207"/>
      <c r="F94" s="567">
        <v>1245619</v>
      </c>
      <c r="I94" s="158" t="s">
        <v>705</v>
      </c>
      <c r="J94" s="466" t="s">
        <v>383</v>
      </c>
      <c r="K94" s="466" t="s">
        <v>383</v>
      </c>
      <c r="L94" s="549">
        <v>0.2001</v>
      </c>
      <c r="M94" s="466" t="s">
        <v>383</v>
      </c>
      <c r="N94" s="487">
        <v>0.15</v>
      </c>
      <c r="O94" s="548">
        <v>0.2001</v>
      </c>
      <c r="P94" s="487" t="s">
        <v>383</v>
      </c>
      <c r="Q94" s="549">
        <v>0.2001</v>
      </c>
    </row>
    <row r="95" spans="1:17" ht="15" x14ac:dyDescent="0.2">
      <c r="A95" s="144">
        <v>2022</v>
      </c>
      <c r="B95" s="200" t="s">
        <v>183</v>
      </c>
      <c r="C95" s="482">
        <v>13650</v>
      </c>
      <c r="D95" s="200" t="s">
        <v>644</v>
      </c>
      <c r="E95" s="207"/>
      <c r="F95" s="567">
        <v>1070339</v>
      </c>
      <c r="H95" s="144">
        <v>11</v>
      </c>
      <c r="I95" s="158" t="s">
        <v>740</v>
      </c>
      <c r="J95" s="466" t="s">
        <v>383</v>
      </c>
      <c r="K95" s="466" t="s">
        <v>383</v>
      </c>
      <c r="L95" s="549">
        <v>0.2001</v>
      </c>
      <c r="M95" s="466" t="s">
        <v>383</v>
      </c>
      <c r="N95" s="487">
        <v>0.15</v>
      </c>
      <c r="O95" s="548">
        <v>0.2001</v>
      </c>
      <c r="P95" s="487" t="s">
        <v>383</v>
      </c>
      <c r="Q95" s="549">
        <v>0.2001</v>
      </c>
    </row>
    <row r="96" spans="1:17" ht="15" x14ac:dyDescent="0.2">
      <c r="A96" s="144">
        <v>2022</v>
      </c>
      <c r="B96" s="200" t="s">
        <v>184</v>
      </c>
      <c r="C96" s="482">
        <v>12765</v>
      </c>
      <c r="D96" s="200" t="s">
        <v>644</v>
      </c>
      <c r="E96" s="207"/>
      <c r="F96" s="567">
        <v>1449115</v>
      </c>
      <c r="I96" s="158" t="s">
        <v>691</v>
      </c>
      <c r="J96" s="466" t="s">
        <v>383</v>
      </c>
      <c r="K96" s="466" t="s">
        <v>383</v>
      </c>
      <c r="L96" s="549">
        <v>0.1</v>
      </c>
      <c r="M96" s="466" t="s">
        <v>383</v>
      </c>
      <c r="N96" s="487">
        <v>0.1</v>
      </c>
      <c r="O96" s="548">
        <v>0.2</v>
      </c>
      <c r="P96" s="487" t="s">
        <v>383</v>
      </c>
      <c r="Q96" s="549">
        <v>0.1</v>
      </c>
    </row>
    <row r="97" spans="1:24" ht="15" x14ac:dyDescent="0.2">
      <c r="A97" s="144">
        <v>2022</v>
      </c>
      <c r="B97" s="200" t="s">
        <v>185</v>
      </c>
      <c r="C97" s="482">
        <v>13026</v>
      </c>
      <c r="D97" s="200" t="s">
        <v>644</v>
      </c>
      <c r="E97" s="207"/>
      <c r="F97" s="567">
        <v>1543389</v>
      </c>
    </row>
    <row r="98" spans="1:24" ht="15" x14ac:dyDescent="0.2">
      <c r="A98" s="144">
        <v>2022</v>
      </c>
      <c r="B98" s="200" t="s">
        <v>186</v>
      </c>
      <c r="C98" s="482">
        <v>11692</v>
      </c>
      <c r="D98" s="200" t="s">
        <v>644</v>
      </c>
      <c r="E98" s="207"/>
      <c r="F98" s="567">
        <v>1493356</v>
      </c>
      <c r="I98" s="144" t="s">
        <v>274</v>
      </c>
    </row>
    <row r="99" spans="1:24" ht="15" x14ac:dyDescent="0.2">
      <c r="A99" s="144">
        <v>2022</v>
      </c>
      <c r="B99" s="200" t="s">
        <v>187</v>
      </c>
      <c r="C99" s="482">
        <v>12075</v>
      </c>
      <c r="D99" s="200" t="s">
        <v>644</v>
      </c>
      <c r="E99" s="207"/>
      <c r="F99" s="567">
        <v>1218319</v>
      </c>
      <c r="I99" s="230" t="s">
        <v>64</v>
      </c>
      <c r="J99" s="231" t="s">
        <v>275</v>
      </c>
      <c r="K99" s="158" t="s">
        <v>276</v>
      </c>
      <c r="L99" s="224" t="s">
        <v>277</v>
      </c>
      <c r="M99" s="232" t="s">
        <v>278</v>
      </c>
    </row>
    <row r="100" spans="1:24" ht="15" x14ac:dyDescent="0.2">
      <c r="A100" s="144">
        <v>2022</v>
      </c>
      <c r="B100" s="200" t="s">
        <v>188</v>
      </c>
      <c r="C100" s="482">
        <v>18389</v>
      </c>
      <c r="D100" s="200" t="s">
        <v>384</v>
      </c>
      <c r="E100" s="208" t="s">
        <v>694</v>
      </c>
      <c r="F100" s="567">
        <v>1301127</v>
      </c>
      <c r="I100" s="233" t="str">
        <f>'Калькулятор_от дохода'!P13</f>
        <v>Приобретение жилья на этапе строительства</v>
      </c>
      <c r="J100" s="233" t="str">
        <f>IF(I154="Работа по найму",IF('Калькулятор_от дохода'!$P$44="ДА","Легкая ипотека",IF('Калькулятор_от дохода'!$P$39="ДА","ПС",IF('Калькулятор_от дохода'!$P$35="ДА","МК",IF('Калькулятор_от дохода'!$P$41="ДА","АП",IF($N$74="да",$I$53,"СТ"))))),N84)</f>
        <v>СТ</v>
      </c>
      <c r="K100" s="164">
        <f>MATCH($I$100,$I$85:$I$96,0)</f>
        <v>2</v>
      </c>
      <c r="L100" s="164">
        <f>MATCH($J$100,$J$84:$Q$84,0)</f>
        <v>3</v>
      </c>
      <c r="M100" s="601">
        <f>INDEX(J85:Q96,K100,L100)</f>
        <v>0.15010000000000001</v>
      </c>
    </row>
    <row r="101" spans="1:24" ht="15" x14ac:dyDescent="0.2">
      <c r="A101" s="144">
        <v>2022</v>
      </c>
      <c r="B101" s="200" t="s">
        <v>189</v>
      </c>
      <c r="C101" s="482">
        <v>18456</v>
      </c>
      <c r="D101" s="200" t="s">
        <v>644</v>
      </c>
      <c r="E101" s="207"/>
      <c r="F101" s="567">
        <v>1687654</v>
      </c>
      <c r="H101" s="234" t="s">
        <v>282</v>
      </c>
    </row>
    <row r="102" spans="1:24" ht="15" x14ac:dyDescent="0.2">
      <c r="A102" s="144">
        <v>2022</v>
      </c>
      <c r="B102" s="200" t="s">
        <v>190</v>
      </c>
      <c r="C102" s="482">
        <v>12957</v>
      </c>
      <c r="D102" s="200" t="s">
        <v>644</v>
      </c>
      <c r="E102" s="207"/>
      <c r="F102" s="567">
        <v>3442810</v>
      </c>
      <c r="I102" s="217" t="s">
        <v>279</v>
      </c>
      <c r="J102" s="158"/>
      <c r="L102" s="144" t="s">
        <v>642</v>
      </c>
    </row>
    <row r="103" spans="1:24" ht="15" x14ac:dyDescent="0.2">
      <c r="A103" s="144">
        <v>2022</v>
      </c>
      <c r="B103" s="200" t="s">
        <v>191</v>
      </c>
      <c r="C103" s="482">
        <v>12504</v>
      </c>
      <c r="D103" s="200" t="s">
        <v>644</v>
      </c>
      <c r="E103" s="207"/>
      <c r="F103" s="567">
        <v>1497992</v>
      </c>
      <c r="I103" s="217" t="s">
        <v>280</v>
      </c>
      <c r="J103" s="240">
        <v>30000000</v>
      </c>
      <c r="L103" s="468">
        <v>8000000</v>
      </c>
    </row>
    <row r="104" spans="1:24" ht="15" x14ac:dyDescent="0.2">
      <c r="A104" s="144">
        <v>2022</v>
      </c>
      <c r="B104" s="200" t="s">
        <v>192</v>
      </c>
      <c r="C104" s="482">
        <v>11072</v>
      </c>
      <c r="D104" s="200" t="s">
        <v>644</v>
      </c>
      <c r="E104" s="207"/>
      <c r="F104" s="567">
        <v>1207875</v>
      </c>
      <c r="I104" s="217" t="s">
        <v>281</v>
      </c>
      <c r="J104" s="240">
        <v>15000000</v>
      </c>
      <c r="L104" s="468">
        <v>5000000</v>
      </c>
    </row>
    <row r="105" spans="1:24" ht="15" x14ac:dyDescent="0.2">
      <c r="A105" s="144">
        <v>2022</v>
      </c>
      <c r="B105" s="200" t="s">
        <v>193</v>
      </c>
      <c r="C105" s="482">
        <v>29698</v>
      </c>
      <c r="D105" s="200" t="s">
        <v>384</v>
      </c>
      <c r="E105" s="207" t="s">
        <v>694</v>
      </c>
      <c r="F105" s="567">
        <v>49527</v>
      </c>
      <c r="L105" s="468">
        <v>3000000</v>
      </c>
    </row>
    <row r="106" spans="1:24" ht="15" x14ac:dyDescent="0.2">
      <c r="A106" s="144">
        <v>2022</v>
      </c>
      <c r="B106" s="200" t="s">
        <v>194</v>
      </c>
      <c r="C106" s="482">
        <v>19137</v>
      </c>
      <c r="D106" s="200" t="s">
        <v>644</v>
      </c>
      <c r="E106" s="207"/>
      <c r="F106" s="567">
        <v>547010</v>
      </c>
      <c r="I106" s="217" t="s">
        <v>283</v>
      </c>
    </row>
    <row r="107" spans="1:24" ht="15" x14ac:dyDescent="0.2">
      <c r="A107" s="144">
        <v>2022</v>
      </c>
      <c r="B107" s="200" t="s">
        <v>195</v>
      </c>
      <c r="C107" s="482">
        <v>12244</v>
      </c>
      <c r="D107" s="200" t="s">
        <v>644</v>
      </c>
      <c r="E107" s="207"/>
      <c r="F107" s="567">
        <v>1241424</v>
      </c>
      <c r="I107" s="158"/>
      <c r="J107" s="230" t="s">
        <v>284</v>
      </c>
      <c r="K107" s="235"/>
      <c r="L107" s="235"/>
      <c r="M107" s="235"/>
      <c r="N107" s="236"/>
      <c r="O107" s="230" t="s">
        <v>285</v>
      </c>
      <c r="P107" s="235"/>
      <c r="Q107" s="235"/>
      <c r="R107" s="235"/>
      <c r="S107" s="236"/>
      <c r="T107" s="230" t="s">
        <v>373</v>
      </c>
      <c r="U107" s="235"/>
      <c r="V107" s="235"/>
      <c r="W107" s="235"/>
      <c r="X107" s="236"/>
    </row>
    <row r="108" spans="1:24" x14ac:dyDescent="0.2">
      <c r="E108" s="207"/>
      <c r="F108" s="208"/>
      <c r="I108" s="158"/>
      <c r="J108" s="237">
        <v>0.50009999999999999</v>
      </c>
      <c r="K108" s="237">
        <v>0.60009999999999997</v>
      </c>
      <c r="L108" s="237">
        <v>0.70009999999999994</v>
      </c>
      <c r="M108" s="237">
        <v>0.80010000000000003</v>
      </c>
      <c r="N108" s="238">
        <v>0.90010000000000001</v>
      </c>
      <c r="O108" s="237">
        <v>0.50009999999999999</v>
      </c>
      <c r="P108" s="237">
        <v>0.60009999999999997</v>
      </c>
      <c r="Q108" s="237">
        <v>0.70009999999999994</v>
      </c>
      <c r="R108" s="237">
        <v>0.80010000000000003</v>
      </c>
      <c r="S108" s="238">
        <v>0.90010000000000001</v>
      </c>
      <c r="T108" s="237">
        <v>0.50009999999999999</v>
      </c>
      <c r="U108" s="237">
        <v>0.60009999999999997</v>
      </c>
      <c r="V108" s="237">
        <v>0.70009999999999994</v>
      </c>
      <c r="W108" s="237">
        <v>0.80010000000000003</v>
      </c>
      <c r="X108" s="238">
        <v>0.90010000000000001</v>
      </c>
    </row>
    <row r="109" spans="1:24" x14ac:dyDescent="0.2">
      <c r="E109" s="207"/>
      <c r="F109" s="208"/>
      <c r="I109" s="562" t="str">
        <f>B3</f>
        <v>Приобретение готового жилья</v>
      </c>
      <c r="J109" s="563">
        <f>IF('Калькулятор_от дохода'!$P$31="да",3500000,50000000)</f>
        <v>50000000</v>
      </c>
      <c r="K109" s="563">
        <f>IF('Калькулятор_от дохода'!$P$31="да",3500000,50000000)</f>
        <v>50000000</v>
      </c>
      <c r="L109" s="563">
        <f>IF('Калькулятор_от дохода'!$P$31="да",3500000,50000000)</f>
        <v>50000000</v>
      </c>
      <c r="M109" s="563">
        <f>IF('Калькулятор_от дохода'!$P$31="да",3500000,50000000)</f>
        <v>50000000</v>
      </c>
      <c r="N109" s="563">
        <f>IF('Калькулятор_от дохода'!$P$31="да",3500000,50000000)</f>
        <v>50000000</v>
      </c>
      <c r="O109" s="563">
        <f>IF('Калькулятор_от дохода'!$P$31="да",1500000,30000000)</f>
        <v>30000000</v>
      </c>
      <c r="P109" s="563">
        <f>IF('Калькулятор_от дохода'!$P$31="да",1500000,30000000)</f>
        <v>30000000</v>
      </c>
      <c r="Q109" s="563">
        <f>IF('Калькулятор_от дохода'!$P$31="да",1500000,30000000)</f>
        <v>30000000</v>
      </c>
      <c r="R109" s="563">
        <f>IF('Калькулятор_от дохода'!$P$31="да",1500000,30000000)</f>
        <v>30000000</v>
      </c>
      <c r="S109" s="563">
        <f>IF('Калькулятор_от дохода'!$P$31="да",1500000,30000000)</f>
        <v>30000000</v>
      </c>
      <c r="T109" s="563">
        <f>IF('Калькулятор_от дохода'!$P$31="да",3500000,50000000)</f>
        <v>50000000</v>
      </c>
      <c r="U109" s="563">
        <f>IF('Калькулятор_от дохода'!$P$31="да",3500000,50000000)</f>
        <v>50000000</v>
      </c>
      <c r="V109" s="563">
        <f>IF('Калькулятор_от дохода'!$P$31="да",3500000,50000000)</f>
        <v>50000000</v>
      </c>
      <c r="W109" s="563">
        <f>IF('Калькулятор_от дохода'!$P$31="да",3500000,50000000)</f>
        <v>50000000</v>
      </c>
      <c r="X109" s="563">
        <f>IF('Калькулятор_от дохода'!$P$31="да",3500000,50000000)</f>
        <v>50000000</v>
      </c>
    </row>
    <row r="110" spans="1:24" x14ac:dyDescent="0.2">
      <c r="E110" s="207"/>
      <c r="F110" s="208"/>
      <c r="I110" s="562" t="str">
        <f>B4</f>
        <v>Приобретение жилья на этапе строительства</v>
      </c>
      <c r="J110" s="563">
        <f>IF('Калькулятор_от дохода'!$P$31="да",3500000,(IF('Калькулятор_от дохода'!$P$21="да",50000000,50000000)))</f>
        <v>50000000</v>
      </c>
      <c r="K110" s="563">
        <f>IF('Калькулятор_от дохода'!$P$31="да",3500000,(IF('Калькулятор_от дохода'!$P$21="да",50000000,50000000)))</f>
        <v>50000000</v>
      </c>
      <c r="L110" s="563">
        <f>IF('Калькулятор_от дохода'!$P$31="да",3500000,(IF('Калькулятор_от дохода'!$P$21="да",50000000,50000000)))</f>
        <v>50000000</v>
      </c>
      <c r="M110" s="563">
        <f>IF('Калькулятор_от дохода'!$P$31="да",3500000,(IF('Калькулятор_от дохода'!$P$21="да",50000000,50000000)))</f>
        <v>50000000</v>
      </c>
      <c r="N110" s="563">
        <f>IF('Калькулятор_от дохода'!$P$31="да",3500000,(IF('Калькулятор_от дохода'!$P$21="да",50000000,50000000)))</f>
        <v>50000000</v>
      </c>
      <c r="O110" s="563">
        <f>IF('Калькулятор_от дохода'!$P$31="да",1500000,30000000)</f>
        <v>30000000</v>
      </c>
      <c r="P110" s="563">
        <f>IF('Калькулятор_от дохода'!$P$31="да",1500000,30000000)</f>
        <v>30000000</v>
      </c>
      <c r="Q110" s="563">
        <f>IF('Калькулятор_от дохода'!$P$31="да",1500000,30000000)</f>
        <v>30000000</v>
      </c>
      <c r="R110" s="563">
        <f>IF('Калькулятор_от дохода'!$P$31="да",1500000,30000000)</f>
        <v>30000000</v>
      </c>
      <c r="S110" s="563">
        <f>IF('Калькулятор_от дохода'!$P$31="да",1500000,30000000)</f>
        <v>30000000</v>
      </c>
      <c r="T110" s="563">
        <f>IF('Калькулятор_от дохода'!$P$31="да",3500000,(IF('Калькулятор_от дохода'!$P$21="да",50000000,50000000)))</f>
        <v>50000000</v>
      </c>
      <c r="U110" s="563">
        <f>IF('Калькулятор_от дохода'!$P$31="да",3500000,(IF('Калькулятор_от дохода'!$P$21="да",50000000,50000000)))</f>
        <v>50000000</v>
      </c>
      <c r="V110" s="563">
        <f>IF('Калькулятор_от дохода'!$P$31="да",3500000,(IF('Калькулятор_от дохода'!$P$21="да",50000000,50000000)))</f>
        <v>50000000</v>
      </c>
      <c r="W110" s="563">
        <f>IF('Калькулятор_от дохода'!$P$31="да",3500000,(IF('Калькулятор_от дохода'!$P$21="да",50000000,50000000)))</f>
        <v>50000000</v>
      </c>
      <c r="X110" s="563">
        <f>IF('Калькулятор_от дохода'!$P$31="да",3500000,(IF('Калькулятор_от дохода'!$P$21="да",50000000,50000000)))</f>
        <v>50000000</v>
      </c>
    </row>
    <row r="111" spans="1:24" x14ac:dyDescent="0.2">
      <c r="E111" s="208"/>
      <c r="F111" s="208"/>
      <c r="I111" s="562" t="str">
        <f>B5</f>
        <v>Семейная ипотека с гос.поддержкой</v>
      </c>
      <c r="J111" s="563">
        <v>30000000</v>
      </c>
      <c r="K111" s="563">
        <v>30000000</v>
      </c>
      <c r="L111" s="563">
        <v>30000000</v>
      </c>
      <c r="M111" s="563">
        <v>30000000</v>
      </c>
      <c r="N111" s="563">
        <v>30000000</v>
      </c>
      <c r="O111" s="563">
        <v>15000000</v>
      </c>
      <c r="P111" s="563">
        <v>15000000</v>
      </c>
      <c r="Q111" s="563">
        <v>15000000</v>
      </c>
      <c r="R111" s="563">
        <v>15000000</v>
      </c>
      <c r="S111" s="563">
        <v>15000000</v>
      </c>
      <c r="T111" s="563">
        <v>30000000</v>
      </c>
      <c r="U111" s="563">
        <v>30000000</v>
      </c>
      <c r="V111" s="563">
        <v>30000000</v>
      </c>
      <c r="W111" s="563">
        <v>30000000</v>
      </c>
      <c r="X111" s="563">
        <v>30000000</v>
      </c>
    </row>
    <row r="112" spans="1:24" x14ac:dyDescent="0.2">
      <c r="E112" s="239"/>
      <c r="F112" s="208"/>
      <c r="I112" s="562" t="str">
        <f>B6</f>
        <v>Целевой кредит под залог имеющейся квартиры</v>
      </c>
      <c r="J112" s="563">
        <v>30000000</v>
      </c>
      <c r="K112" s="563">
        <v>30000000</v>
      </c>
      <c r="L112" s="563">
        <v>30000000</v>
      </c>
      <c r="M112" s="563">
        <v>30000000</v>
      </c>
      <c r="N112" s="563">
        <v>30000000</v>
      </c>
      <c r="O112" s="563">
        <v>15000000</v>
      </c>
      <c r="P112" s="563">
        <v>15000000</v>
      </c>
      <c r="Q112" s="563">
        <v>15000000</v>
      </c>
      <c r="R112" s="563">
        <v>15000000</v>
      </c>
      <c r="S112" s="563">
        <v>15000000</v>
      </c>
      <c r="T112" s="563">
        <v>30000000</v>
      </c>
      <c r="U112" s="563">
        <v>30000000</v>
      </c>
      <c r="V112" s="563">
        <v>30000000</v>
      </c>
      <c r="W112" s="563">
        <v>30000000</v>
      </c>
      <c r="X112" s="563">
        <v>30000000</v>
      </c>
    </row>
    <row r="113" spans="5:24" x14ac:dyDescent="0.2">
      <c r="E113" s="207"/>
      <c r="F113" s="208"/>
      <c r="I113" s="562" t="str">
        <f>B7</f>
        <v>Перекредитование</v>
      </c>
      <c r="J113" s="563">
        <f>IF('Калькулятор_от дохода'!$P$31="да",3500000,30000000)</f>
        <v>30000000</v>
      </c>
      <c r="K113" s="563">
        <f>IF('Калькулятор_от дохода'!$P$31="да",3500000,30000000)</f>
        <v>30000000</v>
      </c>
      <c r="L113" s="563">
        <f>IF('Калькулятор_от дохода'!$P$31="да",3500000,30000000)</f>
        <v>30000000</v>
      </c>
      <c r="M113" s="563">
        <f>IF('Калькулятор_от дохода'!$P$31="да",3500000,30000000)</f>
        <v>30000000</v>
      </c>
      <c r="N113" s="563">
        <f>IF('Калькулятор_от дохода'!$P$31="да",3500000,30000000)</f>
        <v>30000000</v>
      </c>
      <c r="O113" s="563">
        <f>IF('Калькулятор_от дохода'!$P$31="да",1500000,15000000)</f>
        <v>15000000</v>
      </c>
      <c r="P113" s="563">
        <f>IF('Калькулятор_от дохода'!$P$31="да",1500000,15000000)</f>
        <v>15000000</v>
      </c>
      <c r="Q113" s="563">
        <f>IF('Калькулятор_от дохода'!$P$31="да",1500000,15000000)</f>
        <v>15000000</v>
      </c>
      <c r="R113" s="563">
        <f>IF('Калькулятор_от дохода'!$P$31="да",1500000,15000000)</f>
        <v>15000000</v>
      </c>
      <c r="S113" s="563">
        <f>IF('Калькулятор_от дохода'!$P$31="да",1500000,15000000)</f>
        <v>15000000</v>
      </c>
      <c r="T113" s="563">
        <f>IF('Калькулятор_от дохода'!$P$31="да",3500000,30000000)</f>
        <v>30000000</v>
      </c>
      <c r="U113" s="563">
        <f>IF('Калькулятор_от дохода'!$P$31="да",3500000,30000000)</f>
        <v>30000000</v>
      </c>
      <c r="V113" s="563">
        <f>IF('Калькулятор_от дохода'!$P$31="да",3500000,30000000)</f>
        <v>30000000</v>
      </c>
      <c r="W113" s="563">
        <f>IF('Калькулятор_от дохода'!$P$31="да",3500000,30000000)</f>
        <v>30000000</v>
      </c>
      <c r="X113" s="563">
        <f>IF('Калькулятор_от дохода'!$P$31="да",3500000,30000000)</f>
        <v>30000000</v>
      </c>
    </row>
    <row r="114" spans="5:24" x14ac:dyDescent="0.2">
      <c r="E114" s="146"/>
      <c r="F114" s="146"/>
      <c r="H114" s="234" t="s">
        <v>286</v>
      </c>
      <c r="I114" s="232" t="s">
        <v>595</v>
      </c>
      <c r="J114" s="563">
        <v>30000000</v>
      </c>
      <c r="K114" s="563">
        <v>30000000</v>
      </c>
      <c r="L114" s="563">
        <v>30000000</v>
      </c>
      <c r="M114" s="563">
        <v>30000000</v>
      </c>
      <c r="N114" s="563">
        <v>30000000</v>
      </c>
      <c r="O114" s="563">
        <v>10000000</v>
      </c>
      <c r="P114" s="563">
        <v>10000000</v>
      </c>
      <c r="Q114" s="563">
        <v>10000000</v>
      </c>
      <c r="R114" s="563">
        <v>10000000</v>
      </c>
      <c r="S114" s="563">
        <v>10000000</v>
      </c>
      <c r="T114" s="563">
        <v>30000000</v>
      </c>
      <c r="U114" s="563">
        <v>30000000</v>
      </c>
      <c r="V114" s="563">
        <v>30000000</v>
      </c>
      <c r="W114" s="563">
        <v>30000000</v>
      </c>
      <c r="X114" s="563">
        <v>30000000</v>
      </c>
    </row>
    <row r="115" spans="5:24" x14ac:dyDescent="0.2">
      <c r="I115" s="561" t="s">
        <v>596</v>
      </c>
      <c r="J115" s="563">
        <v>30000000</v>
      </c>
      <c r="K115" s="563">
        <v>30000000</v>
      </c>
      <c r="L115" s="563">
        <v>30000000</v>
      </c>
      <c r="M115" s="563">
        <v>30000000</v>
      </c>
      <c r="N115" s="563">
        <v>30000000</v>
      </c>
      <c r="O115" s="563">
        <v>10000000</v>
      </c>
      <c r="P115" s="563">
        <v>10000000</v>
      </c>
      <c r="Q115" s="563">
        <v>10000000</v>
      </c>
      <c r="R115" s="563">
        <v>10000000</v>
      </c>
      <c r="S115" s="563">
        <v>10000000</v>
      </c>
      <c r="T115" s="563">
        <v>30000000</v>
      </c>
      <c r="U115" s="563">
        <v>30000000</v>
      </c>
      <c r="V115" s="563">
        <v>30000000</v>
      </c>
      <c r="W115" s="563">
        <v>30000000</v>
      </c>
      <c r="X115" s="563">
        <v>30000000</v>
      </c>
    </row>
    <row r="116" spans="5:24" x14ac:dyDescent="0.2">
      <c r="I116" s="561" t="str">
        <f>B10</f>
        <v>Дальневосточная ипотека</v>
      </c>
      <c r="J116" s="563">
        <v>6000000</v>
      </c>
      <c r="K116" s="563">
        <v>6000000</v>
      </c>
      <c r="L116" s="563">
        <v>6000000</v>
      </c>
      <c r="M116" s="563">
        <v>6000000</v>
      </c>
      <c r="N116" s="563">
        <v>6000000</v>
      </c>
      <c r="O116" s="563">
        <v>6000000</v>
      </c>
      <c r="P116" s="563">
        <v>6000000</v>
      </c>
      <c r="Q116" s="563">
        <v>6000000</v>
      </c>
      <c r="R116" s="563">
        <v>6000000</v>
      </c>
      <c r="S116" s="563">
        <v>6000000</v>
      </c>
      <c r="T116" s="563">
        <v>6000000</v>
      </c>
      <c r="U116" s="563">
        <v>6000000</v>
      </c>
      <c r="V116" s="563">
        <v>6000000</v>
      </c>
      <c r="W116" s="563">
        <v>6000000</v>
      </c>
      <c r="X116" s="563">
        <v>6000000</v>
      </c>
    </row>
    <row r="117" spans="5:24" x14ac:dyDescent="0.2">
      <c r="I117" s="561" t="s">
        <v>648</v>
      </c>
      <c r="J117" s="563">
        <v>6000000</v>
      </c>
      <c r="K117" s="563">
        <v>6000000</v>
      </c>
      <c r="L117" s="563">
        <v>6000000</v>
      </c>
      <c r="M117" s="563">
        <v>6000000</v>
      </c>
      <c r="N117" s="563">
        <v>6000000</v>
      </c>
      <c r="O117" s="563">
        <v>6000000</v>
      </c>
      <c r="P117" s="563">
        <v>6000000</v>
      </c>
      <c r="Q117" s="563">
        <v>6000000</v>
      </c>
      <c r="R117" s="563">
        <v>6000000</v>
      </c>
      <c r="S117" s="563">
        <v>6000000</v>
      </c>
      <c r="T117" s="563">
        <v>6000000</v>
      </c>
      <c r="U117" s="563">
        <v>6000000</v>
      </c>
      <c r="V117" s="563">
        <v>6000000</v>
      </c>
      <c r="W117" s="563">
        <v>6000000</v>
      </c>
      <c r="X117" s="563">
        <v>6000000</v>
      </c>
    </row>
    <row r="118" spans="5:24" x14ac:dyDescent="0.2">
      <c r="I118" s="561" t="s">
        <v>705</v>
      </c>
      <c r="J118" s="563">
        <v>30000000</v>
      </c>
      <c r="K118" s="563">
        <v>30000000</v>
      </c>
      <c r="L118" s="563">
        <v>30000000</v>
      </c>
      <c r="M118" s="563">
        <v>30000000</v>
      </c>
      <c r="N118" s="563">
        <v>30000000</v>
      </c>
      <c r="O118" s="563">
        <v>15000000</v>
      </c>
      <c r="P118" s="563">
        <v>15000000</v>
      </c>
      <c r="Q118" s="563">
        <v>15000000</v>
      </c>
      <c r="R118" s="563">
        <v>15000000</v>
      </c>
      <c r="S118" s="563">
        <v>15000000</v>
      </c>
      <c r="T118" s="563">
        <v>30000000</v>
      </c>
      <c r="U118" s="563">
        <v>12000000</v>
      </c>
      <c r="V118" s="563">
        <v>12000000</v>
      </c>
      <c r="W118" s="563">
        <v>12000000</v>
      </c>
      <c r="X118" s="563">
        <v>12000000</v>
      </c>
    </row>
    <row r="119" spans="5:24" x14ac:dyDescent="0.2">
      <c r="I119" s="561" t="s">
        <v>740</v>
      </c>
      <c r="J119" s="563">
        <f>IF(VLOOKUP('Калькулятор_от дохода'!$P$11,$B$25:$F$107,5,0)&gt;1000000,18000000,9000000)</f>
        <v>18000000</v>
      </c>
      <c r="K119" s="563">
        <f>IF(VLOOKUP('Калькулятор_от дохода'!$P$11,$B$25:$F$107,5,0)&gt;1000000,18000000,9000000)</f>
        <v>18000000</v>
      </c>
      <c r="L119" s="563">
        <f>IF(VLOOKUP('Калькулятор_от дохода'!$P$11,$B$25:$F$107,5,0)&gt;1000000,18000000,9000000)</f>
        <v>18000000</v>
      </c>
      <c r="M119" s="563">
        <f>IF(VLOOKUP('Калькулятор_от дохода'!$P$11,$B$25:$F$107,5,0)&gt;1000000,18000000,9000000)</f>
        <v>18000000</v>
      </c>
      <c r="N119" s="563">
        <f>IF(VLOOKUP('Калькулятор_от дохода'!$P$11,$B$25:$F$107,5,0)&gt;1000000,18000000,9000000)</f>
        <v>18000000</v>
      </c>
      <c r="O119" s="563">
        <f>IF(VLOOKUP('Калькулятор_от дохода'!$P$11,$B$25:$F$107,5,0)&gt;1000000,18000000,9000000)</f>
        <v>18000000</v>
      </c>
      <c r="P119" s="563">
        <f>IF(VLOOKUP('Калькулятор_от дохода'!$P$11,$B$25:$F$107,5,0)&gt;1000000,18000000,9000000)</f>
        <v>18000000</v>
      </c>
      <c r="Q119" s="563">
        <f>IF(VLOOKUP('Калькулятор_от дохода'!$P$11,$B$25:$F$107,5,0)&gt;1000000,18000000,9000000)</f>
        <v>18000000</v>
      </c>
      <c r="R119" s="563">
        <f>IF(VLOOKUP('Калькулятор_от дохода'!$P$11,$B$25:$F$107,5,0)&gt;1000000,18000000,9000000)</f>
        <v>18000000</v>
      </c>
      <c r="S119" s="563">
        <f>IF(VLOOKUP('Калькулятор_от дохода'!$P$11,$B$25:$F$107,5,0)&gt;1000000,18000000,9000000)</f>
        <v>18000000</v>
      </c>
      <c r="T119" s="563">
        <f>IF(VLOOKUP('Калькулятор_от дохода'!$P$11,$B$25:$F$107,5,0)&gt;1000000,18000000,9000000)</f>
        <v>18000000</v>
      </c>
      <c r="U119" s="563">
        <f>IF(VLOOKUP('Калькулятор_от дохода'!$P$11,$B$25:$F$107,5,0)&gt;1000000,18000000,9000000)</f>
        <v>18000000</v>
      </c>
      <c r="V119" s="563">
        <f>IF(VLOOKUP('Калькулятор_от дохода'!$P$11,$B$25:$F$107,5,0)&gt;1000000,18000000,9000000)</f>
        <v>18000000</v>
      </c>
      <c r="W119" s="563">
        <f>IF(VLOOKUP('Калькулятор_от дохода'!$P$11,$B$25:$F$107,5,0)&gt;1000000,18000000,9000000)</f>
        <v>18000000</v>
      </c>
      <c r="X119" s="563">
        <f>IF(VLOOKUP('Калькулятор_от дохода'!$P$11,$B$25:$F$107,5,0)&gt;1000000,18000000,9000000)</f>
        <v>18000000</v>
      </c>
    </row>
    <row r="120" spans="5:24" x14ac:dyDescent="0.2">
      <c r="I120" s="232" t="s">
        <v>691</v>
      </c>
      <c r="J120" s="563">
        <v>0</v>
      </c>
      <c r="K120" s="563">
        <v>0</v>
      </c>
      <c r="L120" s="563">
        <v>0</v>
      </c>
      <c r="M120" s="563">
        <v>0</v>
      </c>
      <c r="N120" s="563">
        <v>0</v>
      </c>
      <c r="O120" s="563">
        <f>$O$121</f>
        <v>3000000</v>
      </c>
      <c r="P120" s="563">
        <f>$O$121</f>
        <v>3000000</v>
      </c>
      <c r="Q120" s="563">
        <f>$O$121</f>
        <v>3000000</v>
      </c>
      <c r="R120" s="563">
        <f>$O$121</f>
        <v>3000000</v>
      </c>
      <c r="S120" s="563">
        <f>$O$121</f>
        <v>3000000</v>
      </c>
      <c r="T120" s="563">
        <v>5000000</v>
      </c>
      <c r="U120" s="563">
        <v>5000000</v>
      </c>
      <c r="V120" s="563">
        <v>5000000</v>
      </c>
      <c r="W120" s="563">
        <v>5000000</v>
      </c>
      <c r="X120" s="563">
        <v>5000000</v>
      </c>
    </row>
    <row r="121" spans="5:24" x14ac:dyDescent="0.2">
      <c r="H121" s="234" t="s">
        <v>289</v>
      </c>
      <c r="O121" s="191">
        <f>IF(OR('Калькулятор_от дохода'!P11="Амурская область",'Калькулятор_от дохода'!P11="Еврейская авт.область",'Калькулятор_от дохода'!P11="Забайкальский край",'Калькулятор_от дохода'!P11="Камчатский край",'Калькулятор_от дохода'!P11="Магаданская область",'Калькулятор_от дохода'!P11="Приморский край",'Калькулятор_от дохода'!P11="Республика Бурятия",'Калькулятор_от дохода'!P11="Республика Саха (Якутия)", 'Калькулятор_от дохода'!P11="Сахалинская область",'Калькулятор_от дохода'!P11="Хабаровский край",'Калькулятор_от дохода'!P11="Чукотский авт. округ",'Калькулятор_от дохода'!P11="Ямало-Ненецкий авт.округ"), 5000000,3000000)</f>
        <v>3000000</v>
      </c>
    </row>
    <row r="123" spans="5:24" x14ac:dyDescent="0.2">
      <c r="I123" s="144" t="s">
        <v>287</v>
      </c>
      <c r="J123" s="311"/>
      <c r="K123" s="311"/>
      <c r="L123" s="311" t="s">
        <v>642</v>
      </c>
      <c r="M123" s="311"/>
      <c r="N123" s="144" t="s">
        <v>649</v>
      </c>
    </row>
    <row r="124" spans="5:24" x14ac:dyDescent="0.2">
      <c r="I124" s="158" t="s">
        <v>238</v>
      </c>
      <c r="J124" s="224" t="s">
        <v>288</v>
      </c>
      <c r="K124" s="311"/>
      <c r="L124" s="311"/>
      <c r="M124" s="311"/>
      <c r="N124" s="144" t="s">
        <v>650</v>
      </c>
      <c r="O124" s="171"/>
    </row>
    <row r="125" spans="5:24" x14ac:dyDescent="0.2">
      <c r="H125" s="234" t="s">
        <v>292</v>
      </c>
      <c r="I125" s="158" t="str">
        <f>IFERROR(VLOOKUP('Расчет по доходу заемщика'!$E$3,'Справочники и промежут.расчет'!$I$4:$J$7,2,0),'Расчет по доходу заемщика'!$E$3)</f>
        <v>Москва</v>
      </c>
      <c r="J125" s="472">
        <f>IF(OR(I125="Москва",I125="МО",I125="С.Петербург",I125="ЛО"),J103,J104)</f>
        <v>30000000</v>
      </c>
      <c r="K125" s="311"/>
      <c r="L125" s="473">
        <f>IF(OR(I125="Москва",I125="МО"),L103,IF(OR(I125="С.Петербург",I125="ЛО"),L104,L105))</f>
        <v>8000000</v>
      </c>
      <c r="M125" s="311"/>
      <c r="N125" s="485">
        <v>50000000</v>
      </c>
      <c r="O125" s="171"/>
    </row>
    <row r="126" spans="5:24" x14ac:dyDescent="0.2">
      <c r="J126" s="311"/>
      <c r="K126" s="311"/>
      <c r="L126" s="311"/>
      <c r="M126" s="311"/>
      <c r="O126" s="171"/>
    </row>
    <row r="127" spans="5:24" ht="15" x14ac:dyDescent="0.25">
      <c r="R127"/>
    </row>
    <row r="128" spans="5:24" ht="15" x14ac:dyDescent="0.25">
      <c r="I128"/>
      <c r="R128"/>
    </row>
    <row r="129" spans="8:18" ht="15" x14ac:dyDescent="0.25">
      <c r="H129" s="144">
        <v>12</v>
      </c>
      <c r="I129" s="144" t="s">
        <v>290</v>
      </c>
      <c r="Q129" s="469"/>
      <c r="R129"/>
    </row>
    <row r="130" spans="8:18" ht="15" x14ac:dyDescent="0.25">
      <c r="I130" s="230" t="s">
        <v>238</v>
      </c>
      <c r="J130" s="231" t="s">
        <v>64</v>
      </c>
      <c r="K130" s="241"/>
      <c r="L130" s="236" t="s">
        <v>248</v>
      </c>
      <c r="M130" s="224" t="s">
        <v>291</v>
      </c>
      <c r="N130" s="158" t="s">
        <v>276</v>
      </c>
      <c r="O130" s="224" t="s">
        <v>277</v>
      </c>
      <c r="P130" s="224"/>
      <c r="Q130" s="470" t="s">
        <v>288</v>
      </c>
      <c r="R130"/>
    </row>
    <row r="131" spans="8:18" ht="15" x14ac:dyDescent="0.25">
      <c r="I131" s="230" t="str">
        <f>IFERROR(VLOOKUP('Расчет по доходу заемщика'!$E$3,'Справочники и промежут.расчет'!$I$4:$J$7,2,0),"Иное")</f>
        <v>Москва</v>
      </c>
      <c r="J131" s="233" t="str">
        <f>'Расчет по доходу заемщика'!$E$2</f>
        <v>Приобретение жилья на этапе строительства</v>
      </c>
      <c r="K131" s="236"/>
      <c r="L131" s="222">
        <f>1-'Расчет по доходу заемщика'!$E$27</f>
        <v>0.84989999999999999</v>
      </c>
      <c r="M131" s="158" t="str">
        <f>IF(OR($I$131=$J$5,$I$131=$J$6,$I$131=$J$4),"Москва",IF($I$131=$J$7,"ЛО","Иное"))</f>
        <v>Москва</v>
      </c>
      <c r="N131" s="164">
        <f>MATCH($J$131,$I$109:$I$120,0)</f>
        <v>2</v>
      </c>
      <c r="O131" s="164">
        <f>IFERROR(MATCH($L$131,$J$108:$N$108),0)+1</f>
        <v>5</v>
      </c>
      <c r="P131" s="164"/>
      <c r="Q131" s="471">
        <f>INDEX(IF(M131="ЛО",T109:X120,IF(M131="Москва",J109:N120,O109:S120)),N131,O131)</f>
        <v>50000000</v>
      </c>
      <c r="R131"/>
    </row>
    <row r="132" spans="8:18" ht="15" x14ac:dyDescent="0.25">
      <c r="H132" s="144">
        <v>13</v>
      </c>
      <c r="Q132" s="469"/>
      <c r="R132"/>
    </row>
    <row r="133" spans="8:18" ht="15" x14ac:dyDescent="0.25">
      <c r="R133"/>
    </row>
    <row r="134" spans="8:18" ht="15" x14ac:dyDescent="0.25">
      <c r="H134" s="144">
        <v>14</v>
      </c>
      <c r="I134" s="144" t="s">
        <v>293</v>
      </c>
      <c r="R134"/>
    </row>
    <row r="135" spans="8:18" x14ac:dyDescent="0.2">
      <c r="I135" s="158" t="s">
        <v>64</v>
      </c>
      <c r="J135" s="474" t="s">
        <v>294</v>
      </c>
    </row>
    <row r="136" spans="8:18" x14ac:dyDescent="0.2">
      <c r="I136" s="233" t="str">
        <f>'Расчет по доходу заемщика'!$E$2</f>
        <v>Приобретение жилья на этапе строительства</v>
      </c>
      <c r="J136" s="475" t="b">
        <f>IF($I$136=$B$5,$Q$131)</f>
        <v>0</v>
      </c>
    </row>
    <row r="137" spans="8:18" x14ac:dyDescent="0.2">
      <c r="H137" s="144">
        <v>15</v>
      </c>
    </row>
    <row r="138" spans="8:18" x14ac:dyDescent="0.2">
      <c r="I138" s="158" t="s">
        <v>295</v>
      </c>
    </row>
    <row r="139" spans="8:18" x14ac:dyDescent="0.2">
      <c r="I139" s="221">
        <v>500000</v>
      </c>
    </row>
    <row r="141" spans="8:18" x14ac:dyDescent="0.2">
      <c r="H141" s="144">
        <v>16</v>
      </c>
      <c r="I141" s="158" t="s">
        <v>210</v>
      </c>
    </row>
    <row r="142" spans="8:18" x14ac:dyDescent="0.2">
      <c r="I142" s="158">
        <v>30</v>
      </c>
    </row>
    <row r="143" spans="8:18" x14ac:dyDescent="0.2">
      <c r="I143" s="158" t="s">
        <v>296</v>
      </c>
    </row>
    <row r="144" spans="8:18" x14ac:dyDescent="0.2">
      <c r="I144" s="158">
        <v>65</v>
      </c>
    </row>
    <row r="146" spans="8:22" x14ac:dyDescent="0.2">
      <c r="I146" s="158" t="s">
        <v>297</v>
      </c>
    </row>
    <row r="147" spans="8:22" x14ac:dyDescent="0.2">
      <c r="H147" s="144">
        <v>17</v>
      </c>
      <c r="I147" s="158">
        <v>0.25</v>
      </c>
    </row>
    <row r="149" spans="8:22" x14ac:dyDescent="0.2">
      <c r="I149" s="158" t="s">
        <v>298</v>
      </c>
      <c r="J149" s="158">
        <f>IF(AND('Калькулятор_от дохода'!$P$39="да",OR('Калькулятор_от дохода'!$P$13=$B$4,'Калькулятор_от дохода'!$P$13=$B$7,'Калькулятор_от дохода'!$P$13=$B$3)),I151,J151)</f>
        <v>1</v>
      </c>
    </row>
    <row r="150" spans="8:22" x14ac:dyDescent="0.2">
      <c r="I150" s="158" t="s">
        <v>299</v>
      </c>
      <c r="J150" s="158" t="s">
        <v>300</v>
      </c>
    </row>
    <row r="151" spans="8:22" x14ac:dyDescent="0.2">
      <c r="H151" s="144">
        <v>18</v>
      </c>
      <c r="I151" s="158">
        <v>0.95</v>
      </c>
      <c r="J151" s="158">
        <v>1</v>
      </c>
    </row>
    <row r="153" spans="8:22" x14ac:dyDescent="0.2">
      <c r="I153" s="144" t="s">
        <v>77</v>
      </c>
    </row>
    <row r="154" spans="8:22" x14ac:dyDescent="0.2">
      <c r="I154" s="144" t="str">
        <f>IF(AND('Калькулятор_от дохода'!$P$73='Калькулятор_от дохода'!$V$171,'Калькулятор_от дохода'!$R$69='Калькулятор_от дохода'!$V$171,'Калькулятор_от дохода'!$T$69='Калькулятор_от дохода'!$V$171,'Калькулятор_от дохода'!$V$69='Калькулятор_от дохода'!$V$171),'Калькулятор_от дохода'!V171,"Иное")</f>
        <v>Работа по найму</v>
      </c>
    </row>
    <row r="155" spans="8:22" x14ac:dyDescent="0.2">
      <c r="H155" s="234" t="s">
        <v>362</v>
      </c>
    </row>
    <row r="157" spans="8:22" ht="18.75" x14ac:dyDescent="0.3">
      <c r="I157" s="271" t="s">
        <v>357</v>
      </c>
      <c r="J157" s="271"/>
      <c r="K157" s="271"/>
      <c r="L157" s="271"/>
      <c r="M157" s="271"/>
      <c r="N157"/>
      <c r="O157"/>
    </row>
    <row r="158" spans="8:22" ht="38.25" x14ac:dyDescent="0.2">
      <c r="I158" s="272"/>
      <c r="J158" s="478" t="s">
        <v>65</v>
      </c>
      <c r="K158" s="478" t="s">
        <v>101</v>
      </c>
      <c r="L158" s="478" t="s">
        <v>391</v>
      </c>
      <c r="M158" s="478" t="s">
        <v>102</v>
      </c>
      <c r="N158" s="478" t="s">
        <v>103</v>
      </c>
      <c r="O158" s="478" t="s">
        <v>358</v>
      </c>
      <c r="P158" s="478" t="s">
        <v>595</v>
      </c>
      <c r="Q158" s="478" t="s">
        <v>596</v>
      </c>
      <c r="R158" s="478" t="str">
        <f>B10</f>
        <v>Дальневосточная ипотека</v>
      </c>
      <c r="S158" s="478" t="str">
        <f>B11</f>
        <v>Льготная ипотека на новостройки</v>
      </c>
      <c r="T158" s="478" t="s">
        <v>705</v>
      </c>
      <c r="U158" s="478" t="s">
        <v>740</v>
      </c>
      <c r="V158" s="478" t="str">
        <f>U35</f>
        <v>Сельская ипотека</v>
      </c>
    </row>
    <row r="159" spans="8:22" ht="20.25" x14ac:dyDescent="0.2">
      <c r="H159" s="534"/>
      <c r="I159" s="273" t="s">
        <v>359</v>
      </c>
      <c r="J159" s="546">
        <v>0</v>
      </c>
      <c r="K159" s="546">
        <v>0</v>
      </c>
      <c r="L159" s="546">
        <v>0</v>
      </c>
      <c r="M159" s="546">
        <v>0</v>
      </c>
      <c r="N159" s="546">
        <v>0</v>
      </c>
      <c r="O159" s="546">
        <v>0</v>
      </c>
      <c r="P159" s="546">
        <v>0</v>
      </c>
      <c r="Q159" s="546">
        <v>0</v>
      </c>
      <c r="R159" s="546">
        <v>0</v>
      </c>
      <c r="S159" s="546">
        <v>0</v>
      </c>
      <c r="T159" s="546">
        <v>0</v>
      </c>
      <c r="U159" s="546">
        <v>0</v>
      </c>
      <c r="V159" s="546">
        <v>0</v>
      </c>
    </row>
    <row r="160" spans="8:22" ht="20.25" x14ac:dyDescent="0.2">
      <c r="H160" s="534"/>
      <c r="I160" s="273" t="s">
        <v>360</v>
      </c>
      <c r="J160" s="546">
        <v>0</v>
      </c>
      <c r="K160" s="546">
        <v>0</v>
      </c>
      <c r="L160" s="546">
        <v>0</v>
      </c>
      <c r="M160" s="546">
        <v>0</v>
      </c>
      <c r="N160" s="546">
        <v>0</v>
      </c>
      <c r="O160" s="546">
        <v>0</v>
      </c>
      <c r="P160" s="546">
        <v>0</v>
      </c>
      <c r="Q160" s="546">
        <v>0</v>
      </c>
      <c r="R160" s="546">
        <v>0</v>
      </c>
      <c r="S160" s="546">
        <v>0</v>
      </c>
      <c r="T160" s="546">
        <v>0</v>
      </c>
      <c r="U160" s="546">
        <v>0</v>
      </c>
      <c r="V160" s="546">
        <v>0</v>
      </c>
    </row>
    <row r="161" spans="8:22" ht="20.25" x14ac:dyDescent="0.2">
      <c r="H161" s="534"/>
      <c r="I161" s="273" t="s">
        <v>58</v>
      </c>
      <c r="J161" s="546">
        <v>0</v>
      </c>
      <c r="K161" s="546">
        <v>0</v>
      </c>
      <c r="L161" s="546">
        <v>0</v>
      </c>
      <c r="M161" s="546">
        <v>0</v>
      </c>
      <c r="N161" s="546">
        <v>0</v>
      </c>
      <c r="O161" s="546">
        <v>0</v>
      </c>
      <c r="P161" s="546">
        <v>0</v>
      </c>
      <c r="Q161" s="546">
        <v>0</v>
      </c>
      <c r="R161" s="546">
        <v>0</v>
      </c>
      <c r="S161" s="546">
        <v>0</v>
      </c>
      <c r="T161" s="546">
        <v>0</v>
      </c>
      <c r="U161" s="546">
        <v>0</v>
      </c>
      <c r="V161" s="546">
        <v>0</v>
      </c>
    </row>
    <row r="162" spans="8:22" ht="20.25" x14ac:dyDescent="0.2">
      <c r="H162" s="534"/>
      <c r="I162" s="273" t="s">
        <v>345</v>
      </c>
      <c r="J162" s="546">
        <v>0</v>
      </c>
      <c r="K162" s="546">
        <v>0</v>
      </c>
      <c r="L162" s="546">
        <v>0</v>
      </c>
      <c r="M162" s="546">
        <v>0</v>
      </c>
      <c r="N162" s="546">
        <v>0</v>
      </c>
      <c r="O162" s="546">
        <v>0</v>
      </c>
      <c r="P162" s="546">
        <v>0</v>
      </c>
      <c r="Q162" s="546">
        <v>0</v>
      </c>
      <c r="R162" s="546">
        <v>0</v>
      </c>
      <c r="S162" s="546">
        <v>0</v>
      </c>
      <c r="T162" s="546">
        <v>0</v>
      </c>
      <c r="U162" s="546">
        <v>0</v>
      </c>
      <c r="V162" s="546">
        <v>0</v>
      </c>
    </row>
    <row r="163" spans="8:22" ht="20.25" x14ac:dyDescent="0.2">
      <c r="H163" s="534"/>
      <c r="I163" s="273" t="s">
        <v>382</v>
      </c>
      <c r="J163" s="546">
        <v>0</v>
      </c>
      <c r="K163" s="546">
        <v>0</v>
      </c>
      <c r="L163" s="546">
        <v>0</v>
      </c>
      <c r="M163" s="546">
        <v>0</v>
      </c>
      <c r="N163" s="546">
        <v>0</v>
      </c>
      <c r="O163" s="546">
        <v>0</v>
      </c>
      <c r="P163" s="546">
        <v>0</v>
      </c>
      <c r="Q163" s="546">
        <v>0</v>
      </c>
      <c r="R163" s="546">
        <v>0</v>
      </c>
      <c r="S163" s="546">
        <v>0</v>
      </c>
      <c r="T163" s="546">
        <v>0</v>
      </c>
      <c r="U163" s="546">
        <v>0</v>
      </c>
      <c r="V163" s="546">
        <v>0</v>
      </c>
    </row>
    <row r="164" spans="8:22" ht="20.25" x14ac:dyDescent="0.2">
      <c r="H164" s="534" t="s">
        <v>713</v>
      </c>
      <c r="I164" s="273" t="s">
        <v>386</v>
      </c>
      <c r="J164" s="476">
        <v>1</v>
      </c>
      <c r="K164" s="476">
        <v>1</v>
      </c>
      <c r="L164" s="476">
        <v>1</v>
      </c>
      <c r="M164" s="476">
        <v>1</v>
      </c>
      <c r="N164" s="476">
        <v>1</v>
      </c>
      <c r="O164" s="476">
        <v>-1</v>
      </c>
      <c r="P164" s="476">
        <v>1</v>
      </c>
      <c r="Q164" s="476">
        <v>1</v>
      </c>
      <c r="R164" s="476">
        <v>1</v>
      </c>
      <c r="S164" s="476">
        <v>1</v>
      </c>
      <c r="T164" s="476">
        <v>1</v>
      </c>
      <c r="U164" s="476">
        <v>-1</v>
      </c>
      <c r="V164" s="476">
        <v>1</v>
      </c>
    </row>
    <row r="165" spans="8:22" ht="20.25" x14ac:dyDescent="0.2">
      <c r="H165" s="534"/>
      <c r="I165" s="273" t="s">
        <v>409</v>
      </c>
      <c r="J165" s="546">
        <v>0</v>
      </c>
      <c r="K165" s="546">
        <v>0</v>
      </c>
      <c r="L165" s="546">
        <v>0</v>
      </c>
      <c r="M165" s="546">
        <v>0</v>
      </c>
      <c r="N165" s="546">
        <v>0</v>
      </c>
      <c r="O165" s="546">
        <v>0</v>
      </c>
      <c r="P165" s="546">
        <v>0</v>
      </c>
      <c r="Q165" s="546">
        <v>0</v>
      </c>
      <c r="R165" s="546">
        <v>0</v>
      </c>
      <c r="S165" s="546">
        <v>0</v>
      </c>
      <c r="T165" s="546">
        <v>0</v>
      </c>
      <c r="U165" s="546">
        <v>0</v>
      </c>
      <c r="V165" s="546">
        <v>0</v>
      </c>
    </row>
    <row r="166" spans="8:22" ht="20.25" x14ac:dyDescent="0.2">
      <c r="H166" s="534"/>
      <c r="I166" s="273" t="s">
        <v>598</v>
      </c>
      <c r="J166" s="546">
        <v>0</v>
      </c>
      <c r="K166" s="546">
        <v>0</v>
      </c>
      <c r="L166" s="546">
        <v>0</v>
      </c>
      <c r="M166" s="546">
        <v>0</v>
      </c>
      <c r="N166" s="546">
        <v>0</v>
      </c>
      <c r="O166" s="546">
        <v>0</v>
      </c>
      <c r="P166" s="546">
        <v>0</v>
      </c>
      <c r="Q166" s="546">
        <v>0</v>
      </c>
      <c r="R166" s="546">
        <v>0</v>
      </c>
      <c r="S166" s="546">
        <v>0</v>
      </c>
      <c r="T166" s="546">
        <v>0</v>
      </c>
      <c r="U166" s="546">
        <v>0</v>
      </c>
      <c r="V166" s="546">
        <v>0</v>
      </c>
    </row>
    <row r="167" spans="8:22" ht="20.25" x14ac:dyDescent="0.2">
      <c r="H167" s="534"/>
      <c r="I167" s="273" t="s">
        <v>637</v>
      </c>
      <c r="J167" s="546">
        <v>0</v>
      </c>
      <c r="K167" s="546">
        <v>0</v>
      </c>
      <c r="L167" s="546">
        <v>0</v>
      </c>
      <c r="M167" s="546">
        <v>0</v>
      </c>
      <c r="N167" s="546">
        <v>0</v>
      </c>
      <c r="O167" s="546">
        <v>0</v>
      </c>
      <c r="P167" s="546">
        <v>0</v>
      </c>
      <c r="Q167" s="546">
        <v>0</v>
      </c>
      <c r="R167" s="546">
        <v>0</v>
      </c>
      <c r="S167" s="546">
        <v>0</v>
      </c>
      <c r="T167" s="546">
        <v>0</v>
      </c>
      <c r="U167" s="546">
        <v>0</v>
      </c>
      <c r="V167" s="546">
        <v>0</v>
      </c>
    </row>
    <row r="168" spans="8:22" ht="20.25" x14ac:dyDescent="0.2">
      <c r="H168" s="534" t="s">
        <v>718</v>
      </c>
      <c r="I168" s="273" t="s">
        <v>639</v>
      </c>
      <c r="J168" s="476">
        <v>-1</v>
      </c>
      <c r="K168" s="476">
        <v>1</v>
      </c>
      <c r="L168" s="476">
        <v>1</v>
      </c>
      <c r="M168" s="476">
        <v>-1</v>
      </c>
      <c r="N168" s="476">
        <v>-1</v>
      </c>
      <c r="O168" s="476">
        <v>-1</v>
      </c>
      <c r="P168" s="476">
        <v>-1</v>
      </c>
      <c r="Q168" s="476">
        <v>-1</v>
      </c>
      <c r="R168" s="476">
        <v>1</v>
      </c>
      <c r="S168" s="476">
        <v>1</v>
      </c>
      <c r="T168" s="476">
        <v>-1</v>
      </c>
      <c r="U168" s="476">
        <v>1</v>
      </c>
      <c r="V168" s="476">
        <v>-1</v>
      </c>
    </row>
    <row r="169" spans="8:22" ht="20.25" x14ac:dyDescent="0.2">
      <c r="H169" s="534" t="s">
        <v>716</v>
      </c>
      <c r="I169" s="273" t="s">
        <v>647</v>
      </c>
      <c r="J169" s="476">
        <v>1</v>
      </c>
      <c r="K169" s="476">
        <v>1</v>
      </c>
      <c r="L169" s="476">
        <v>1</v>
      </c>
      <c r="M169" s="476">
        <v>0</v>
      </c>
      <c r="N169" s="476">
        <v>0</v>
      </c>
      <c r="O169" s="476">
        <v>0</v>
      </c>
      <c r="P169" s="476">
        <v>0</v>
      </c>
      <c r="Q169" s="476">
        <v>1</v>
      </c>
      <c r="R169" s="476">
        <v>0</v>
      </c>
      <c r="S169" s="476">
        <v>1</v>
      </c>
      <c r="T169" s="476">
        <v>0</v>
      </c>
      <c r="U169" s="476">
        <v>1</v>
      </c>
      <c r="V169" s="476">
        <v>0</v>
      </c>
    </row>
    <row r="170" spans="8:22" ht="20.25" x14ac:dyDescent="0.2">
      <c r="H170" s="534"/>
      <c r="I170" s="273" t="s">
        <v>645</v>
      </c>
      <c r="J170" s="546">
        <v>0</v>
      </c>
      <c r="K170" s="546">
        <v>0</v>
      </c>
      <c r="L170" s="546">
        <v>0</v>
      </c>
      <c r="M170" s="546">
        <v>0</v>
      </c>
      <c r="N170" s="546">
        <v>0</v>
      </c>
      <c r="O170" s="546">
        <v>0</v>
      </c>
      <c r="P170" s="546">
        <v>0</v>
      </c>
      <c r="Q170" s="546">
        <v>0</v>
      </c>
      <c r="R170" s="546">
        <v>0</v>
      </c>
      <c r="S170" s="546">
        <v>0</v>
      </c>
      <c r="T170" s="546">
        <v>0</v>
      </c>
      <c r="U170" s="546">
        <v>0</v>
      </c>
      <c r="V170" s="546">
        <v>0</v>
      </c>
    </row>
    <row r="171" spans="8:22" ht="20.25" x14ac:dyDescent="0.2">
      <c r="H171" s="534"/>
      <c r="I171" s="273" t="s">
        <v>646</v>
      </c>
      <c r="J171" s="546">
        <v>0</v>
      </c>
      <c r="K171" s="546">
        <v>0</v>
      </c>
      <c r="L171" s="546">
        <v>0</v>
      </c>
      <c r="M171" s="546">
        <v>0</v>
      </c>
      <c r="N171" s="546">
        <v>0</v>
      </c>
      <c r="O171" s="546">
        <v>0</v>
      </c>
      <c r="P171" s="546">
        <v>0</v>
      </c>
      <c r="Q171" s="546">
        <v>0</v>
      </c>
      <c r="R171" s="546">
        <v>0</v>
      </c>
      <c r="S171" s="546">
        <v>0</v>
      </c>
      <c r="T171" s="546">
        <v>0</v>
      </c>
      <c r="U171" s="546">
        <v>0</v>
      </c>
      <c r="V171" s="546">
        <v>0</v>
      </c>
    </row>
    <row r="172" spans="8:22" ht="20.25" x14ac:dyDescent="0.2">
      <c r="H172" s="534"/>
      <c r="I172" s="273" t="s">
        <v>649</v>
      </c>
      <c r="J172" s="546">
        <v>0</v>
      </c>
      <c r="K172" s="546">
        <v>0</v>
      </c>
      <c r="L172" s="546">
        <v>0</v>
      </c>
      <c r="M172" s="546">
        <v>0</v>
      </c>
      <c r="N172" s="546">
        <v>0</v>
      </c>
      <c r="O172" s="546">
        <v>0</v>
      </c>
      <c r="P172" s="546">
        <v>0</v>
      </c>
      <c r="Q172" s="546">
        <v>0</v>
      </c>
      <c r="R172" s="546">
        <v>0</v>
      </c>
      <c r="S172" s="546">
        <v>0</v>
      </c>
      <c r="T172" s="546">
        <v>0</v>
      </c>
      <c r="U172" s="546">
        <v>0</v>
      </c>
      <c r="V172" s="546">
        <v>0</v>
      </c>
    </row>
    <row r="173" spans="8:22" ht="20.25" x14ac:dyDescent="0.2">
      <c r="H173" s="534" t="s">
        <v>717</v>
      </c>
      <c r="I173" s="273" t="s">
        <v>652</v>
      </c>
      <c r="J173" s="476">
        <v>1</v>
      </c>
      <c r="K173" s="476">
        <v>1</v>
      </c>
      <c r="L173" s="476">
        <v>1</v>
      </c>
      <c r="M173" s="476">
        <v>1</v>
      </c>
      <c r="N173" s="476">
        <v>-1</v>
      </c>
      <c r="O173" s="476">
        <v>-1</v>
      </c>
      <c r="P173" s="476">
        <v>-1</v>
      </c>
      <c r="Q173" s="476">
        <v>1</v>
      </c>
      <c r="R173" s="476">
        <v>1</v>
      </c>
      <c r="S173" s="476">
        <v>1</v>
      </c>
      <c r="T173" s="476">
        <v>1</v>
      </c>
      <c r="U173" s="476">
        <v>-1</v>
      </c>
      <c r="V173" s="476">
        <v>1</v>
      </c>
    </row>
    <row r="174" spans="8:22" ht="20.25" x14ac:dyDescent="0.2">
      <c r="H174" s="534" t="s">
        <v>715</v>
      </c>
      <c r="I174" s="273" t="s">
        <v>696</v>
      </c>
      <c r="J174" s="476">
        <v>1</v>
      </c>
      <c r="K174" s="476">
        <v>1</v>
      </c>
      <c r="L174" s="476">
        <v>1</v>
      </c>
      <c r="M174" s="476">
        <v>1</v>
      </c>
      <c r="N174" s="476">
        <v>1</v>
      </c>
      <c r="O174" s="476">
        <v>1</v>
      </c>
      <c r="P174" s="476">
        <v>1</v>
      </c>
      <c r="Q174" s="476">
        <v>1</v>
      </c>
      <c r="R174" s="476">
        <v>1</v>
      </c>
      <c r="S174" s="476">
        <v>1</v>
      </c>
      <c r="T174" s="476">
        <v>1</v>
      </c>
      <c r="U174" s="476">
        <v>1</v>
      </c>
      <c r="V174" s="476">
        <v>1</v>
      </c>
    </row>
    <row r="175" spans="8:22" ht="20.25" x14ac:dyDescent="0.2">
      <c r="H175" s="534"/>
      <c r="I175" s="273" t="s">
        <v>706</v>
      </c>
      <c r="J175" s="546">
        <v>0</v>
      </c>
      <c r="K175" s="546">
        <v>0</v>
      </c>
      <c r="L175" s="546">
        <v>0</v>
      </c>
      <c r="M175" s="546">
        <v>0</v>
      </c>
      <c r="N175" s="546">
        <v>0</v>
      </c>
      <c r="O175" s="546">
        <v>0</v>
      </c>
      <c r="P175" s="546">
        <v>0</v>
      </c>
      <c r="Q175" s="546">
        <v>0</v>
      </c>
      <c r="R175" s="546">
        <v>0</v>
      </c>
      <c r="S175" s="546">
        <v>0</v>
      </c>
      <c r="T175" s="546">
        <v>0</v>
      </c>
      <c r="U175" s="546">
        <v>0</v>
      </c>
      <c r="V175" s="546">
        <v>0</v>
      </c>
    </row>
    <row r="177" spans="8:26" ht="15" x14ac:dyDescent="0.25">
      <c r="I177"/>
      <c r="J177"/>
      <c r="K177"/>
      <c r="L177"/>
      <c r="M177"/>
      <c r="N177"/>
      <c r="O177"/>
    </row>
    <row r="178" spans="8:26" ht="15" x14ac:dyDescent="0.25">
      <c r="I178" s="274" t="s">
        <v>363</v>
      </c>
      <c r="K178" s="144" t="s">
        <v>364</v>
      </c>
      <c r="L178" s="144" t="s">
        <v>365</v>
      </c>
      <c r="N178"/>
      <c r="O178"/>
    </row>
    <row r="179" spans="8:26" ht="38.25" x14ac:dyDescent="0.2">
      <c r="J179" s="144" t="s">
        <v>366</v>
      </c>
      <c r="K179" s="273" t="s">
        <v>359</v>
      </c>
      <c r="L179" s="273" t="s">
        <v>360</v>
      </c>
      <c r="M179" s="273" t="s">
        <v>58</v>
      </c>
      <c r="N179" s="273" t="s">
        <v>345</v>
      </c>
      <c r="O179" s="273" t="s">
        <v>382</v>
      </c>
      <c r="P179" s="273" t="s">
        <v>386</v>
      </c>
      <c r="Q179" s="273" t="s">
        <v>409</v>
      </c>
      <c r="R179" s="273" t="s">
        <v>598</v>
      </c>
      <c r="S179" s="273" t="s">
        <v>637</v>
      </c>
      <c r="T179" s="273" t="s">
        <v>639</v>
      </c>
      <c r="U179" s="273" t="s">
        <v>647</v>
      </c>
      <c r="V179" s="273" t="s">
        <v>645</v>
      </c>
      <c r="W179" s="273" t="s">
        <v>646</v>
      </c>
      <c r="X179" s="273" t="s">
        <v>649</v>
      </c>
      <c r="Y179" s="273" t="s">
        <v>652</v>
      </c>
      <c r="Z179" s="273" t="s">
        <v>696</v>
      </c>
    </row>
    <row r="180" spans="8:26" x14ac:dyDescent="0.2">
      <c r="H180" s="144">
        <v>19</v>
      </c>
      <c r="K180" s="514" t="str">
        <f>'Калькулятор_от дохода'!$P$39</f>
        <v>НЕТ</v>
      </c>
      <c r="L180" s="514" t="str">
        <f>'Калькулятор_от дохода'!$P$35</f>
        <v>НЕТ</v>
      </c>
      <c r="M180" s="514" t="str">
        <f>'Калькулятор_от дохода'!$P$37</f>
        <v>НЕТ</v>
      </c>
      <c r="N180" s="514" t="str">
        <f>'Калькулятор_от дохода'!$P$41</f>
        <v>НЕТ</v>
      </c>
      <c r="O180" s="514" t="str">
        <f>'Калькулятор_от дохода'!$P$61</f>
        <v>НЕТ</v>
      </c>
      <c r="P180" s="514" t="str">
        <f>'Калькулятор_от дохода'!P44</f>
        <v>НЕТ</v>
      </c>
      <c r="Q180" s="514" t="str">
        <f>$S$74</f>
        <v>НЕТ</v>
      </c>
      <c r="R180" s="514" t="str">
        <f>'Калькулятор_от дохода'!$P$33</f>
        <v>НЕТ</v>
      </c>
      <c r="S180" s="514" t="str">
        <f>'Калькулятор_от дохода'!$P$31</f>
        <v>НЕТ</v>
      </c>
      <c r="T180" s="514" t="str">
        <f>'Калькулятор_от дохода'!$P$50</f>
        <v>НЕТ</v>
      </c>
      <c r="U180" s="514" t="str">
        <f>'Калькулятор_от дохода'!P52</f>
        <v>НЕТ</v>
      </c>
      <c r="V180" s="514" t="str">
        <f>'Калькулятор_от дохода'!P54</f>
        <v>НЕТ</v>
      </c>
      <c r="W180" s="514" t="str">
        <f>'Калькулятор_от дохода'!P56</f>
        <v>НЕТ</v>
      </c>
      <c r="X180" s="514" t="str">
        <f>'Калькулятор_от дохода'!P21</f>
        <v>НЕТ</v>
      </c>
      <c r="Y180" s="514" t="str">
        <f>'Калькулятор_от дохода'!P29</f>
        <v>НЕТ</v>
      </c>
      <c r="Z180" s="514" t="str">
        <f>'Калькулятор_от дохода'!P57</f>
        <v>НЕТ</v>
      </c>
    </row>
    <row r="181" spans="8:26" ht="15.75" x14ac:dyDescent="0.2">
      <c r="I181" s="273" t="s">
        <v>359</v>
      </c>
      <c r="J181" s="513" t="str">
        <f>IF(COUNTIF(K181:Z181,"&lt;"&amp;"0")&gt;0,"!","")</f>
        <v/>
      </c>
      <c r="K181" s="512">
        <f t="shared" ref="K181:Z181" si="0">HLOOKUP(K$179,$J$199:$Y$215,2,0)*IF(K$180="нет",0,1)</f>
        <v>0</v>
      </c>
      <c r="L181" s="512">
        <f t="shared" si="0"/>
        <v>0</v>
      </c>
      <c r="M181" s="512">
        <f t="shared" si="0"/>
        <v>0</v>
      </c>
      <c r="N181" s="512">
        <f t="shared" si="0"/>
        <v>0</v>
      </c>
      <c r="O181" s="512">
        <f t="shared" si="0"/>
        <v>0</v>
      </c>
      <c r="P181" s="512">
        <f t="shared" si="0"/>
        <v>0</v>
      </c>
      <c r="Q181" s="512">
        <f t="shared" si="0"/>
        <v>0</v>
      </c>
      <c r="R181" s="512">
        <f t="shared" si="0"/>
        <v>0</v>
      </c>
      <c r="S181" s="512">
        <f t="shared" si="0"/>
        <v>0</v>
      </c>
      <c r="T181" s="512">
        <f t="shared" si="0"/>
        <v>0</v>
      </c>
      <c r="U181" s="512">
        <f t="shared" si="0"/>
        <v>0</v>
      </c>
      <c r="V181" s="512">
        <f t="shared" si="0"/>
        <v>0</v>
      </c>
      <c r="W181" s="512">
        <f t="shared" si="0"/>
        <v>0</v>
      </c>
      <c r="X181" s="512">
        <f t="shared" si="0"/>
        <v>0</v>
      </c>
      <c r="Y181" s="512">
        <f t="shared" si="0"/>
        <v>0</v>
      </c>
      <c r="Z181" s="512">
        <f t="shared" si="0"/>
        <v>0</v>
      </c>
    </row>
    <row r="182" spans="8:26" ht="15.75" x14ac:dyDescent="0.2">
      <c r="I182" s="273" t="s">
        <v>360</v>
      </c>
      <c r="J182" s="513" t="str">
        <f t="shared" ref="J182:J195" si="1">IF(COUNTIF(K182:Z182,"&lt;"&amp;"0")&gt;0,"!","")</f>
        <v/>
      </c>
      <c r="K182" s="512">
        <f t="shared" ref="K182:Z182" si="2">HLOOKUP(K$179,$J$199:$Y$215,3,0)*IF(K$180="нет",0,1)</f>
        <v>0</v>
      </c>
      <c r="L182" s="512">
        <f t="shared" si="2"/>
        <v>0</v>
      </c>
      <c r="M182" s="512">
        <f t="shared" si="2"/>
        <v>0</v>
      </c>
      <c r="N182" s="512">
        <f t="shared" si="2"/>
        <v>0</v>
      </c>
      <c r="O182" s="512">
        <f t="shared" si="2"/>
        <v>0</v>
      </c>
      <c r="P182" s="512">
        <f t="shared" si="2"/>
        <v>0</v>
      </c>
      <c r="Q182" s="512">
        <f t="shared" si="2"/>
        <v>0</v>
      </c>
      <c r="R182" s="512">
        <f t="shared" si="2"/>
        <v>0</v>
      </c>
      <c r="S182" s="512">
        <f t="shared" si="2"/>
        <v>0</v>
      </c>
      <c r="T182" s="512">
        <f t="shared" si="2"/>
        <v>0</v>
      </c>
      <c r="U182" s="512">
        <f t="shared" si="2"/>
        <v>0</v>
      </c>
      <c r="V182" s="512">
        <f t="shared" si="2"/>
        <v>0</v>
      </c>
      <c r="W182" s="512">
        <f t="shared" si="2"/>
        <v>0</v>
      </c>
      <c r="X182" s="512">
        <f t="shared" si="2"/>
        <v>0</v>
      </c>
      <c r="Y182" s="512">
        <f t="shared" si="2"/>
        <v>0</v>
      </c>
      <c r="Z182" s="512">
        <f t="shared" si="2"/>
        <v>0</v>
      </c>
    </row>
    <row r="183" spans="8:26" ht="15.75" x14ac:dyDescent="0.2">
      <c r="I183" s="273" t="s">
        <v>58</v>
      </c>
      <c r="J183" s="513" t="str">
        <f t="shared" si="1"/>
        <v/>
      </c>
      <c r="K183" s="512">
        <f t="shared" ref="K183:Z183" si="3">HLOOKUP(K$179,$J$199:$Y$215,4,0)*IF(K$180="нет",0,1)</f>
        <v>0</v>
      </c>
      <c r="L183" s="512">
        <f t="shared" si="3"/>
        <v>0</v>
      </c>
      <c r="M183" s="512">
        <f t="shared" si="3"/>
        <v>0</v>
      </c>
      <c r="N183" s="512">
        <f t="shared" si="3"/>
        <v>0</v>
      </c>
      <c r="O183" s="512">
        <f t="shared" si="3"/>
        <v>0</v>
      </c>
      <c r="P183" s="512">
        <f t="shared" si="3"/>
        <v>0</v>
      </c>
      <c r="Q183" s="512">
        <f t="shared" si="3"/>
        <v>0</v>
      </c>
      <c r="R183" s="512">
        <f t="shared" si="3"/>
        <v>0</v>
      </c>
      <c r="S183" s="512">
        <f t="shared" si="3"/>
        <v>0</v>
      </c>
      <c r="T183" s="512">
        <f t="shared" si="3"/>
        <v>0</v>
      </c>
      <c r="U183" s="512">
        <f t="shared" si="3"/>
        <v>0</v>
      </c>
      <c r="V183" s="512">
        <f t="shared" si="3"/>
        <v>0</v>
      </c>
      <c r="W183" s="512">
        <f t="shared" si="3"/>
        <v>0</v>
      </c>
      <c r="X183" s="512">
        <f t="shared" si="3"/>
        <v>0</v>
      </c>
      <c r="Y183" s="512">
        <f t="shared" si="3"/>
        <v>0</v>
      </c>
      <c r="Z183" s="512">
        <f t="shared" si="3"/>
        <v>0</v>
      </c>
    </row>
    <row r="184" spans="8:26" ht="15.75" x14ac:dyDescent="0.2">
      <c r="I184" s="273" t="s">
        <v>345</v>
      </c>
      <c r="J184" s="513" t="str">
        <f t="shared" si="1"/>
        <v/>
      </c>
      <c r="K184" s="512">
        <f t="shared" ref="K184:Z184" si="4">HLOOKUP(K$179,$J$199:$Y$215,5,0)*IF(K$180="нет",0,1)</f>
        <v>0</v>
      </c>
      <c r="L184" s="512">
        <f t="shared" si="4"/>
        <v>0</v>
      </c>
      <c r="M184" s="512">
        <f t="shared" si="4"/>
        <v>0</v>
      </c>
      <c r="N184" s="512">
        <f t="shared" si="4"/>
        <v>0</v>
      </c>
      <c r="O184" s="512">
        <f t="shared" si="4"/>
        <v>0</v>
      </c>
      <c r="P184" s="512">
        <f t="shared" si="4"/>
        <v>0</v>
      </c>
      <c r="Q184" s="512">
        <f t="shared" si="4"/>
        <v>0</v>
      </c>
      <c r="R184" s="512">
        <f t="shared" si="4"/>
        <v>0</v>
      </c>
      <c r="S184" s="512">
        <f t="shared" si="4"/>
        <v>0</v>
      </c>
      <c r="T184" s="512">
        <f t="shared" si="4"/>
        <v>0</v>
      </c>
      <c r="U184" s="512">
        <f t="shared" si="4"/>
        <v>0</v>
      </c>
      <c r="V184" s="512">
        <f t="shared" si="4"/>
        <v>0</v>
      </c>
      <c r="W184" s="512">
        <f t="shared" si="4"/>
        <v>0</v>
      </c>
      <c r="X184" s="512">
        <f t="shared" si="4"/>
        <v>0</v>
      </c>
      <c r="Y184" s="512">
        <f t="shared" si="4"/>
        <v>0</v>
      </c>
      <c r="Z184" s="512">
        <f t="shared" si="4"/>
        <v>0</v>
      </c>
    </row>
    <row r="185" spans="8:26" ht="15.75" x14ac:dyDescent="0.2">
      <c r="I185" s="273" t="s">
        <v>382</v>
      </c>
      <c r="J185" s="513" t="str">
        <f t="shared" si="1"/>
        <v/>
      </c>
      <c r="K185" s="512">
        <f t="shared" ref="K185:Z185" si="5">HLOOKUP(K$179,$J$199:$Y$215,6,0)*IF(K$180="нет",0,1)</f>
        <v>0</v>
      </c>
      <c r="L185" s="512">
        <f t="shared" si="5"/>
        <v>0</v>
      </c>
      <c r="M185" s="512">
        <f t="shared" si="5"/>
        <v>0</v>
      </c>
      <c r="N185" s="512">
        <f t="shared" si="5"/>
        <v>0</v>
      </c>
      <c r="O185" s="512">
        <f t="shared" si="5"/>
        <v>0</v>
      </c>
      <c r="P185" s="512">
        <f t="shared" si="5"/>
        <v>0</v>
      </c>
      <c r="Q185" s="512">
        <f t="shared" si="5"/>
        <v>0</v>
      </c>
      <c r="R185" s="512">
        <f t="shared" si="5"/>
        <v>0</v>
      </c>
      <c r="S185" s="512">
        <f t="shared" si="5"/>
        <v>0</v>
      </c>
      <c r="T185" s="512">
        <f t="shared" si="5"/>
        <v>0</v>
      </c>
      <c r="U185" s="512">
        <f t="shared" si="5"/>
        <v>0</v>
      </c>
      <c r="V185" s="512">
        <f t="shared" si="5"/>
        <v>0</v>
      </c>
      <c r="W185" s="512">
        <f t="shared" si="5"/>
        <v>0</v>
      </c>
      <c r="X185" s="512">
        <f t="shared" si="5"/>
        <v>0</v>
      </c>
      <c r="Y185" s="512">
        <f t="shared" si="5"/>
        <v>0</v>
      </c>
      <c r="Z185" s="512">
        <f t="shared" si="5"/>
        <v>0</v>
      </c>
    </row>
    <row r="186" spans="8:26" ht="15.75" x14ac:dyDescent="0.2">
      <c r="I186" s="273" t="s">
        <v>386</v>
      </c>
      <c r="J186" s="513" t="str">
        <f t="shared" si="1"/>
        <v/>
      </c>
      <c r="K186" s="512">
        <f t="shared" ref="K186:Z186" si="6">HLOOKUP(K$179,$J$199:$Y$215,7,0)*IF(K$180="нет",0,1)</f>
        <v>0</v>
      </c>
      <c r="L186" s="512">
        <f t="shared" si="6"/>
        <v>0</v>
      </c>
      <c r="M186" s="512">
        <f t="shared" si="6"/>
        <v>0</v>
      </c>
      <c r="N186" s="512">
        <f t="shared" si="6"/>
        <v>0</v>
      </c>
      <c r="O186" s="512">
        <f t="shared" si="6"/>
        <v>0</v>
      </c>
      <c r="P186" s="512">
        <f t="shared" si="6"/>
        <v>0</v>
      </c>
      <c r="Q186" s="512">
        <f t="shared" si="6"/>
        <v>0</v>
      </c>
      <c r="R186" s="512">
        <f t="shared" si="6"/>
        <v>0</v>
      </c>
      <c r="S186" s="512">
        <f t="shared" si="6"/>
        <v>0</v>
      </c>
      <c r="T186" s="512">
        <f t="shared" si="6"/>
        <v>0</v>
      </c>
      <c r="U186" s="512">
        <f t="shared" si="6"/>
        <v>0</v>
      </c>
      <c r="V186" s="512">
        <f t="shared" si="6"/>
        <v>0</v>
      </c>
      <c r="W186" s="512">
        <f t="shared" si="6"/>
        <v>0</v>
      </c>
      <c r="X186" s="512">
        <f t="shared" si="6"/>
        <v>0</v>
      </c>
      <c r="Y186" s="512">
        <f t="shared" si="6"/>
        <v>0</v>
      </c>
      <c r="Z186" s="512">
        <f t="shared" si="6"/>
        <v>0</v>
      </c>
    </row>
    <row r="187" spans="8:26" ht="15.75" x14ac:dyDescent="0.2">
      <c r="I187" s="273" t="s">
        <v>409</v>
      </c>
      <c r="J187" s="513" t="str">
        <f t="shared" si="1"/>
        <v/>
      </c>
      <c r="K187" s="512">
        <f t="shared" ref="K187:Z187" si="7">HLOOKUP(K$179,$J$199:$Y$215,8,0)*IF(K$180="нет",0,1)</f>
        <v>0</v>
      </c>
      <c r="L187" s="512">
        <f t="shared" si="7"/>
        <v>0</v>
      </c>
      <c r="M187" s="512">
        <f t="shared" si="7"/>
        <v>0</v>
      </c>
      <c r="N187" s="512">
        <f t="shared" si="7"/>
        <v>0</v>
      </c>
      <c r="O187" s="512">
        <f t="shared" si="7"/>
        <v>0</v>
      </c>
      <c r="P187" s="512">
        <f t="shared" si="7"/>
        <v>0</v>
      </c>
      <c r="Q187" s="512">
        <f t="shared" si="7"/>
        <v>0</v>
      </c>
      <c r="R187" s="512">
        <f t="shared" si="7"/>
        <v>0</v>
      </c>
      <c r="S187" s="512">
        <f t="shared" si="7"/>
        <v>0</v>
      </c>
      <c r="T187" s="512">
        <f t="shared" si="7"/>
        <v>0</v>
      </c>
      <c r="U187" s="512">
        <f t="shared" si="7"/>
        <v>0</v>
      </c>
      <c r="V187" s="512">
        <f t="shared" si="7"/>
        <v>0</v>
      </c>
      <c r="W187" s="512">
        <f t="shared" si="7"/>
        <v>0</v>
      </c>
      <c r="X187" s="512">
        <f t="shared" si="7"/>
        <v>0</v>
      </c>
      <c r="Y187" s="512">
        <f t="shared" si="7"/>
        <v>0</v>
      </c>
      <c r="Z187" s="512">
        <f t="shared" si="7"/>
        <v>0</v>
      </c>
    </row>
    <row r="188" spans="8:26" ht="15.75" x14ac:dyDescent="0.2">
      <c r="I188" s="273" t="s">
        <v>598</v>
      </c>
      <c r="J188" s="513" t="str">
        <f t="shared" si="1"/>
        <v/>
      </c>
      <c r="K188" s="512">
        <f t="shared" ref="K188:Z188" si="8">HLOOKUP(K$179,$J$199:$Y$215,9,0)*IF(K$180="нет",0,1)</f>
        <v>0</v>
      </c>
      <c r="L188" s="512">
        <f t="shared" si="8"/>
        <v>0</v>
      </c>
      <c r="M188" s="512">
        <f t="shared" si="8"/>
        <v>0</v>
      </c>
      <c r="N188" s="512">
        <f t="shared" si="8"/>
        <v>0</v>
      </c>
      <c r="O188" s="512">
        <f t="shared" si="8"/>
        <v>0</v>
      </c>
      <c r="P188" s="512">
        <f t="shared" si="8"/>
        <v>0</v>
      </c>
      <c r="Q188" s="512">
        <f t="shared" si="8"/>
        <v>0</v>
      </c>
      <c r="R188" s="512">
        <f t="shared" si="8"/>
        <v>0</v>
      </c>
      <c r="S188" s="512">
        <f t="shared" si="8"/>
        <v>0</v>
      </c>
      <c r="T188" s="512">
        <f t="shared" si="8"/>
        <v>0</v>
      </c>
      <c r="U188" s="512">
        <f t="shared" si="8"/>
        <v>0</v>
      </c>
      <c r="V188" s="512">
        <f t="shared" si="8"/>
        <v>0</v>
      </c>
      <c r="W188" s="512">
        <f t="shared" si="8"/>
        <v>0</v>
      </c>
      <c r="X188" s="512">
        <f t="shared" si="8"/>
        <v>0</v>
      </c>
      <c r="Y188" s="512">
        <f t="shared" si="8"/>
        <v>0</v>
      </c>
      <c r="Z188" s="512">
        <f t="shared" si="8"/>
        <v>0</v>
      </c>
    </row>
    <row r="189" spans="8:26" ht="15.6" customHeight="1" x14ac:dyDescent="0.2">
      <c r="I189" s="273" t="s">
        <v>637</v>
      </c>
      <c r="J189" s="513" t="str">
        <f t="shared" si="1"/>
        <v/>
      </c>
      <c r="K189" s="512">
        <f t="shared" ref="K189:Z189" si="9">HLOOKUP(K$179,$J$199:$Y$215,10,0)*IF(K$180="нет",0,1)</f>
        <v>0</v>
      </c>
      <c r="L189" s="512">
        <f t="shared" si="9"/>
        <v>0</v>
      </c>
      <c r="M189" s="512">
        <f t="shared" si="9"/>
        <v>0</v>
      </c>
      <c r="N189" s="512">
        <f t="shared" si="9"/>
        <v>0</v>
      </c>
      <c r="O189" s="512">
        <f t="shared" si="9"/>
        <v>0</v>
      </c>
      <c r="P189" s="512">
        <f t="shared" si="9"/>
        <v>0</v>
      </c>
      <c r="Q189" s="512">
        <f t="shared" si="9"/>
        <v>0</v>
      </c>
      <c r="R189" s="512">
        <f t="shared" si="9"/>
        <v>0</v>
      </c>
      <c r="S189" s="512">
        <f t="shared" si="9"/>
        <v>0</v>
      </c>
      <c r="T189" s="512">
        <f t="shared" si="9"/>
        <v>0</v>
      </c>
      <c r="U189" s="512">
        <f t="shared" si="9"/>
        <v>0</v>
      </c>
      <c r="V189" s="512">
        <f t="shared" si="9"/>
        <v>0</v>
      </c>
      <c r="W189" s="512">
        <f t="shared" si="9"/>
        <v>0</v>
      </c>
      <c r="X189" s="512">
        <f t="shared" si="9"/>
        <v>0</v>
      </c>
      <c r="Y189" s="512">
        <f t="shared" si="9"/>
        <v>0</v>
      </c>
      <c r="Z189" s="512">
        <f t="shared" si="9"/>
        <v>0</v>
      </c>
    </row>
    <row r="190" spans="8:26" ht="15.6" customHeight="1" x14ac:dyDescent="0.2">
      <c r="I190" s="273" t="s">
        <v>639</v>
      </c>
      <c r="J190" s="513" t="str">
        <f t="shared" si="1"/>
        <v/>
      </c>
      <c r="K190" s="512">
        <f t="shared" ref="K190:Z190" si="10">HLOOKUP(K$179,$J$199:$Y$215,11,0)*IF(K$180="нет",0,1)</f>
        <v>0</v>
      </c>
      <c r="L190" s="512">
        <f t="shared" si="10"/>
        <v>0</v>
      </c>
      <c r="M190" s="512">
        <f t="shared" si="10"/>
        <v>0</v>
      </c>
      <c r="N190" s="512">
        <f t="shared" si="10"/>
        <v>0</v>
      </c>
      <c r="O190" s="512">
        <f t="shared" si="10"/>
        <v>0</v>
      </c>
      <c r="P190" s="512">
        <f t="shared" si="10"/>
        <v>0</v>
      </c>
      <c r="Q190" s="512">
        <f t="shared" si="10"/>
        <v>0</v>
      </c>
      <c r="R190" s="512">
        <f t="shared" si="10"/>
        <v>0</v>
      </c>
      <c r="S190" s="512">
        <f t="shared" si="10"/>
        <v>0</v>
      </c>
      <c r="T190" s="512">
        <f t="shared" si="10"/>
        <v>0</v>
      </c>
      <c r="U190" s="512">
        <f t="shared" si="10"/>
        <v>0</v>
      </c>
      <c r="V190" s="512">
        <f t="shared" si="10"/>
        <v>0</v>
      </c>
      <c r="W190" s="512">
        <f t="shared" si="10"/>
        <v>0</v>
      </c>
      <c r="X190" s="512">
        <f t="shared" si="10"/>
        <v>0</v>
      </c>
      <c r="Y190" s="512">
        <f t="shared" si="10"/>
        <v>0</v>
      </c>
      <c r="Z190" s="512">
        <f t="shared" si="10"/>
        <v>0</v>
      </c>
    </row>
    <row r="191" spans="8:26" ht="15.75" x14ac:dyDescent="0.2">
      <c r="I191" s="273" t="s">
        <v>647</v>
      </c>
      <c r="J191" s="513" t="str">
        <f t="shared" si="1"/>
        <v/>
      </c>
      <c r="K191" s="512">
        <f t="shared" ref="K191:Z191" si="11">HLOOKUP(K$179,$J$199:$Y$215,12,0)*IF(K$180="нет",0,1)</f>
        <v>0</v>
      </c>
      <c r="L191" s="512">
        <f t="shared" si="11"/>
        <v>0</v>
      </c>
      <c r="M191" s="512">
        <f t="shared" si="11"/>
        <v>0</v>
      </c>
      <c r="N191" s="512">
        <f t="shared" si="11"/>
        <v>0</v>
      </c>
      <c r="O191" s="512">
        <f t="shared" si="11"/>
        <v>0</v>
      </c>
      <c r="P191" s="512">
        <f t="shared" si="11"/>
        <v>0</v>
      </c>
      <c r="Q191" s="512">
        <f t="shared" si="11"/>
        <v>0</v>
      </c>
      <c r="R191" s="512">
        <f t="shared" si="11"/>
        <v>0</v>
      </c>
      <c r="S191" s="512">
        <f t="shared" si="11"/>
        <v>0</v>
      </c>
      <c r="T191" s="512">
        <f t="shared" si="11"/>
        <v>0</v>
      </c>
      <c r="U191" s="512">
        <f t="shared" si="11"/>
        <v>0</v>
      </c>
      <c r="V191" s="512">
        <f t="shared" si="11"/>
        <v>0</v>
      </c>
      <c r="W191" s="512">
        <f t="shared" si="11"/>
        <v>0</v>
      </c>
      <c r="X191" s="512">
        <f t="shared" si="11"/>
        <v>0</v>
      </c>
      <c r="Y191" s="512">
        <f t="shared" si="11"/>
        <v>0</v>
      </c>
      <c r="Z191" s="512">
        <f t="shared" si="11"/>
        <v>0</v>
      </c>
    </row>
    <row r="192" spans="8:26" ht="15.75" x14ac:dyDescent="0.2">
      <c r="I192" s="273" t="s">
        <v>645</v>
      </c>
      <c r="J192" s="513" t="str">
        <f>IF(COUNTIF(K192:Z192,"&lt;"&amp;"0")&gt;0,"!","")</f>
        <v/>
      </c>
      <c r="K192" s="512">
        <f t="shared" ref="K192:Z192" si="12">HLOOKUP(K$179,$J$199:$Y$215,13,0)*IF(K$180="нет",0,1)</f>
        <v>0</v>
      </c>
      <c r="L192" s="512">
        <f t="shared" si="12"/>
        <v>0</v>
      </c>
      <c r="M192" s="512">
        <f t="shared" si="12"/>
        <v>0</v>
      </c>
      <c r="N192" s="512">
        <f t="shared" si="12"/>
        <v>0</v>
      </c>
      <c r="O192" s="512">
        <f t="shared" si="12"/>
        <v>0</v>
      </c>
      <c r="P192" s="512">
        <f t="shared" si="12"/>
        <v>0</v>
      </c>
      <c r="Q192" s="512">
        <f t="shared" si="12"/>
        <v>0</v>
      </c>
      <c r="R192" s="512">
        <f t="shared" si="12"/>
        <v>0</v>
      </c>
      <c r="S192" s="512">
        <f t="shared" si="12"/>
        <v>0</v>
      </c>
      <c r="T192" s="512">
        <f t="shared" si="12"/>
        <v>0</v>
      </c>
      <c r="U192" s="512">
        <f t="shared" si="12"/>
        <v>0</v>
      </c>
      <c r="V192" s="512">
        <f t="shared" si="12"/>
        <v>0</v>
      </c>
      <c r="W192" s="512">
        <f t="shared" si="12"/>
        <v>0</v>
      </c>
      <c r="X192" s="512">
        <f t="shared" si="12"/>
        <v>0</v>
      </c>
      <c r="Y192" s="512">
        <f t="shared" si="12"/>
        <v>0</v>
      </c>
      <c r="Z192" s="512">
        <f t="shared" si="12"/>
        <v>0</v>
      </c>
    </row>
    <row r="193" spans="8:26" ht="15.75" x14ac:dyDescent="0.2">
      <c r="I193" s="273" t="s">
        <v>646</v>
      </c>
      <c r="J193" s="513" t="str">
        <f t="shared" si="1"/>
        <v/>
      </c>
      <c r="K193" s="512">
        <f t="shared" ref="K193:Z193" si="13">HLOOKUP(K$179,$J$199:$Y$215,14,0)*IF(K$180="нет",0,1)</f>
        <v>0</v>
      </c>
      <c r="L193" s="512">
        <f t="shared" si="13"/>
        <v>0</v>
      </c>
      <c r="M193" s="512">
        <f t="shared" si="13"/>
        <v>0</v>
      </c>
      <c r="N193" s="512">
        <f t="shared" si="13"/>
        <v>0</v>
      </c>
      <c r="O193" s="512">
        <f t="shared" si="13"/>
        <v>0</v>
      </c>
      <c r="P193" s="512">
        <f t="shared" si="13"/>
        <v>0</v>
      </c>
      <c r="Q193" s="512">
        <f t="shared" si="13"/>
        <v>0</v>
      </c>
      <c r="R193" s="512">
        <f t="shared" si="13"/>
        <v>0</v>
      </c>
      <c r="S193" s="512">
        <f t="shared" si="13"/>
        <v>0</v>
      </c>
      <c r="T193" s="512">
        <f t="shared" si="13"/>
        <v>0</v>
      </c>
      <c r="U193" s="512">
        <f t="shared" si="13"/>
        <v>0</v>
      </c>
      <c r="V193" s="512">
        <f t="shared" si="13"/>
        <v>0</v>
      </c>
      <c r="W193" s="512">
        <f t="shared" si="13"/>
        <v>0</v>
      </c>
      <c r="X193" s="512">
        <f t="shared" si="13"/>
        <v>0</v>
      </c>
      <c r="Y193" s="512">
        <f t="shared" si="13"/>
        <v>0</v>
      </c>
      <c r="Z193" s="512">
        <f t="shared" si="13"/>
        <v>0</v>
      </c>
    </row>
    <row r="194" spans="8:26" ht="15.75" x14ac:dyDescent="0.2">
      <c r="I194" s="273" t="s">
        <v>649</v>
      </c>
      <c r="J194" s="513" t="str">
        <f t="shared" si="1"/>
        <v/>
      </c>
      <c r="K194" s="512">
        <f t="shared" ref="K194:Z194" si="14">HLOOKUP(K$179,$J$199:$Y$215,15,0)*IF(K$180="нет",0,1)</f>
        <v>0</v>
      </c>
      <c r="L194" s="512">
        <f t="shared" si="14"/>
        <v>0</v>
      </c>
      <c r="M194" s="512">
        <f t="shared" si="14"/>
        <v>0</v>
      </c>
      <c r="N194" s="512">
        <f t="shared" si="14"/>
        <v>0</v>
      </c>
      <c r="O194" s="512">
        <f t="shared" si="14"/>
        <v>0</v>
      </c>
      <c r="P194" s="512">
        <f t="shared" si="14"/>
        <v>0</v>
      </c>
      <c r="Q194" s="512">
        <f t="shared" si="14"/>
        <v>0</v>
      </c>
      <c r="R194" s="512">
        <f t="shared" si="14"/>
        <v>0</v>
      </c>
      <c r="S194" s="512">
        <f t="shared" si="14"/>
        <v>0</v>
      </c>
      <c r="T194" s="512">
        <f t="shared" si="14"/>
        <v>0</v>
      </c>
      <c r="U194" s="512">
        <f t="shared" si="14"/>
        <v>0</v>
      </c>
      <c r="V194" s="512">
        <f t="shared" si="14"/>
        <v>0</v>
      </c>
      <c r="W194" s="512">
        <f t="shared" si="14"/>
        <v>0</v>
      </c>
      <c r="X194" s="512">
        <f t="shared" si="14"/>
        <v>0</v>
      </c>
      <c r="Y194" s="512">
        <f t="shared" si="14"/>
        <v>0</v>
      </c>
      <c r="Z194" s="512">
        <f t="shared" si="14"/>
        <v>0</v>
      </c>
    </row>
    <row r="195" spans="8:26" ht="15.75" x14ac:dyDescent="0.2">
      <c r="I195" s="273" t="s">
        <v>652</v>
      </c>
      <c r="J195" s="513" t="str">
        <f t="shared" si="1"/>
        <v/>
      </c>
      <c r="K195" s="512">
        <f t="shared" ref="K195:Z195" si="15">HLOOKUP(K$179,$J$199:$Y$215,16,0)*IF(K$180="нет",0,1)</f>
        <v>0</v>
      </c>
      <c r="L195" s="512">
        <f t="shared" si="15"/>
        <v>0</v>
      </c>
      <c r="M195" s="512">
        <f t="shared" si="15"/>
        <v>0</v>
      </c>
      <c r="N195" s="512">
        <f t="shared" si="15"/>
        <v>0</v>
      </c>
      <c r="O195" s="512">
        <f t="shared" si="15"/>
        <v>0</v>
      </c>
      <c r="P195" s="512">
        <f t="shared" si="15"/>
        <v>0</v>
      </c>
      <c r="Q195" s="512">
        <f t="shared" si="15"/>
        <v>0</v>
      </c>
      <c r="R195" s="512">
        <f t="shared" si="15"/>
        <v>0</v>
      </c>
      <c r="S195" s="512">
        <f t="shared" si="15"/>
        <v>0</v>
      </c>
      <c r="T195" s="512">
        <f t="shared" si="15"/>
        <v>0</v>
      </c>
      <c r="U195" s="512">
        <f t="shared" si="15"/>
        <v>0</v>
      </c>
      <c r="V195" s="512">
        <f t="shared" si="15"/>
        <v>0</v>
      </c>
      <c r="W195" s="512">
        <f t="shared" si="15"/>
        <v>0</v>
      </c>
      <c r="X195" s="512">
        <f t="shared" si="15"/>
        <v>0</v>
      </c>
      <c r="Y195" s="512">
        <f t="shared" si="15"/>
        <v>0</v>
      </c>
      <c r="Z195" s="512">
        <f t="shared" si="15"/>
        <v>0</v>
      </c>
    </row>
    <row r="196" spans="8:26" ht="21" customHeight="1" x14ac:dyDescent="0.2">
      <c r="I196" s="273" t="s">
        <v>696</v>
      </c>
      <c r="J196" s="513" t="str">
        <f>IF(COUNTIF(K196:Z196,"&lt;"&amp;"0")&gt;0,"!","")</f>
        <v/>
      </c>
      <c r="K196" s="512">
        <f t="shared" ref="K196:Z196" si="16">HLOOKUP(K$179,$J$199:$Y$215,17,0)*IF(K$180="нет",0,1)</f>
        <v>0</v>
      </c>
      <c r="L196" s="512">
        <f t="shared" si="16"/>
        <v>0</v>
      </c>
      <c r="M196" s="512">
        <f t="shared" si="16"/>
        <v>0</v>
      </c>
      <c r="N196" s="512">
        <f t="shared" si="16"/>
        <v>0</v>
      </c>
      <c r="O196" s="512">
        <f t="shared" si="16"/>
        <v>0</v>
      </c>
      <c r="P196" s="512">
        <f t="shared" si="16"/>
        <v>0</v>
      </c>
      <c r="Q196" s="512">
        <f t="shared" si="16"/>
        <v>0</v>
      </c>
      <c r="R196" s="512">
        <f t="shared" si="16"/>
        <v>0</v>
      </c>
      <c r="S196" s="512">
        <f t="shared" si="16"/>
        <v>0</v>
      </c>
      <c r="T196" s="512">
        <f t="shared" si="16"/>
        <v>0</v>
      </c>
      <c r="U196" s="512">
        <f t="shared" si="16"/>
        <v>0</v>
      </c>
      <c r="V196" s="512">
        <f t="shared" si="16"/>
        <v>0</v>
      </c>
      <c r="W196" s="512">
        <f t="shared" si="16"/>
        <v>0</v>
      </c>
      <c r="X196" s="512">
        <f t="shared" si="16"/>
        <v>0</v>
      </c>
      <c r="Y196" s="512">
        <f t="shared" si="16"/>
        <v>0</v>
      </c>
      <c r="Z196" s="512">
        <f t="shared" si="16"/>
        <v>0</v>
      </c>
    </row>
    <row r="198" spans="8:26" ht="18.75" x14ac:dyDescent="0.3">
      <c r="I198" s="291" t="s">
        <v>361</v>
      </c>
      <c r="J198" s="291"/>
      <c r="K198" s="291"/>
      <c r="L198" s="291"/>
      <c r="M198"/>
      <c r="O198" s="534" t="s">
        <v>713</v>
      </c>
      <c r="S198" s="534" t="s">
        <v>718</v>
      </c>
      <c r="T198" s="534" t="s">
        <v>716</v>
      </c>
      <c r="X198" s="534" t="s">
        <v>717</v>
      </c>
      <c r="Y198" s="534" t="s">
        <v>715</v>
      </c>
    </row>
    <row r="199" spans="8:26" ht="38.25" x14ac:dyDescent="0.25">
      <c r="I199" s="454"/>
      <c r="J199" s="273" t="s">
        <v>359</v>
      </c>
      <c r="K199" s="273" t="s">
        <v>360</v>
      </c>
      <c r="L199" s="273" t="s">
        <v>58</v>
      </c>
      <c r="M199" s="273" t="s">
        <v>345</v>
      </c>
      <c r="N199" s="273" t="s">
        <v>382</v>
      </c>
      <c r="O199" s="273" t="s">
        <v>386</v>
      </c>
      <c r="P199" s="273" t="s">
        <v>409</v>
      </c>
      <c r="Q199" s="273" t="s">
        <v>598</v>
      </c>
      <c r="R199" s="273" t="s">
        <v>637</v>
      </c>
      <c r="S199" s="273" t="s">
        <v>639</v>
      </c>
      <c r="T199" s="273" t="s">
        <v>647</v>
      </c>
      <c r="U199" s="273" t="s">
        <v>645</v>
      </c>
      <c r="V199" s="273" t="s">
        <v>646</v>
      </c>
      <c r="W199" s="484" t="s">
        <v>649</v>
      </c>
      <c r="X199" s="484" t="s">
        <v>652</v>
      </c>
      <c r="Y199" s="273" t="s">
        <v>696</v>
      </c>
    </row>
    <row r="200" spans="8:26" ht="20.25" x14ac:dyDescent="0.2">
      <c r="H200" s="534"/>
      <c r="I200" s="273" t="s">
        <v>359</v>
      </c>
      <c r="J200" s="547">
        <v>0</v>
      </c>
      <c r="K200" s="547">
        <v>0</v>
      </c>
      <c r="L200" s="547">
        <v>0</v>
      </c>
      <c r="M200" s="547">
        <v>0</v>
      </c>
      <c r="N200" s="547">
        <v>0</v>
      </c>
      <c r="O200" s="477">
        <v>0</v>
      </c>
      <c r="P200" s="547">
        <v>0</v>
      </c>
      <c r="Q200" s="547">
        <v>0</v>
      </c>
      <c r="R200" s="547">
        <v>0</v>
      </c>
      <c r="S200" s="477">
        <v>0</v>
      </c>
      <c r="T200" s="477">
        <v>0</v>
      </c>
      <c r="U200" s="547">
        <v>0</v>
      </c>
      <c r="V200" s="547">
        <v>0</v>
      </c>
      <c r="W200" s="547">
        <v>0</v>
      </c>
      <c r="X200" s="477">
        <v>0</v>
      </c>
      <c r="Y200" s="477">
        <v>0</v>
      </c>
    </row>
    <row r="201" spans="8:26" ht="20.25" x14ac:dyDescent="0.2">
      <c r="H201" s="534"/>
      <c r="I201" s="273" t="s">
        <v>360</v>
      </c>
      <c r="J201" s="547">
        <v>0</v>
      </c>
      <c r="K201" s="547">
        <v>0</v>
      </c>
      <c r="L201" s="547">
        <v>0</v>
      </c>
      <c r="M201" s="547">
        <v>0</v>
      </c>
      <c r="N201" s="547">
        <v>0</v>
      </c>
      <c r="O201" s="477">
        <v>0</v>
      </c>
      <c r="P201" s="547">
        <v>0</v>
      </c>
      <c r="Q201" s="547">
        <v>0</v>
      </c>
      <c r="R201" s="547">
        <v>0</v>
      </c>
      <c r="S201" s="477">
        <v>0</v>
      </c>
      <c r="T201" s="477">
        <v>0</v>
      </c>
      <c r="U201" s="547">
        <v>0</v>
      </c>
      <c r="V201" s="547">
        <v>0</v>
      </c>
      <c r="W201" s="547">
        <v>0</v>
      </c>
      <c r="X201" s="477">
        <v>0</v>
      </c>
      <c r="Y201" s="477">
        <v>0</v>
      </c>
    </row>
    <row r="202" spans="8:26" ht="20.25" x14ac:dyDescent="0.2">
      <c r="H202" s="534"/>
      <c r="I202" s="273" t="s">
        <v>58</v>
      </c>
      <c r="J202" s="547">
        <v>0</v>
      </c>
      <c r="K202" s="547">
        <v>0</v>
      </c>
      <c r="L202" s="547">
        <v>0</v>
      </c>
      <c r="M202" s="547">
        <v>0</v>
      </c>
      <c r="N202" s="547">
        <v>0</v>
      </c>
      <c r="O202" s="477">
        <v>0</v>
      </c>
      <c r="P202" s="547">
        <v>0</v>
      </c>
      <c r="Q202" s="547">
        <v>0</v>
      </c>
      <c r="R202" s="547">
        <v>0</v>
      </c>
      <c r="S202" s="477">
        <v>0</v>
      </c>
      <c r="T202" s="477">
        <v>0</v>
      </c>
      <c r="U202" s="547">
        <v>0</v>
      </c>
      <c r="V202" s="547">
        <v>0</v>
      </c>
      <c r="W202" s="547">
        <v>0</v>
      </c>
      <c r="X202" s="477">
        <v>0</v>
      </c>
      <c r="Y202" s="477">
        <v>0</v>
      </c>
    </row>
    <row r="203" spans="8:26" ht="20.25" x14ac:dyDescent="0.2">
      <c r="H203" s="534"/>
      <c r="I203" s="273" t="s">
        <v>345</v>
      </c>
      <c r="J203" s="547">
        <v>0</v>
      </c>
      <c r="K203" s="547">
        <v>0</v>
      </c>
      <c r="L203" s="547">
        <v>0</v>
      </c>
      <c r="M203" s="547">
        <v>0</v>
      </c>
      <c r="N203" s="547">
        <v>0</v>
      </c>
      <c r="O203" s="477">
        <v>0</v>
      </c>
      <c r="P203" s="547">
        <v>0</v>
      </c>
      <c r="Q203" s="547">
        <v>0</v>
      </c>
      <c r="R203" s="547">
        <v>0</v>
      </c>
      <c r="S203" s="477">
        <v>0</v>
      </c>
      <c r="T203" s="477">
        <v>0</v>
      </c>
      <c r="U203" s="547">
        <v>0</v>
      </c>
      <c r="V203" s="547">
        <v>0</v>
      </c>
      <c r="W203" s="547">
        <v>0</v>
      </c>
      <c r="X203" s="477">
        <v>0</v>
      </c>
      <c r="Y203" s="477">
        <v>0</v>
      </c>
    </row>
    <row r="204" spans="8:26" ht="20.25" x14ac:dyDescent="0.2">
      <c r="H204" s="534"/>
      <c r="I204" s="273" t="s">
        <v>382</v>
      </c>
      <c r="J204" s="547">
        <v>0</v>
      </c>
      <c r="K204" s="547">
        <v>0</v>
      </c>
      <c r="L204" s="547">
        <v>0</v>
      </c>
      <c r="M204" s="547">
        <v>0</v>
      </c>
      <c r="N204" s="547">
        <v>0</v>
      </c>
      <c r="O204" s="477">
        <v>0</v>
      </c>
      <c r="P204" s="547">
        <v>0</v>
      </c>
      <c r="Q204" s="547">
        <v>0</v>
      </c>
      <c r="R204" s="547">
        <v>0</v>
      </c>
      <c r="S204" s="477">
        <v>0</v>
      </c>
      <c r="T204" s="477">
        <v>0</v>
      </c>
      <c r="U204" s="547">
        <v>0</v>
      </c>
      <c r="V204" s="547">
        <v>0</v>
      </c>
      <c r="W204" s="547">
        <v>0</v>
      </c>
      <c r="X204" s="477">
        <v>0</v>
      </c>
      <c r="Y204" s="477">
        <v>0</v>
      </c>
    </row>
    <row r="205" spans="8:26" ht="20.25" x14ac:dyDescent="0.2">
      <c r="H205" s="534" t="s">
        <v>713</v>
      </c>
      <c r="I205" s="273" t="s">
        <v>386</v>
      </c>
      <c r="J205" s="477">
        <v>0</v>
      </c>
      <c r="K205" s="477">
        <v>0</v>
      </c>
      <c r="L205" s="477">
        <v>0</v>
      </c>
      <c r="M205" s="477">
        <v>0</v>
      </c>
      <c r="N205" s="477">
        <v>0</v>
      </c>
      <c r="O205" s="477">
        <v>1</v>
      </c>
      <c r="P205" s="477">
        <v>0</v>
      </c>
      <c r="Q205" s="477">
        <v>0</v>
      </c>
      <c r="R205" s="477">
        <v>0</v>
      </c>
      <c r="S205" s="477">
        <v>1</v>
      </c>
      <c r="T205" s="477">
        <v>1</v>
      </c>
      <c r="U205" s="477">
        <v>0</v>
      </c>
      <c r="V205" s="477">
        <v>0</v>
      </c>
      <c r="W205" s="477">
        <v>0</v>
      </c>
      <c r="X205" s="477">
        <v>1</v>
      </c>
      <c r="Y205" s="477">
        <v>-1</v>
      </c>
    </row>
    <row r="206" spans="8:26" ht="20.25" x14ac:dyDescent="0.2">
      <c r="H206" s="534"/>
      <c r="I206" s="273" t="s">
        <v>409</v>
      </c>
      <c r="J206" s="547">
        <v>0</v>
      </c>
      <c r="K206" s="547">
        <v>0</v>
      </c>
      <c r="L206" s="547">
        <v>0</v>
      </c>
      <c r="M206" s="547">
        <v>0</v>
      </c>
      <c r="N206" s="547">
        <v>0</v>
      </c>
      <c r="O206" s="477">
        <v>0</v>
      </c>
      <c r="P206" s="547">
        <v>0</v>
      </c>
      <c r="Q206" s="547">
        <v>0</v>
      </c>
      <c r="R206" s="547">
        <v>0</v>
      </c>
      <c r="S206" s="477">
        <v>0</v>
      </c>
      <c r="T206" s="477">
        <v>0</v>
      </c>
      <c r="U206" s="547">
        <v>0</v>
      </c>
      <c r="V206" s="547">
        <v>0</v>
      </c>
      <c r="W206" s="547">
        <v>0</v>
      </c>
      <c r="X206" s="477">
        <v>0</v>
      </c>
      <c r="Y206" s="477">
        <v>0</v>
      </c>
    </row>
    <row r="207" spans="8:26" ht="19.350000000000001" customHeight="1" x14ac:dyDescent="0.2">
      <c r="H207" s="534"/>
      <c r="I207" s="273" t="s">
        <v>598</v>
      </c>
      <c r="J207" s="547">
        <v>0</v>
      </c>
      <c r="K207" s="547">
        <v>0</v>
      </c>
      <c r="L207" s="547">
        <v>0</v>
      </c>
      <c r="M207" s="547">
        <v>0</v>
      </c>
      <c r="N207" s="547">
        <v>0</v>
      </c>
      <c r="O207" s="477">
        <v>0</v>
      </c>
      <c r="P207" s="547">
        <v>0</v>
      </c>
      <c r="Q207" s="547">
        <v>0</v>
      </c>
      <c r="R207" s="547">
        <v>0</v>
      </c>
      <c r="S207" s="477">
        <v>0</v>
      </c>
      <c r="T207" s="477">
        <v>0</v>
      </c>
      <c r="U207" s="547">
        <v>0</v>
      </c>
      <c r="V207" s="547">
        <v>0</v>
      </c>
      <c r="W207" s="547">
        <v>0</v>
      </c>
      <c r="X207" s="477">
        <v>0</v>
      </c>
      <c r="Y207" s="477">
        <v>0</v>
      </c>
    </row>
    <row r="208" spans="8:26" ht="22.35" customHeight="1" x14ac:dyDescent="0.2">
      <c r="H208" s="534"/>
      <c r="I208" s="273" t="s">
        <v>637</v>
      </c>
      <c r="J208" s="547">
        <v>0</v>
      </c>
      <c r="K208" s="547">
        <v>0</v>
      </c>
      <c r="L208" s="547">
        <v>0</v>
      </c>
      <c r="M208" s="547">
        <v>0</v>
      </c>
      <c r="N208" s="547">
        <v>0</v>
      </c>
      <c r="O208" s="477">
        <v>0</v>
      </c>
      <c r="P208" s="547">
        <v>0</v>
      </c>
      <c r="Q208" s="547">
        <v>0</v>
      </c>
      <c r="R208" s="547">
        <v>0</v>
      </c>
      <c r="S208" s="477">
        <v>0</v>
      </c>
      <c r="T208" s="477">
        <v>0</v>
      </c>
      <c r="U208" s="547">
        <v>0</v>
      </c>
      <c r="V208" s="547">
        <v>0</v>
      </c>
      <c r="W208" s="547">
        <v>0</v>
      </c>
      <c r="X208" s="477">
        <v>0</v>
      </c>
      <c r="Y208" s="477">
        <v>0</v>
      </c>
    </row>
    <row r="209" spans="2:25" ht="20.25" x14ac:dyDescent="0.2">
      <c r="H209" s="534" t="s">
        <v>718</v>
      </c>
      <c r="I209" s="273" t="s">
        <v>639</v>
      </c>
      <c r="J209" s="477">
        <v>0</v>
      </c>
      <c r="K209" s="477">
        <v>0</v>
      </c>
      <c r="L209" s="477">
        <v>0</v>
      </c>
      <c r="M209" s="477">
        <v>0</v>
      </c>
      <c r="N209" s="477">
        <v>0</v>
      </c>
      <c r="O209" s="477">
        <v>1</v>
      </c>
      <c r="P209" s="477">
        <v>0</v>
      </c>
      <c r="Q209" s="477">
        <v>0</v>
      </c>
      <c r="R209" s="477">
        <v>0</v>
      </c>
      <c r="S209" s="477">
        <v>1</v>
      </c>
      <c r="T209" s="477">
        <v>1</v>
      </c>
      <c r="U209" s="477">
        <v>0</v>
      </c>
      <c r="V209" s="477">
        <v>0</v>
      </c>
      <c r="W209" s="477">
        <v>0</v>
      </c>
      <c r="X209" s="477">
        <v>1</v>
      </c>
      <c r="Y209" s="477">
        <v>1</v>
      </c>
    </row>
    <row r="210" spans="2:25" ht="20.25" x14ac:dyDescent="0.2">
      <c r="H210" s="534" t="s">
        <v>716</v>
      </c>
      <c r="I210" s="273" t="s">
        <v>647</v>
      </c>
      <c r="J210" s="477">
        <v>0</v>
      </c>
      <c r="K210" s="477">
        <v>0</v>
      </c>
      <c r="L210" s="477">
        <v>0</v>
      </c>
      <c r="M210" s="477">
        <v>0</v>
      </c>
      <c r="N210" s="477">
        <v>0</v>
      </c>
      <c r="O210" s="477">
        <v>1</v>
      </c>
      <c r="P210" s="477">
        <v>0</v>
      </c>
      <c r="Q210" s="477">
        <v>0</v>
      </c>
      <c r="R210" s="477">
        <v>0</v>
      </c>
      <c r="S210" s="477">
        <v>1</v>
      </c>
      <c r="T210" s="477">
        <v>1</v>
      </c>
      <c r="U210" s="477">
        <v>0</v>
      </c>
      <c r="V210" s="477">
        <v>0</v>
      </c>
      <c r="W210" s="477">
        <v>0</v>
      </c>
      <c r="X210" s="477">
        <v>1</v>
      </c>
      <c r="Y210" s="477">
        <v>1</v>
      </c>
    </row>
    <row r="211" spans="2:25" ht="20.25" x14ac:dyDescent="0.2">
      <c r="H211" s="534"/>
      <c r="I211" s="273" t="s">
        <v>645</v>
      </c>
      <c r="J211" s="547">
        <v>0</v>
      </c>
      <c r="K211" s="547">
        <v>0</v>
      </c>
      <c r="L211" s="547">
        <v>0</v>
      </c>
      <c r="M211" s="547">
        <v>0</v>
      </c>
      <c r="N211" s="547">
        <v>0</v>
      </c>
      <c r="O211" s="477">
        <v>0</v>
      </c>
      <c r="P211" s="547">
        <v>0</v>
      </c>
      <c r="Q211" s="547">
        <v>0</v>
      </c>
      <c r="R211" s="547">
        <v>0</v>
      </c>
      <c r="S211" s="477">
        <v>0</v>
      </c>
      <c r="T211" s="477">
        <v>0</v>
      </c>
      <c r="U211" s="547">
        <v>0</v>
      </c>
      <c r="V211" s="547">
        <v>0</v>
      </c>
      <c r="W211" s="547">
        <v>0</v>
      </c>
      <c r="X211" s="477">
        <v>0</v>
      </c>
      <c r="Y211" s="477">
        <v>0</v>
      </c>
    </row>
    <row r="212" spans="2:25" ht="20.25" x14ac:dyDescent="0.2">
      <c r="H212" s="534"/>
      <c r="I212" s="273" t="s">
        <v>646</v>
      </c>
      <c r="J212" s="547">
        <v>0</v>
      </c>
      <c r="K212" s="547">
        <v>0</v>
      </c>
      <c r="L212" s="547">
        <v>0</v>
      </c>
      <c r="M212" s="547">
        <v>0</v>
      </c>
      <c r="N212" s="547">
        <v>0</v>
      </c>
      <c r="O212" s="477">
        <v>0</v>
      </c>
      <c r="P212" s="547">
        <v>0</v>
      </c>
      <c r="Q212" s="547">
        <v>0</v>
      </c>
      <c r="R212" s="547">
        <v>0</v>
      </c>
      <c r="S212" s="477">
        <v>0</v>
      </c>
      <c r="T212" s="477">
        <v>0</v>
      </c>
      <c r="U212" s="547">
        <v>0</v>
      </c>
      <c r="V212" s="547">
        <v>0</v>
      </c>
      <c r="W212" s="547">
        <v>0</v>
      </c>
      <c r="X212" s="477">
        <v>0</v>
      </c>
      <c r="Y212" s="477">
        <v>0</v>
      </c>
    </row>
    <row r="213" spans="2:25" ht="20.25" x14ac:dyDescent="0.2">
      <c r="H213" s="534"/>
      <c r="I213" s="273" t="s">
        <v>649</v>
      </c>
      <c r="J213" s="547">
        <v>0</v>
      </c>
      <c r="K213" s="547">
        <v>0</v>
      </c>
      <c r="L213" s="547">
        <v>0</v>
      </c>
      <c r="M213" s="547">
        <v>0</v>
      </c>
      <c r="N213" s="547">
        <v>0</v>
      </c>
      <c r="O213" s="477">
        <v>0</v>
      </c>
      <c r="P213" s="547">
        <v>0</v>
      </c>
      <c r="Q213" s="547">
        <v>0</v>
      </c>
      <c r="R213" s="547">
        <v>0</v>
      </c>
      <c r="S213" s="477">
        <v>0</v>
      </c>
      <c r="T213" s="477">
        <v>0</v>
      </c>
      <c r="U213" s="547">
        <v>0</v>
      </c>
      <c r="V213" s="547">
        <v>0</v>
      </c>
      <c r="W213" s="547">
        <v>0</v>
      </c>
      <c r="X213" s="477">
        <v>0</v>
      </c>
      <c r="Y213" s="477">
        <v>0</v>
      </c>
    </row>
    <row r="214" spans="2:25" ht="20.25" x14ac:dyDescent="0.2">
      <c r="H214" s="534" t="s">
        <v>717</v>
      </c>
      <c r="I214" s="273" t="s">
        <v>652</v>
      </c>
      <c r="J214" s="477">
        <v>0</v>
      </c>
      <c r="K214" s="477">
        <v>0</v>
      </c>
      <c r="L214" s="477">
        <v>0</v>
      </c>
      <c r="M214" s="477">
        <v>0</v>
      </c>
      <c r="N214" s="477">
        <v>0</v>
      </c>
      <c r="O214" s="477">
        <v>1</v>
      </c>
      <c r="P214" s="477">
        <v>0</v>
      </c>
      <c r="Q214" s="477">
        <v>0</v>
      </c>
      <c r="R214" s="477">
        <v>0</v>
      </c>
      <c r="S214" s="477">
        <v>1</v>
      </c>
      <c r="T214" s="477">
        <v>1</v>
      </c>
      <c r="U214" s="477">
        <v>0</v>
      </c>
      <c r="V214" s="477">
        <v>0</v>
      </c>
      <c r="W214" s="477">
        <v>0</v>
      </c>
      <c r="X214" s="477">
        <v>1</v>
      </c>
      <c r="Y214" s="477">
        <v>1</v>
      </c>
    </row>
    <row r="215" spans="2:25" ht="20.25" x14ac:dyDescent="0.2">
      <c r="H215" s="534" t="s">
        <v>715</v>
      </c>
      <c r="I215" s="273" t="s">
        <v>696</v>
      </c>
      <c r="J215" s="477">
        <v>0</v>
      </c>
      <c r="K215" s="477">
        <v>0</v>
      </c>
      <c r="L215" s="477">
        <v>0</v>
      </c>
      <c r="M215" s="477">
        <v>0</v>
      </c>
      <c r="N215" s="477">
        <v>0</v>
      </c>
      <c r="O215" s="477">
        <v>-1</v>
      </c>
      <c r="P215" s="477">
        <v>1</v>
      </c>
      <c r="Q215" s="477">
        <v>0</v>
      </c>
      <c r="R215" s="477">
        <v>0</v>
      </c>
      <c r="S215" s="477">
        <v>1</v>
      </c>
      <c r="T215" s="477">
        <v>1</v>
      </c>
      <c r="U215" s="477">
        <v>0</v>
      </c>
      <c r="V215" s="477">
        <v>0</v>
      </c>
      <c r="W215" s="477">
        <v>0</v>
      </c>
      <c r="X215" s="477">
        <v>1</v>
      </c>
      <c r="Y215" s="477">
        <v>1</v>
      </c>
    </row>
    <row r="216" spans="2:25" ht="20.25" x14ac:dyDescent="0.2">
      <c r="H216" s="534"/>
      <c r="I216" s="273" t="s">
        <v>706</v>
      </c>
      <c r="J216" s="547">
        <v>0</v>
      </c>
      <c r="K216" s="547">
        <v>0</v>
      </c>
      <c r="L216" s="547">
        <v>0</v>
      </c>
      <c r="M216" s="547">
        <v>0</v>
      </c>
      <c r="N216" s="547">
        <v>0</v>
      </c>
      <c r="O216" s="477">
        <v>0</v>
      </c>
      <c r="P216" s="547">
        <v>0</v>
      </c>
      <c r="Q216" s="547">
        <v>0</v>
      </c>
      <c r="R216" s="547">
        <v>0</v>
      </c>
      <c r="S216" s="477">
        <v>0</v>
      </c>
      <c r="T216" s="477">
        <v>0</v>
      </c>
      <c r="U216" s="547">
        <v>0</v>
      </c>
      <c r="V216" s="547">
        <v>0</v>
      </c>
      <c r="W216" s="547">
        <v>0</v>
      </c>
      <c r="X216" s="477">
        <v>0</v>
      </c>
      <c r="Y216" s="477">
        <v>0</v>
      </c>
    </row>
    <row r="217" spans="2:25" x14ac:dyDescent="0.2">
      <c r="B217" s="144" t="s">
        <v>744</v>
      </c>
      <c r="C217" s="569">
        <v>0.16591</v>
      </c>
    </row>
    <row r="218" spans="2:25" x14ac:dyDescent="0.2">
      <c r="B218" s="144" t="s">
        <v>745</v>
      </c>
      <c r="C218" s="569">
        <v>0.17176</v>
      </c>
    </row>
    <row r="219" spans="2:25" x14ac:dyDescent="0.2">
      <c r="B219" s="144" t="s">
        <v>746</v>
      </c>
      <c r="C219" s="569">
        <v>0.21253</v>
      </c>
    </row>
    <row r="220" spans="2:25" x14ac:dyDescent="0.2">
      <c r="C220" s="569"/>
    </row>
  </sheetData>
  <sortState ref="K8:K18">
    <sortCondition ref="K9"/>
  </sortState>
  <customSheetViews>
    <customSheetView guid="{A6ED9047-BF5F-4715-989F-6B73F8A8D111}" scale="85" state="hidden" topLeftCell="D93">
      <selection activeCell="Q116" sqref="Q116"/>
      <pageMargins left="0.7" right="0.7" top="0.75" bottom="0.75" header="0.3" footer="0.3"/>
      <pageSetup paperSize="9" orientation="portrait" r:id="rId1"/>
    </customSheetView>
  </customSheetViews>
  <mergeCells count="1">
    <mergeCell ref="J83:K83"/>
  </mergeCells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7" operator="containsText" id="{FBA1D91A-7C33-4EB0-88E3-DABA809EC270}">
            <xm:f>NOT(ISERROR(SEARCH("-",J159)))</xm:f>
            <xm:f>"-"</xm:f>
            <x14:dxf>
              <font>
                <color rgb="FFFF0000"/>
              </font>
            </x14:dxf>
          </x14:cfRule>
          <x14:cfRule type="containsText" priority="178" operator="containsText" id="{C22E5116-F606-49C3-BAD0-C7339727972C}">
            <xm:f>NOT(ISERROR(SEARCH("+",J159)))</xm:f>
            <xm:f>"+"</xm:f>
            <x14:dxf>
              <font>
                <color rgb="FF00B050"/>
              </font>
            </x14:dxf>
          </x14:cfRule>
          <xm:sqref>J168:Q169 S164 V164 J159:V163 V168:V169 S168:S169 S173:S174 V173:V174 J173:Q174 J170:V172</xm:sqref>
        </x14:conditionalFormatting>
        <x14:conditionalFormatting xmlns:xm="http://schemas.microsoft.com/office/excel/2006/main">
          <x14:cfRule type="containsText" priority="173" operator="containsText" id="{3C193077-F4FF-49DB-8C21-800D3CB326C9}">
            <xm:f>NOT(ISERROR(SEARCH("-",J164)))</xm:f>
            <xm:f>"-"</xm:f>
            <x14:dxf>
              <font>
                <color rgb="FFFF0000"/>
              </font>
            </x14:dxf>
          </x14:cfRule>
          <x14:cfRule type="containsText" priority="174" operator="containsText" id="{5F992569-6614-4B36-82C0-8B3059F762BC}">
            <xm:f>NOT(ISERROR(SEARCH("+",J164)))</xm:f>
            <xm:f>"+"</xm:f>
            <x14:dxf>
              <font>
                <color rgb="FF00B050"/>
              </font>
            </x14:dxf>
          </x14:cfRule>
          <xm:sqref>J164:O164 J165:V167</xm:sqref>
        </x14:conditionalFormatting>
        <x14:conditionalFormatting xmlns:xm="http://schemas.microsoft.com/office/excel/2006/main">
          <x14:cfRule type="containsText" priority="171" operator="containsText" id="{B4B1282B-A55D-47B3-A89E-834AB28A9956}">
            <xm:f>NOT(ISERROR(SEARCH("-",J200)))</xm:f>
            <xm:f>"-"</xm:f>
            <x14:dxf>
              <font>
                <color rgb="FFFF0000"/>
              </font>
            </x14:dxf>
          </x14:cfRule>
          <x14:cfRule type="containsText" priority="172" operator="containsText" id="{CBDCFEDD-DD54-4BD0-9C3D-669E444479C1}">
            <xm:f>NOT(ISERROR(SEARCH("+",J200)))</xm:f>
            <xm:f>"+"</xm:f>
            <x14:dxf>
              <font>
                <color rgb="FF00B050"/>
              </font>
            </x14:dxf>
          </x14:cfRule>
          <xm:sqref>J200:Y204</xm:sqref>
        </x14:conditionalFormatting>
        <x14:conditionalFormatting xmlns:xm="http://schemas.microsoft.com/office/excel/2006/main">
          <x14:cfRule type="containsText" priority="165" operator="containsText" id="{39F3C5C5-7F26-464B-BD21-190197B035BC}">
            <xm:f>NOT(ISERROR(SEARCH("-",J205)))</xm:f>
            <xm:f>"-"</xm:f>
            <x14:dxf>
              <font>
                <color rgb="FFFF0000"/>
              </font>
            </x14:dxf>
          </x14:cfRule>
          <x14:cfRule type="containsText" priority="166" operator="containsText" id="{F461342E-F15A-4ADF-B21B-AEE23CEAF309}">
            <xm:f>NOT(ISERROR(SEARCH("+",J205)))</xm:f>
            <xm:f>"+"</xm:f>
            <x14:dxf>
              <font>
                <color rgb="FF00B050"/>
              </font>
            </x14:dxf>
          </x14:cfRule>
          <xm:sqref>J205:N205</xm:sqref>
        </x14:conditionalFormatting>
        <x14:conditionalFormatting xmlns:xm="http://schemas.microsoft.com/office/excel/2006/main">
          <x14:cfRule type="containsText" priority="161" operator="containsText" id="{B7FFE08C-0A2E-47DB-82DC-AD9F446E71AB}">
            <xm:f>NOT(ISERROR(SEARCH("-",O205)))</xm:f>
            <xm:f>"-"</xm:f>
            <x14:dxf>
              <font>
                <color rgb="FFFF0000"/>
              </font>
            </x14:dxf>
          </x14:cfRule>
          <x14:cfRule type="containsText" priority="162" operator="containsText" id="{03507544-361F-45A9-83A6-A67802E12A63}">
            <xm:f>NOT(ISERROR(SEARCH("+",O205)))</xm:f>
            <xm:f>"+"</xm:f>
            <x14:dxf>
              <font>
                <color rgb="FF00B050"/>
              </font>
            </x14:dxf>
          </x14:cfRule>
          <xm:sqref>O205</xm:sqref>
        </x14:conditionalFormatting>
        <x14:conditionalFormatting xmlns:xm="http://schemas.microsoft.com/office/excel/2006/main">
          <x14:cfRule type="containsText" priority="159" operator="containsText" id="{BD80A34C-DAA7-4CA8-9C41-C111F6384478}">
            <xm:f>NOT(ISERROR(SEARCH("-",J200)))</xm:f>
            <xm:f>"-"</xm:f>
            <x14:dxf>
              <font>
                <color rgb="FFFF0000"/>
              </font>
            </x14:dxf>
          </x14:cfRule>
          <x14:cfRule type="containsText" priority="160" operator="containsText" id="{734A6DBF-E5D7-4008-81CB-FF5F1D4F5922}">
            <xm:f>NOT(ISERROR(SEARCH("+",J200)))</xm:f>
            <xm:f>"+"</xm:f>
            <x14:dxf>
              <font>
                <color rgb="FF00B050"/>
              </font>
            </x14:dxf>
          </x14:cfRule>
          <xm:sqref>J200:Y204 J205:R205 J206:Y208</xm:sqref>
        </x14:conditionalFormatting>
        <x14:conditionalFormatting xmlns:xm="http://schemas.microsoft.com/office/excel/2006/main">
          <x14:cfRule type="containsText" priority="157" operator="containsText" id="{220C3653-75B0-4483-B9D9-4B970C3D084A}">
            <xm:f>NOT(ISERROR(SEARCH("-",P205)))</xm:f>
            <xm:f>"-"</xm:f>
            <x14:dxf>
              <font>
                <color rgb="FFFF0000"/>
              </font>
            </x14:dxf>
          </x14:cfRule>
          <x14:cfRule type="containsText" priority="158" operator="containsText" id="{921F6D39-02AA-4463-B750-8CFDEBD025EE}">
            <xm:f>NOT(ISERROR(SEARCH("+",P205)))</xm:f>
            <xm:f>"+"</xm:f>
            <x14:dxf>
              <font>
                <color rgb="FF00B050"/>
              </font>
            </x14:dxf>
          </x14:cfRule>
          <xm:sqref>P205</xm:sqref>
        </x14:conditionalFormatting>
        <x14:conditionalFormatting xmlns:xm="http://schemas.microsoft.com/office/excel/2006/main">
          <x14:cfRule type="containsText" priority="151" operator="containsText" id="{CE0EB5AC-04C8-45DB-8469-98F5FE19D3FC}">
            <xm:f>NOT(ISERROR(SEARCH("-",P164)))</xm:f>
            <xm:f>"-"</xm:f>
            <x14:dxf>
              <font>
                <color rgb="FFFF0000"/>
              </font>
            </x14:dxf>
          </x14:cfRule>
          <x14:cfRule type="containsText" priority="152" operator="containsText" id="{D4CA4D08-667C-41F5-849A-0CD1913E2321}">
            <xm:f>NOT(ISERROR(SEARCH("+",P164)))</xm:f>
            <xm:f>"+"</xm:f>
            <x14:dxf>
              <font>
                <color rgb="FF00B050"/>
              </font>
            </x14:dxf>
          </x14:cfRule>
          <xm:sqref>P164</xm:sqref>
        </x14:conditionalFormatting>
        <x14:conditionalFormatting xmlns:xm="http://schemas.microsoft.com/office/excel/2006/main">
          <x14:cfRule type="containsText" priority="149" operator="containsText" id="{8DC71DDF-1047-469B-B617-EDD738721BB3}">
            <xm:f>NOT(ISERROR(SEARCH("-",Q164)))</xm:f>
            <xm:f>"-"</xm:f>
            <x14:dxf>
              <font>
                <color rgb="FFFF0000"/>
              </font>
            </x14:dxf>
          </x14:cfRule>
          <x14:cfRule type="containsText" priority="150" operator="containsText" id="{9DA39B4A-CA0B-4E37-9491-A53BC84CE02B}">
            <xm:f>NOT(ISERROR(SEARCH("+",Q164)))</xm:f>
            <xm:f>"+"</xm:f>
            <x14:dxf>
              <font>
                <color rgb="FF00B050"/>
              </font>
            </x14:dxf>
          </x14:cfRule>
          <xm:sqref>Q164</xm:sqref>
        </x14:conditionalFormatting>
        <x14:conditionalFormatting xmlns:xm="http://schemas.microsoft.com/office/excel/2006/main">
          <x14:cfRule type="containsText" priority="145" operator="containsText" id="{C252125D-DFB5-4B1E-A1E3-3F3F1B99AF53}">
            <xm:f>NOT(ISERROR(SEARCH("-",J209)))</xm:f>
            <xm:f>"-"</xm:f>
            <x14:dxf>
              <font>
                <color rgb="FFFF0000"/>
              </font>
            </x14:dxf>
          </x14:cfRule>
          <x14:cfRule type="containsText" priority="146" operator="containsText" id="{E9AE086F-D028-486A-9823-990BF602BDDB}">
            <xm:f>NOT(ISERROR(SEARCH("+",J209)))</xm:f>
            <xm:f>"+"</xm:f>
            <x14:dxf>
              <font>
                <color rgb="FF00B050"/>
              </font>
            </x14:dxf>
          </x14:cfRule>
          <xm:sqref>J209:R210 J214:R214 J211:Y213</xm:sqref>
        </x14:conditionalFormatting>
        <x14:conditionalFormatting xmlns:xm="http://schemas.microsoft.com/office/excel/2006/main">
          <x14:cfRule type="containsText" priority="143" operator="containsText" id="{6B228E5A-4B15-483E-9ADD-2601446FEF6D}">
            <xm:f>NOT(ISERROR(SEARCH("-",S205)))</xm:f>
            <xm:f>"-"</xm:f>
            <x14:dxf>
              <font>
                <color rgb="FFFF0000"/>
              </font>
            </x14:dxf>
          </x14:cfRule>
          <x14:cfRule type="containsText" priority="144" operator="containsText" id="{86307E4F-C6FD-4E02-B2EB-7CA6B6A5DAA9}">
            <xm:f>NOT(ISERROR(SEARCH("+",S205)))</xm:f>
            <xm:f>"+"</xm:f>
            <x14:dxf>
              <font>
                <color rgb="FF00B050"/>
              </font>
            </x14:dxf>
          </x14:cfRule>
          <xm:sqref>S205 S209:S210 S214</xm:sqref>
        </x14:conditionalFormatting>
        <x14:conditionalFormatting xmlns:xm="http://schemas.microsoft.com/office/excel/2006/main">
          <x14:cfRule type="containsText" priority="141" operator="containsText" id="{3FF95C9E-7CDC-46ED-9298-76BC3151673E}">
            <xm:f>NOT(ISERROR(SEARCH("-",R164)))</xm:f>
            <xm:f>"-"</xm:f>
            <x14:dxf>
              <font>
                <color rgb="FFFF0000"/>
              </font>
            </x14:dxf>
          </x14:cfRule>
          <x14:cfRule type="containsText" priority="142" operator="containsText" id="{3E5A354F-0A4A-47ED-8564-1377E0D60612}">
            <xm:f>NOT(ISERROR(SEARCH("+",R164)))</xm:f>
            <xm:f>"+"</xm:f>
            <x14:dxf>
              <font>
                <color rgb="FF00B050"/>
              </font>
            </x14:dxf>
          </x14:cfRule>
          <xm:sqref>R164 R168:R169 R173:R174</xm:sqref>
        </x14:conditionalFormatting>
        <x14:conditionalFormatting xmlns:xm="http://schemas.microsoft.com/office/excel/2006/main">
          <x14:cfRule type="containsText" priority="139" operator="containsText" id="{A363DA8C-7032-4199-8C83-CA30A0C4BD59}">
            <xm:f>NOT(ISERROR(SEARCH("-",T205)))</xm:f>
            <xm:f>"-"</xm:f>
            <x14:dxf>
              <font>
                <color rgb="FFFF0000"/>
              </font>
            </x14:dxf>
          </x14:cfRule>
          <x14:cfRule type="containsText" priority="140" operator="containsText" id="{871C38A9-5753-446F-9AC7-982281AB9813}">
            <xm:f>NOT(ISERROR(SEARCH("+",T205)))</xm:f>
            <xm:f>"+"</xm:f>
            <x14:dxf>
              <font>
                <color rgb="FF00B050"/>
              </font>
            </x14:dxf>
          </x14:cfRule>
          <xm:sqref>T205:X205 T209:X210 T214:X214</xm:sqref>
        </x14:conditionalFormatting>
        <x14:conditionalFormatting xmlns:xm="http://schemas.microsoft.com/office/excel/2006/main">
          <x14:cfRule type="containsText" priority="135" operator="containsText" id="{DD1AA02A-D654-42AB-867E-7F6375783841}">
            <xm:f>NOT(ISERROR(SEARCH("-",J215)))</xm:f>
            <xm:f>"-"</xm:f>
            <x14:dxf>
              <font>
                <color rgb="FFFF0000"/>
              </font>
            </x14:dxf>
          </x14:cfRule>
          <x14:cfRule type="containsText" priority="136" operator="containsText" id="{079DD1CB-3539-4246-BFB3-BE8DDD568283}">
            <xm:f>NOT(ISERROR(SEARCH("+",J215)))</xm:f>
            <xm:f>"+"</xm:f>
            <x14:dxf>
              <font>
                <color rgb="FF00B050"/>
              </font>
            </x14:dxf>
          </x14:cfRule>
          <xm:sqref>J215</xm:sqref>
        </x14:conditionalFormatting>
        <x14:conditionalFormatting xmlns:xm="http://schemas.microsoft.com/office/excel/2006/main">
          <x14:cfRule type="containsText" priority="133" operator="containsText" id="{5B032948-3C64-411E-9370-764BEAF69256}">
            <xm:f>NOT(ISERROR(SEARCH("-",K215)))</xm:f>
            <xm:f>"-"</xm:f>
            <x14:dxf>
              <font>
                <color rgb="FFFF0000"/>
              </font>
            </x14:dxf>
          </x14:cfRule>
          <x14:cfRule type="containsText" priority="134" operator="containsText" id="{9D2F35A7-BB02-46A3-B2F1-A3540DC8C51C}">
            <xm:f>NOT(ISERROR(SEARCH("+",K215)))</xm:f>
            <xm:f>"+"</xm:f>
            <x14:dxf>
              <font>
                <color rgb="FF00B050"/>
              </font>
            </x14:dxf>
          </x14:cfRule>
          <xm:sqref>K215</xm:sqref>
        </x14:conditionalFormatting>
        <x14:conditionalFormatting xmlns:xm="http://schemas.microsoft.com/office/excel/2006/main">
          <x14:cfRule type="containsText" priority="131" operator="containsText" id="{443D1255-32C7-449F-B5DC-09A91AA2D2B0}">
            <xm:f>NOT(ISERROR(SEARCH("-",L215)))</xm:f>
            <xm:f>"-"</xm:f>
            <x14:dxf>
              <font>
                <color rgb="FFFF0000"/>
              </font>
            </x14:dxf>
          </x14:cfRule>
          <x14:cfRule type="containsText" priority="132" operator="containsText" id="{A0EEF42C-CF14-4282-A742-0797AF66F100}">
            <xm:f>NOT(ISERROR(SEARCH("+",L215)))</xm:f>
            <xm:f>"+"</xm:f>
            <x14:dxf>
              <font>
                <color rgb="FF00B050"/>
              </font>
            </x14:dxf>
          </x14:cfRule>
          <xm:sqref>L215</xm:sqref>
        </x14:conditionalFormatting>
        <x14:conditionalFormatting xmlns:xm="http://schemas.microsoft.com/office/excel/2006/main">
          <x14:cfRule type="containsText" priority="129" operator="containsText" id="{56321F03-BC44-4AC1-A67D-165D96E3DEE7}">
            <xm:f>NOT(ISERROR(SEARCH("-",M215)))</xm:f>
            <xm:f>"-"</xm:f>
            <x14:dxf>
              <font>
                <color rgb="FFFF0000"/>
              </font>
            </x14:dxf>
          </x14:cfRule>
          <x14:cfRule type="containsText" priority="130" operator="containsText" id="{DE430A6E-212D-4E29-89DB-C3E3DADD3B42}">
            <xm:f>NOT(ISERROR(SEARCH("+",M215)))</xm:f>
            <xm:f>"+"</xm:f>
            <x14:dxf>
              <font>
                <color rgb="FF00B050"/>
              </font>
            </x14:dxf>
          </x14:cfRule>
          <xm:sqref>M215</xm:sqref>
        </x14:conditionalFormatting>
        <x14:conditionalFormatting xmlns:xm="http://schemas.microsoft.com/office/excel/2006/main">
          <x14:cfRule type="containsText" priority="127" operator="containsText" id="{24809B7B-0454-4AC7-AF07-DA285B15B57F}">
            <xm:f>NOT(ISERROR(SEARCH("-",N215)))</xm:f>
            <xm:f>"-"</xm:f>
            <x14:dxf>
              <font>
                <color rgb="FFFF0000"/>
              </font>
            </x14:dxf>
          </x14:cfRule>
          <x14:cfRule type="containsText" priority="128" operator="containsText" id="{0E63E9A6-700B-491F-A3FD-0414BD0F657A}">
            <xm:f>NOT(ISERROR(SEARCH("+",N215)))</xm:f>
            <xm:f>"+"</xm:f>
            <x14:dxf>
              <font>
                <color rgb="FF00B050"/>
              </font>
            </x14:dxf>
          </x14:cfRule>
          <xm:sqref>N215</xm:sqref>
        </x14:conditionalFormatting>
        <x14:conditionalFormatting xmlns:xm="http://schemas.microsoft.com/office/excel/2006/main">
          <x14:cfRule type="containsText" priority="125" operator="containsText" id="{EC9900C3-FB85-486B-9922-B3A965A2D375}">
            <xm:f>NOT(ISERROR(SEARCH("-",O215)))</xm:f>
            <xm:f>"-"</xm:f>
            <x14:dxf>
              <font>
                <color rgb="FFFF0000"/>
              </font>
            </x14:dxf>
          </x14:cfRule>
          <x14:cfRule type="containsText" priority="126" operator="containsText" id="{CBE82F4A-88AF-46B3-8724-0CCF0D43290B}">
            <xm:f>NOT(ISERROR(SEARCH("+",O215)))</xm:f>
            <xm:f>"+"</xm:f>
            <x14:dxf>
              <font>
                <color rgb="FF00B050"/>
              </font>
            </x14:dxf>
          </x14:cfRule>
          <xm:sqref>O215</xm:sqref>
        </x14:conditionalFormatting>
        <x14:conditionalFormatting xmlns:xm="http://schemas.microsoft.com/office/excel/2006/main">
          <x14:cfRule type="containsText" priority="123" operator="containsText" id="{89CD9A38-B892-4FC8-9B06-808B381C49B6}">
            <xm:f>NOT(ISERROR(SEARCH("-",P215)))</xm:f>
            <xm:f>"-"</xm:f>
            <x14:dxf>
              <font>
                <color rgb="FFFF0000"/>
              </font>
            </x14:dxf>
          </x14:cfRule>
          <x14:cfRule type="containsText" priority="124" operator="containsText" id="{135F8473-E2AB-4CCD-A6A0-E71C6C452B46}">
            <xm:f>NOT(ISERROR(SEARCH("+",P215)))</xm:f>
            <xm:f>"+"</xm:f>
            <x14:dxf>
              <font>
                <color rgb="FF00B050"/>
              </font>
            </x14:dxf>
          </x14:cfRule>
          <xm:sqref>P215</xm:sqref>
        </x14:conditionalFormatting>
        <x14:conditionalFormatting xmlns:xm="http://schemas.microsoft.com/office/excel/2006/main">
          <x14:cfRule type="containsText" priority="121" operator="containsText" id="{5479D50B-0306-4C96-BCF2-265B984502E5}">
            <xm:f>NOT(ISERROR(SEARCH("-",Q215)))</xm:f>
            <xm:f>"-"</xm:f>
            <x14:dxf>
              <font>
                <color rgb="FFFF0000"/>
              </font>
            </x14:dxf>
          </x14:cfRule>
          <x14:cfRule type="containsText" priority="122" operator="containsText" id="{B2DB6E50-8F2B-476C-952B-1B33730575C5}">
            <xm:f>NOT(ISERROR(SEARCH("+",Q215)))</xm:f>
            <xm:f>"+"</xm:f>
            <x14:dxf>
              <font>
                <color rgb="FF00B050"/>
              </font>
            </x14:dxf>
          </x14:cfRule>
          <xm:sqref>Q215</xm:sqref>
        </x14:conditionalFormatting>
        <x14:conditionalFormatting xmlns:xm="http://schemas.microsoft.com/office/excel/2006/main">
          <x14:cfRule type="containsText" priority="119" operator="containsText" id="{EA1F7ABE-C096-4882-9473-FC8F56A7894D}">
            <xm:f>NOT(ISERROR(SEARCH("-",R215)))</xm:f>
            <xm:f>"-"</xm:f>
            <x14:dxf>
              <font>
                <color rgb="FFFF0000"/>
              </font>
            </x14:dxf>
          </x14:cfRule>
          <x14:cfRule type="containsText" priority="120" operator="containsText" id="{2BC3164F-AAC5-407B-A14F-CA1AF56B6CEC}">
            <xm:f>NOT(ISERROR(SEARCH("+",R215)))</xm:f>
            <xm:f>"+"</xm:f>
            <x14:dxf>
              <font>
                <color rgb="FF00B050"/>
              </font>
            </x14:dxf>
          </x14:cfRule>
          <xm:sqref>R215</xm:sqref>
        </x14:conditionalFormatting>
        <x14:conditionalFormatting xmlns:xm="http://schemas.microsoft.com/office/excel/2006/main">
          <x14:cfRule type="containsText" priority="117" operator="containsText" id="{C388AF66-878C-4EC0-805A-51664ABE1878}">
            <xm:f>NOT(ISERROR(SEARCH("-",S215)))</xm:f>
            <xm:f>"-"</xm:f>
            <x14:dxf>
              <font>
                <color rgb="FFFF0000"/>
              </font>
            </x14:dxf>
          </x14:cfRule>
          <x14:cfRule type="containsText" priority="118" operator="containsText" id="{3529DEFB-F6B1-4645-8593-70951F05B65F}">
            <xm:f>NOT(ISERROR(SEARCH("+",S215)))</xm:f>
            <xm:f>"+"</xm:f>
            <x14:dxf>
              <font>
                <color rgb="FF00B050"/>
              </font>
            </x14:dxf>
          </x14:cfRule>
          <xm:sqref>S215</xm:sqref>
        </x14:conditionalFormatting>
        <x14:conditionalFormatting xmlns:xm="http://schemas.microsoft.com/office/excel/2006/main">
          <x14:cfRule type="containsText" priority="115" operator="containsText" id="{4B181AE9-BDF8-4B9A-B2FC-7638BD5CA429}">
            <xm:f>NOT(ISERROR(SEARCH("-",T215)))</xm:f>
            <xm:f>"-"</xm:f>
            <x14:dxf>
              <font>
                <color rgb="FFFF0000"/>
              </font>
            </x14:dxf>
          </x14:cfRule>
          <x14:cfRule type="containsText" priority="116" operator="containsText" id="{8C7ABEFF-4D14-4A04-81F9-B03D853C185C}">
            <xm:f>NOT(ISERROR(SEARCH("+",T215)))</xm:f>
            <xm:f>"+"</xm:f>
            <x14:dxf>
              <font>
                <color rgb="FF00B050"/>
              </font>
            </x14:dxf>
          </x14:cfRule>
          <xm:sqref>T215</xm:sqref>
        </x14:conditionalFormatting>
        <x14:conditionalFormatting xmlns:xm="http://schemas.microsoft.com/office/excel/2006/main">
          <x14:cfRule type="containsText" priority="113" operator="containsText" id="{0DA58E80-C3FA-4CAE-8DB6-6B40E8145775}">
            <xm:f>NOT(ISERROR(SEARCH("-",U215)))</xm:f>
            <xm:f>"-"</xm:f>
            <x14:dxf>
              <font>
                <color rgb="FFFF0000"/>
              </font>
            </x14:dxf>
          </x14:cfRule>
          <x14:cfRule type="containsText" priority="114" operator="containsText" id="{05059FDC-1F94-4798-B22D-3D2145A7B97C}">
            <xm:f>NOT(ISERROR(SEARCH("+",U215)))</xm:f>
            <xm:f>"+"</xm:f>
            <x14:dxf>
              <font>
                <color rgb="FF00B050"/>
              </font>
            </x14:dxf>
          </x14:cfRule>
          <xm:sqref>U215</xm:sqref>
        </x14:conditionalFormatting>
        <x14:conditionalFormatting xmlns:xm="http://schemas.microsoft.com/office/excel/2006/main">
          <x14:cfRule type="containsText" priority="111" operator="containsText" id="{23788D68-502A-4552-AE3E-DDF2AF7EB086}">
            <xm:f>NOT(ISERROR(SEARCH("-",V215)))</xm:f>
            <xm:f>"-"</xm:f>
            <x14:dxf>
              <font>
                <color rgb="FFFF0000"/>
              </font>
            </x14:dxf>
          </x14:cfRule>
          <x14:cfRule type="containsText" priority="112" operator="containsText" id="{22E4CCAA-7DA4-4C8D-91EC-9300ED503FA0}">
            <xm:f>NOT(ISERROR(SEARCH("+",V215)))</xm:f>
            <xm:f>"+"</xm:f>
            <x14:dxf>
              <font>
                <color rgb="FF00B050"/>
              </font>
            </x14:dxf>
          </x14:cfRule>
          <xm:sqref>V215</xm:sqref>
        </x14:conditionalFormatting>
        <x14:conditionalFormatting xmlns:xm="http://schemas.microsoft.com/office/excel/2006/main">
          <x14:cfRule type="containsText" priority="109" operator="containsText" id="{CBC825DD-605C-4D69-B168-EAE8A4A58A72}">
            <xm:f>NOT(ISERROR(SEARCH("-",W215)))</xm:f>
            <xm:f>"-"</xm:f>
            <x14:dxf>
              <font>
                <color rgb="FFFF0000"/>
              </font>
            </x14:dxf>
          </x14:cfRule>
          <x14:cfRule type="containsText" priority="110" operator="containsText" id="{2A4B24E6-4F35-45DB-BC1F-7FBEEBEFD93F}">
            <xm:f>NOT(ISERROR(SEARCH("+",W215)))</xm:f>
            <xm:f>"+"</xm:f>
            <x14:dxf>
              <font>
                <color rgb="FF00B050"/>
              </font>
            </x14:dxf>
          </x14:cfRule>
          <xm:sqref>W215</xm:sqref>
        </x14:conditionalFormatting>
        <x14:conditionalFormatting xmlns:xm="http://schemas.microsoft.com/office/excel/2006/main">
          <x14:cfRule type="containsText" priority="107" operator="containsText" id="{A6D799B0-D469-47DC-832E-2709FFD8F5D7}">
            <xm:f>NOT(ISERROR(SEARCH("-",X215)))</xm:f>
            <xm:f>"-"</xm:f>
            <x14:dxf>
              <font>
                <color rgb="FFFF0000"/>
              </font>
            </x14:dxf>
          </x14:cfRule>
          <x14:cfRule type="containsText" priority="108" operator="containsText" id="{386B9B3A-2225-48C0-89BB-B662209C817A}">
            <xm:f>NOT(ISERROR(SEARCH("+",X215)))</xm:f>
            <xm:f>"+"</xm:f>
            <x14:dxf>
              <font>
                <color rgb="FF00B050"/>
              </font>
            </x14:dxf>
          </x14:cfRule>
          <xm:sqref>X215</xm:sqref>
        </x14:conditionalFormatting>
        <x14:conditionalFormatting xmlns:xm="http://schemas.microsoft.com/office/excel/2006/main">
          <x14:cfRule type="containsText" priority="95" operator="containsText" id="{2A094F5B-0F1B-4A3A-8580-73877DB04F5A}">
            <xm:f>NOT(ISERROR(SEARCH("-",Y205)))</xm:f>
            <xm:f>"-"</xm:f>
            <x14:dxf>
              <font>
                <color rgb="FFFF0000"/>
              </font>
            </x14:dxf>
          </x14:cfRule>
          <x14:cfRule type="containsText" priority="96" operator="containsText" id="{BDBEBB9F-5DFB-4D09-AF30-AEC2EB04940C}">
            <xm:f>NOT(ISERROR(SEARCH("+",Y205)))</xm:f>
            <xm:f>"+"</xm:f>
            <x14:dxf>
              <font>
                <color rgb="FF00B050"/>
              </font>
            </x14:dxf>
          </x14:cfRule>
          <xm:sqref>Y205</xm:sqref>
        </x14:conditionalFormatting>
        <x14:conditionalFormatting xmlns:xm="http://schemas.microsoft.com/office/excel/2006/main">
          <x14:cfRule type="containsText" priority="87" operator="containsText" id="{44398A3D-6960-40F2-BA69-0A43050957C2}">
            <xm:f>NOT(ISERROR(SEARCH("-",Y209)))</xm:f>
            <xm:f>"-"</xm:f>
            <x14:dxf>
              <font>
                <color rgb="FFFF0000"/>
              </font>
            </x14:dxf>
          </x14:cfRule>
          <x14:cfRule type="containsText" priority="88" operator="containsText" id="{7FF43E43-2975-44C5-BAC3-5731A9319FC7}">
            <xm:f>NOT(ISERROR(SEARCH("+",Y209)))</xm:f>
            <xm:f>"+"</xm:f>
            <x14:dxf>
              <font>
                <color rgb="FF00B050"/>
              </font>
            </x14:dxf>
          </x14:cfRule>
          <xm:sqref>Y209</xm:sqref>
        </x14:conditionalFormatting>
        <x14:conditionalFormatting xmlns:xm="http://schemas.microsoft.com/office/excel/2006/main">
          <x14:cfRule type="containsText" priority="85" operator="containsText" id="{11C0666E-129C-420A-8C48-5BF3F9B22840}">
            <xm:f>NOT(ISERROR(SEARCH("-",Y210)))</xm:f>
            <xm:f>"-"</xm:f>
            <x14:dxf>
              <font>
                <color rgb="FFFF0000"/>
              </font>
            </x14:dxf>
          </x14:cfRule>
          <x14:cfRule type="containsText" priority="86" operator="containsText" id="{96D16F74-884F-4C1F-A1AC-B3BD8ECF92D5}">
            <xm:f>NOT(ISERROR(SEARCH("+",Y210)))</xm:f>
            <xm:f>"+"</xm:f>
            <x14:dxf>
              <font>
                <color rgb="FF00B050"/>
              </font>
            </x14:dxf>
          </x14:cfRule>
          <xm:sqref>Y210</xm:sqref>
        </x14:conditionalFormatting>
        <x14:conditionalFormatting xmlns:xm="http://schemas.microsoft.com/office/excel/2006/main">
          <x14:cfRule type="containsText" priority="77" operator="containsText" id="{7D05C7FD-F486-459E-9B18-8B5D5A1D6B35}">
            <xm:f>NOT(ISERROR(SEARCH("-",Y214)))</xm:f>
            <xm:f>"-"</xm:f>
            <x14:dxf>
              <font>
                <color rgb="FFFF0000"/>
              </font>
            </x14:dxf>
          </x14:cfRule>
          <x14:cfRule type="containsText" priority="78" operator="containsText" id="{FD515AFE-FFC9-458D-B36C-43C6872261E5}">
            <xm:f>NOT(ISERROR(SEARCH("+",Y214)))</xm:f>
            <xm:f>"+"</xm:f>
            <x14:dxf>
              <font>
                <color rgb="FF00B050"/>
              </font>
            </x14:dxf>
          </x14:cfRule>
          <xm:sqref>Y214</xm:sqref>
        </x14:conditionalFormatting>
        <x14:conditionalFormatting xmlns:xm="http://schemas.microsoft.com/office/excel/2006/main">
          <x14:cfRule type="containsText" priority="75" operator="containsText" id="{548BF51F-9055-4F70-A08B-AF3744E0122D}">
            <xm:f>NOT(ISERROR(SEARCH("-",Y215)))</xm:f>
            <xm:f>"-"</xm:f>
            <x14:dxf>
              <font>
                <color rgb="FFFF0000"/>
              </font>
            </x14:dxf>
          </x14:cfRule>
          <x14:cfRule type="containsText" priority="76" operator="containsText" id="{A0C5971E-1058-4191-896C-19C870A5D4E6}">
            <xm:f>NOT(ISERROR(SEARCH("+",Y215)))</xm:f>
            <xm:f>"+"</xm:f>
            <x14:dxf>
              <font>
                <color rgb="FF00B050"/>
              </font>
            </x14:dxf>
          </x14:cfRule>
          <xm:sqref>Y215</xm:sqref>
        </x14:conditionalFormatting>
        <x14:conditionalFormatting xmlns:xm="http://schemas.microsoft.com/office/excel/2006/main">
          <x14:cfRule type="containsText" priority="71" operator="containsText" id="{E89159AB-EFC0-4E61-9B40-A85919D46513}">
            <xm:f>NOT(ISERROR(SEARCH("-",T168)))</xm:f>
            <xm:f>"-"</xm:f>
            <x14:dxf>
              <font>
                <color rgb="FFFF0000"/>
              </font>
            </x14:dxf>
          </x14:cfRule>
          <x14:cfRule type="containsText" priority="72" operator="containsText" id="{07879576-A092-45FF-B311-51B6DB5BEC61}">
            <xm:f>NOT(ISERROR(SEARCH("+",T168)))</xm:f>
            <xm:f>"+"</xm:f>
            <x14:dxf>
              <font>
                <color rgb="FF00B050"/>
              </font>
            </x14:dxf>
          </x14:cfRule>
          <xm:sqref>T168:T169 T173:T174</xm:sqref>
        </x14:conditionalFormatting>
        <x14:conditionalFormatting xmlns:xm="http://schemas.microsoft.com/office/excel/2006/main">
          <x14:cfRule type="containsText" priority="67" operator="containsText" id="{E9278C51-06EF-4B8D-997B-54213A337AF9}">
            <xm:f>NOT(ISERROR(SEARCH("-",T164)))</xm:f>
            <xm:f>"-"</xm:f>
            <x14:dxf>
              <font>
                <color rgb="FFFF0000"/>
              </font>
            </x14:dxf>
          </x14:cfRule>
          <x14:cfRule type="containsText" priority="68" operator="containsText" id="{BF2C40E1-79A6-4D70-BD06-6C21429B3120}">
            <xm:f>NOT(ISERROR(SEARCH("+",T164)))</xm:f>
            <xm:f>"+"</xm:f>
            <x14:dxf>
              <font>
                <color rgb="FF00B050"/>
              </font>
            </x14:dxf>
          </x14:cfRule>
          <xm:sqref>T164</xm:sqref>
        </x14:conditionalFormatting>
        <x14:conditionalFormatting xmlns:xm="http://schemas.microsoft.com/office/excel/2006/main">
          <x14:cfRule type="containsText" priority="63" operator="containsText" id="{EE8E287E-BB8E-4B7D-B4B9-CFD9FBB7059E}">
            <xm:f>NOT(ISERROR(SEARCH("-",U168)))</xm:f>
            <xm:f>"-"</xm:f>
            <x14:dxf>
              <font>
                <color rgb="FFFF0000"/>
              </font>
            </x14:dxf>
          </x14:cfRule>
          <x14:cfRule type="containsText" priority="64" operator="containsText" id="{E087AD00-A438-417B-ADDB-4CF7365598ED}">
            <xm:f>NOT(ISERROR(SEARCH("+",U168)))</xm:f>
            <xm:f>"+"</xm:f>
            <x14:dxf>
              <font>
                <color rgb="FF00B050"/>
              </font>
            </x14:dxf>
          </x14:cfRule>
          <xm:sqref>U168:U169 U173:U174</xm:sqref>
        </x14:conditionalFormatting>
        <x14:conditionalFormatting xmlns:xm="http://schemas.microsoft.com/office/excel/2006/main">
          <x14:cfRule type="containsText" priority="61" operator="containsText" id="{82F5F1BC-9A86-4CA7-A95E-05E126CF0A5A}">
            <xm:f>NOT(ISERROR(SEARCH("-",U164)))</xm:f>
            <xm:f>"-"</xm:f>
            <x14:dxf>
              <font>
                <color rgb="FFFF0000"/>
              </font>
            </x14:dxf>
          </x14:cfRule>
          <x14:cfRule type="containsText" priority="62" operator="containsText" id="{5DCCDACA-8107-483D-B0F1-0877B03EF625}">
            <xm:f>NOT(ISERROR(SEARCH("+",U164)))</xm:f>
            <xm:f>"+"</xm:f>
            <x14:dxf>
              <font>
                <color rgb="FF00B050"/>
              </font>
            </x14:dxf>
          </x14:cfRule>
          <xm:sqref>U164</xm:sqref>
        </x14:conditionalFormatting>
        <x14:conditionalFormatting xmlns:xm="http://schemas.microsoft.com/office/excel/2006/main">
          <x14:cfRule type="containsText" priority="41" operator="containsText" id="{F90CDA8A-0DBF-4679-A097-288424F4C461}">
            <xm:f>NOT(ISERROR(SEARCH("-",J175)))</xm:f>
            <xm:f>"-"</xm:f>
            <x14:dxf>
              <font>
                <color rgb="FFFF0000"/>
              </font>
            </x14:dxf>
          </x14:cfRule>
          <x14:cfRule type="containsText" priority="42" operator="containsText" id="{4F9F6B79-5C24-477D-AD3F-B7B47A9EED75}">
            <xm:f>NOT(ISERROR(SEARCH("+",J175)))</xm:f>
            <xm:f>"+"</xm:f>
            <x14:dxf>
              <font>
                <color rgb="FF00B050"/>
              </font>
            </x14:dxf>
          </x14:cfRule>
          <xm:sqref>J175:V175</xm:sqref>
        </x14:conditionalFormatting>
        <x14:conditionalFormatting xmlns:xm="http://schemas.microsoft.com/office/excel/2006/main">
          <x14:cfRule type="containsText" priority="27" operator="containsText" id="{8CB87FBA-6171-40F3-B7CD-1AA3D61A1BE8}">
            <xm:f>NOT(ISERROR(SEARCH("-",J216)))</xm:f>
            <xm:f>"-"</xm:f>
            <x14:dxf>
              <font>
                <color rgb="FFFF0000"/>
              </font>
            </x14:dxf>
          </x14:cfRule>
          <x14:cfRule type="containsText" priority="28" operator="containsText" id="{41F533E8-85ED-4FA1-9D7E-482641A38DF1}">
            <xm:f>NOT(ISERROR(SEARCH("+",J216)))</xm:f>
            <xm:f>"+"</xm:f>
            <x14:dxf>
              <font>
                <color rgb="FF00B050"/>
              </font>
            </x14:dxf>
          </x14:cfRule>
          <xm:sqref>J216:Y216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C2:O87"/>
  <sheetViews>
    <sheetView zoomScale="85" zoomScaleNormal="85" workbookViewId="0">
      <selection activeCell="E28" sqref="E28"/>
    </sheetView>
  </sheetViews>
  <sheetFormatPr defaultColWidth="9.140625" defaultRowHeight="12.75" x14ac:dyDescent="0.2"/>
  <cols>
    <col min="1" max="1" width="2.5703125" style="144" customWidth="1"/>
    <col min="2" max="2" width="2" style="144" customWidth="1"/>
    <col min="3" max="3" width="47.140625" style="144" customWidth="1"/>
    <col min="4" max="4" width="1.140625" style="144" customWidth="1"/>
    <col min="5" max="5" width="21.42578125" style="145" customWidth="1"/>
    <col min="6" max="6" width="15.5703125" style="144" customWidth="1"/>
    <col min="7" max="7" width="15.85546875" style="144" customWidth="1"/>
    <col min="8" max="8" width="15.42578125" style="144" customWidth="1"/>
    <col min="9" max="10" width="14" style="144" bestFit="1" customWidth="1"/>
    <col min="11" max="11" width="14" style="144" customWidth="1"/>
    <col min="12" max="12" width="13" style="144" customWidth="1"/>
    <col min="13" max="13" width="12" style="144" customWidth="1"/>
    <col min="14" max="14" width="12.5703125" style="144" customWidth="1"/>
    <col min="15" max="16384" width="9.140625" style="144"/>
  </cols>
  <sheetData>
    <row r="2" spans="3:8" x14ac:dyDescent="0.2">
      <c r="C2" s="158" t="s">
        <v>97</v>
      </c>
      <c r="E2" s="159" t="str">
        <f>'Калькулятор_от дохода'!$P$13</f>
        <v>Приобретение жилья на этапе строительства</v>
      </c>
    </row>
    <row r="3" spans="3:8" x14ac:dyDescent="0.2">
      <c r="C3" s="160" t="s">
        <v>70</v>
      </c>
      <c r="E3" s="159" t="str">
        <f>'Калькулятор_от дохода'!$P$11</f>
        <v>г.Москва</v>
      </c>
      <c r="F3" s="144" t="str">
        <f>IF(VLOOKUP(E3,'Справочники и промежут.расчет'!B25:E107,4,0)="ДФО","ДФО","")</f>
        <v/>
      </c>
    </row>
    <row r="5" spans="3:8" x14ac:dyDescent="0.2">
      <c r="C5" s="161" t="s">
        <v>196</v>
      </c>
      <c r="D5" s="162"/>
      <c r="E5" s="161" t="s">
        <v>73</v>
      </c>
      <c r="F5" s="161" t="s">
        <v>74</v>
      </c>
      <c r="G5" s="161" t="s">
        <v>75</v>
      </c>
      <c r="H5" s="161" t="s">
        <v>76</v>
      </c>
    </row>
    <row r="6" spans="3:8" ht="27.75" customHeight="1" x14ac:dyDescent="0.2">
      <c r="C6" s="160" t="s">
        <v>197</v>
      </c>
      <c r="D6" s="163"/>
      <c r="E6" s="164">
        <f>'Калькулятор_от дохода'!P138</f>
        <v>100000</v>
      </c>
      <c r="F6" s="164">
        <f>'Калькулятор_от дохода'!R82</f>
        <v>0</v>
      </c>
      <c r="G6" s="164">
        <f>'Калькулятор_от дохода'!T82</f>
        <v>0</v>
      </c>
      <c r="H6" s="164">
        <f>'Калькулятор_от дохода'!V82</f>
        <v>0</v>
      </c>
    </row>
    <row r="7" spans="3:8" x14ac:dyDescent="0.2">
      <c r="C7" s="161" t="s">
        <v>79</v>
      </c>
      <c r="D7" s="163"/>
      <c r="E7" s="164"/>
      <c r="F7" s="158"/>
      <c r="G7" s="158"/>
      <c r="H7" s="158"/>
    </row>
    <row r="8" spans="3:8" x14ac:dyDescent="0.2">
      <c r="C8" s="165" t="s">
        <v>198</v>
      </c>
      <c r="D8" s="163"/>
      <c r="E8" s="164">
        <f>'Калькулятор_от дохода'!P89</f>
        <v>0</v>
      </c>
      <c r="F8" s="164">
        <f>'Калькулятор_от дохода'!R89</f>
        <v>0</v>
      </c>
      <c r="G8" s="164">
        <f>'Калькулятор_от дохода'!T89</f>
        <v>0</v>
      </c>
      <c r="H8" s="164">
        <f>'Калькулятор_от дохода'!V89</f>
        <v>0</v>
      </c>
    </row>
    <row r="9" spans="3:8" ht="38.25" x14ac:dyDescent="0.2">
      <c r="C9" s="160" t="s">
        <v>199</v>
      </c>
      <c r="D9" s="163"/>
      <c r="E9" s="164">
        <f>'Калькулятор_от дохода'!P84</f>
        <v>0</v>
      </c>
      <c r="F9" s="164">
        <f>'Калькулятор_от дохода'!R91</f>
        <v>0</v>
      </c>
      <c r="G9" s="164">
        <f>'Калькулятор_от дохода'!T91</f>
        <v>0</v>
      </c>
      <c r="H9" s="164">
        <f>'Калькулятор_от дохода'!U91</f>
        <v>0</v>
      </c>
    </row>
    <row r="10" spans="3:8" ht="25.5" x14ac:dyDescent="0.2">
      <c r="C10" s="160" t="s">
        <v>200</v>
      </c>
      <c r="D10" s="163"/>
      <c r="E10" s="164">
        <f>'Калькулятор_от дохода'!P93</f>
        <v>0</v>
      </c>
      <c r="F10" s="164">
        <f>'Калькулятор_от дохода'!R93</f>
        <v>0</v>
      </c>
      <c r="G10" s="164">
        <f>'Калькулятор_от дохода'!T93</f>
        <v>0</v>
      </c>
      <c r="H10" s="164">
        <f>'Калькулятор_от дохода'!V93</f>
        <v>0</v>
      </c>
    </row>
    <row r="11" spans="3:8" ht="27" customHeight="1" x14ac:dyDescent="0.2">
      <c r="C11" s="160" t="s">
        <v>201</v>
      </c>
      <c r="D11" s="163"/>
      <c r="E11" s="166">
        <f>E10*'Справочники и промежут.расчет'!$D$8</f>
        <v>0</v>
      </c>
      <c r="F11" s="166">
        <f>F10*'Справочники и промежут.расчет'!$D$8</f>
        <v>0</v>
      </c>
      <c r="G11" s="166">
        <f>G10*'Справочники и промежут.расчет'!$D$8</f>
        <v>0</v>
      </c>
      <c r="H11" s="166">
        <f>H10*'Справочники и промежут.расчет'!$D$8</f>
        <v>0</v>
      </c>
    </row>
    <row r="12" spans="3:8" ht="15.75" customHeight="1" x14ac:dyDescent="0.2">
      <c r="C12" s="160" t="s">
        <v>202</v>
      </c>
      <c r="D12" s="163"/>
      <c r="E12" s="164"/>
      <c r="F12" s="164"/>
      <c r="G12" s="164"/>
      <c r="H12" s="164"/>
    </row>
    <row r="13" spans="3:8" s="168" customFormat="1" ht="17.25" customHeight="1" x14ac:dyDescent="0.25">
      <c r="C13" s="167" t="s">
        <v>203</v>
      </c>
      <c r="D13" s="169"/>
      <c r="E13" s="164">
        <f>'Калькулятор_от дохода'!P79</f>
        <v>21</v>
      </c>
      <c r="F13" s="164">
        <f>'Калькулятор_от дохода'!R83</f>
        <v>0</v>
      </c>
      <c r="G13" s="164">
        <f>'Калькулятор_от дохода'!T83</f>
        <v>0</v>
      </c>
      <c r="H13" s="164">
        <f>'Калькулятор_от дохода'!V83</f>
        <v>0</v>
      </c>
    </row>
    <row r="15" spans="3:8" x14ac:dyDescent="0.2">
      <c r="C15" s="160" t="s">
        <v>204</v>
      </c>
      <c r="E15" s="164">
        <f>SUM(E6:H6)</f>
        <v>100000</v>
      </c>
    </row>
    <row r="16" spans="3:8" x14ac:dyDescent="0.2">
      <c r="C16" s="160" t="s">
        <v>205</v>
      </c>
      <c r="E16" s="164">
        <f>SUM(E8:H9)+SUM(E11:H11)</f>
        <v>0</v>
      </c>
    </row>
    <row r="17" spans="3:12" ht="25.5" x14ac:dyDescent="0.2">
      <c r="C17" s="160" t="s">
        <v>206</v>
      </c>
      <c r="E17" s="164">
        <f>'Калькулятор_от дохода'!$P$101</f>
        <v>1</v>
      </c>
    </row>
    <row r="18" spans="3:12" ht="25.5" x14ac:dyDescent="0.2">
      <c r="C18" s="160" t="s">
        <v>379</v>
      </c>
      <c r="E18" s="164">
        <f>IF('Калькулятор_от дохода'!$P$11="Чеченская республика",MIN('Калькулятор_от дохода'!P86,2),'Калькулятор_от дохода'!P86)</f>
        <v>0</v>
      </c>
    </row>
    <row r="19" spans="3:12" x14ac:dyDescent="0.2">
      <c r="C19" s="170"/>
    </row>
    <row r="20" spans="3:12" ht="16.5" customHeight="1" x14ac:dyDescent="0.2">
      <c r="C20" s="160" t="s">
        <v>207</v>
      </c>
      <c r="E20" s="164">
        <f>VLOOKUP(E3,'Справочники и промежут.расчет'!$B$25:$C$107,2,0)</f>
        <v>21371</v>
      </c>
      <c r="G20" s="171"/>
    </row>
    <row r="21" spans="3:12" ht="12.75" customHeight="1" x14ac:dyDescent="0.2">
      <c r="C21" s="160" t="s">
        <v>208</v>
      </c>
      <c r="E21" s="164">
        <f>MAX($E$15-$E$16-$E$18*'Справочники и промежут.расчет'!$I$147*$E$20-$E$17*$E$20,0)</f>
        <v>78629</v>
      </c>
    </row>
    <row r="22" spans="3:12" x14ac:dyDescent="0.2">
      <c r="C22" s="160" t="s">
        <v>371</v>
      </c>
      <c r="E22" s="164">
        <f>MAX(E15*'Справочники и промежут.расчет'!$B$14-E16,0)</f>
        <v>60000</v>
      </c>
    </row>
    <row r="23" spans="3:12" x14ac:dyDescent="0.2">
      <c r="C23" s="160" t="s">
        <v>209</v>
      </c>
      <c r="E23" s="294">
        <f>MIN(E21,E22)</f>
        <v>60000</v>
      </c>
    </row>
    <row r="24" spans="3:12" x14ac:dyDescent="0.2">
      <c r="C24" s="172" t="s">
        <v>210</v>
      </c>
      <c r="E24" s="164">
        <f>MAX(MIN('Справочники и промежут.расчет'!$I$144-MAX($E$13:$H$13),'Справочники и промежут.расчет'!$I$142),0)</f>
        <v>30</v>
      </c>
    </row>
    <row r="25" spans="3:12" x14ac:dyDescent="0.2">
      <c r="C25" s="173" t="s">
        <v>211</v>
      </c>
      <c r="E25" s="174" t="str">
        <f>'Калькулятор_от дохода'!P17</f>
        <v>НЕТ</v>
      </c>
    </row>
    <row r="26" spans="3:12" x14ac:dyDescent="0.2">
      <c r="C26" s="173" t="s">
        <v>83</v>
      </c>
      <c r="E26" s="174" t="str">
        <f>'Калькулятор_от дохода'!P103</f>
        <v>ДА</v>
      </c>
    </row>
    <row r="27" spans="3:12" ht="15" x14ac:dyDescent="0.2">
      <c r="C27" s="173" t="s">
        <v>212</v>
      </c>
      <c r="E27" s="175">
        <f>'Калькулятор_от дохода'!$P$105</f>
        <v>0.15010000000000001</v>
      </c>
    </row>
    <row r="28" spans="3:12" ht="15" x14ac:dyDescent="0.2">
      <c r="C28" s="173" t="s">
        <v>213</v>
      </c>
      <c r="E28" s="176">
        <f>'Справочники и промежут.расчет'!$I$78</f>
        <v>0.16600000000000001</v>
      </c>
    </row>
    <row r="29" spans="3:12" ht="15" x14ac:dyDescent="0.2">
      <c r="C29" s="173" t="s">
        <v>214</v>
      </c>
      <c r="E29" s="176"/>
    </row>
    <row r="30" spans="3:12" ht="15" x14ac:dyDescent="0.2">
      <c r="C30" s="173" t="s">
        <v>215</v>
      </c>
      <c r="E30" s="177">
        <f>-PV($E$28/12,'Справочники и промежут.расчет'!$I$142*12-2,$E$23)</f>
        <v>4305639.5793984374</v>
      </c>
      <c r="L30" s="171"/>
    </row>
    <row r="31" spans="3:12" ht="15" x14ac:dyDescent="0.2">
      <c r="C31" s="173" t="s">
        <v>216</v>
      </c>
      <c r="E31" s="178" t="b">
        <f>'Справочники и промежут.расчет'!$J$136</f>
        <v>0</v>
      </c>
    </row>
    <row r="32" spans="3:12" ht="15" x14ac:dyDescent="0.25">
      <c r="C32" s="173" t="s">
        <v>351</v>
      </c>
      <c r="E32" s="179">
        <f>IF(AND(E27&lt;0.2,'Калькулятор_от дохода'!$P$35="да"),'Калькулятор_от дохода'!$V$35/(1-0.8/(1-$E$27)),100000000000000)</f>
        <v>100000000000000</v>
      </c>
      <c r="F32" s="171"/>
      <c r="G32" s="180"/>
      <c r="H32" s="181"/>
    </row>
    <row r="33" spans="3:15" ht="15" x14ac:dyDescent="0.25">
      <c r="C33" s="173" t="s">
        <v>353</v>
      </c>
      <c r="E33" s="179">
        <f>E30+IF('Калькулятор_от дохода'!$P$35="да",'Калькулятор_от дохода'!$V$35,0)</f>
        <v>4305639.5793984374</v>
      </c>
      <c r="F33" s="171"/>
      <c r="G33" s="180"/>
      <c r="H33" s="181"/>
    </row>
    <row r="34" spans="3:15" ht="15" x14ac:dyDescent="0.25">
      <c r="C34" s="173" t="s">
        <v>352</v>
      </c>
      <c r="E34" s="179">
        <f>MIN(E32,E33)</f>
        <v>4305639.5793984374</v>
      </c>
    </row>
    <row r="35" spans="3:15" ht="15" x14ac:dyDescent="0.25">
      <c r="C35" s="173"/>
      <c r="E35" s="179">
        <f>E37-E36</f>
        <v>0</v>
      </c>
      <c r="F35" s="179">
        <f t="shared" ref="F35:I35" si="0">F37-F36</f>
        <v>0</v>
      </c>
      <c r="G35" s="179">
        <f t="shared" si="0"/>
        <v>0</v>
      </c>
      <c r="H35" s="179">
        <f t="shared" si="0"/>
        <v>0</v>
      </c>
      <c r="I35" s="179">
        <f t="shared" si="0"/>
        <v>0</v>
      </c>
    </row>
    <row r="36" spans="3:15" ht="15" x14ac:dyDescent="0.25">
      <c r="C36" s="172" t="s">
        <v>355</v>
      </c>
      <c r="E36" s="182">
        <f>E37-IF('Калькулятор_от дохода'!$P$35="да",'Калькулятор_от дохода'!$V$35,0)</f>
        <v>3961359.9586900515</v>
      </c>
      <c r="F36" s="182">
        <f>F37-IF('Калькулятор_от дохода'!$P$35="да",'Калькулятор_от дохода'!$V$35,0)</f>
        <v>3971550.3973984802</v>
      </c>
      <c r="G36" s="182">
        <f>G37-IF('Калькулятор_от дохода'!$P$35="да",'Калькулятор_от дохода'!$V$35,0)</f>
        <v>4176933.0775550827</v>
      </c>
      <c r="H36" s="182">
        <f>H37-IF('Калькулятор_от дохода'!$P$35="да",'Калькулятор_от дохода'!$V$35,0)</f>
        <v>4267000.9392289054</v>
      </c>
      <c r="I36" s="182">
        <f>I37-IF('Калькулятор_от дохода'!$P$35="да",'Калькулятор_от дохода'!$V$35,0)</f>
        <v>4306499.0103433207</v>
      </c>
    </row>
    <row r="37" spans="3:15" ht="26.25" x14ac:dyDescent="0.25">
      <c r="C37" s="172" t="s">
        <v>217</v>
      </c>
      <c r="E37" s="182">
        <f>-PV($E$28/12,E$41,$E$23)/'Справочники и промежут.расчет'!$J$149+IF('Калькулятор_от дохода'!$P$35="да",'Калькулятор_от дохода'!$V$35,0)</f>
        <v>3961359.9586900515</v>
      </c>
      <c r="F37" s="182">
        <f>-PV($E$28/12,F$41,$E$23)/'Справочники и промежут.расчет'!$J$149+IF('Калькулятор_от дохода'!$P$35="да",'Калькулятор_от дохода'!$V$35,0)</f>
        <v>3971550.3973984802</v>
      </c>
      <c r="G37" s="182">
        <f>-PV($E$28/12,G$41,$E$23)/'Справочники и промежут.расчет'!$J$149+IF('Калькулятор_от дохода'!$P$35="да",'Калькулятор_от дохода'!$V$35,0)</f>
        <v>4176933.0775550827</v>
      </c>
      <c r="H37" s="182">
        <f>-PV($E$28/12,H$41,$E$23)/'Справочники и промежут.расчет'!$J$149+IF('Калькулятор_от дохода'!$P$35="да",'Калькулятор_от дохода'!$V$35,0)</f>
        <v>4267000.9392289054</v>
      </c>
      <c r="I37" s="182">
        <f>-PV($E$28/12,I$41,$E$23)/'Справочники и промежут.расчет'!$J$149+IF('Калькулятор_от дохода'!$P$35="да",'Калькулятор_от дохода'!$V$35,0)</f>
        <v>4306499.0103433207</v>
      </c>
      <c r="J37" s="270"/>
    </row>
    <row r="38" spans="3:15" ht="15" x14ac:dyDescent="0.25">
      <c r="C38" s="173"/>
      <c r="E38" s="179"/>
    </row>
    <row r="39" spans="3:15" x14ac:dyDescent="0.2">
      <c r="C39" s="183" t="s">
        <v>218</v>
      </c>
      <c r="D39" s="158"/>
      <c r="E39" s="164" t="s">
        <v>219</v>
      </c>
      <c r="F39" s="158"/>
      <c r="G39" s="158"/>
      <c r="H39" s="158"/>
      <c r="I39" s="158"/>
    </row>
    <row r="40" spans="3:15" x14ac:dyDescent="0.2">
      <c r="C40" s="172" t="s">
        <v>220</v>
      </c>
      <c r="D40" s="158"/>
      <c r="E40" s="184">
        <f>'Калькулятор_от дохода'!$P$111-2</f>
        <v>178</v>
      </c>
      <c r="F40" s="185">
        <v>180</v>
      </c>
      <c r="G40" s="185">
        <v>240</v>
      </c>
      <c r="H40" s="185">
        <v>300</v>
      </c>
      <c r="I40" s="185">
        <v>360</v>
      </c>
    </row>
    <row r="41" spans="3:15" x14ac:dyDescent="0.2">
      <c r="C41" s="158" t="s">
        <v>221</v>
      </c>
      <c r="D41" s="158"/>
      <c r="E41" s="184">
        <f>IF($E$24*12-E40&gt;=0,E40,0)</f>
        <v>178</v>
      </c>
      <c r="F41" s="164">
        <f>IF($E$24*12-F40&gt;=0,F40,0)</f>
        <v>180</v>
      </c>
      <c r="G41" s="164">
        <f>IF($E$24*12-G40&gt;=0,G40,0)</f>
        <v>240</v>
      </c>
      <c r="H41" s="164">
        <f>IF($E$24*12-H40&gt;=0,H40,0)</f>
        <v>300</v>
      </c>
      <c r="I41" s="164">
        <f>IF($E$24*12-I40&gt;=0,I40,0)</f>
        <v>360</v>
      </c>
    </row>
    <row r="42" spans="3:15" ht="15" x14ac:dyDescent="0.25">
      <c r="C42" s="172" t="s">
        <v>222</v>
      </c>
      <c r="D42" s="158"/>
      <c r="E42" s="184">
        <f>IF(MIN(E37,$E$31,$E$32)&lt;'Справочники и промежут.расчет'!$I$139,0,MIN(E37,$E$31,$E$32))</f>
        <v>3961359.9586900515</v>
      </c>
      <c r="F42" s="184">
        <f>IF(MIN(F37,$E$31,$E$32)&lt;'Справочники и промежут.расчет'!$I$139,0,MIN(F37,$E$31,$E$32))</f>
        <v>3971550.3973984802</v>
      </c>
      <c r="G42" s="184">
        <f>IF(MIN(G37,$E$31,$E$32)&lt;'Справочники и промежут.расчет'!$I$139,0,MIN(G37,$E$31,$E$32))</f>
        <v>4176933.0775550827</v>
      </c>
      <c r="H42" s="184">
        <f>IF(MIN(H37,$E$31,$E$32)&lt;'Справочники и промежут.расчет'!$I$139,0,MIN(H37,$E$31,$E$32))</f>
        <v>4267000.9392289054</v>
      </c>
      <c r="I42" s="184">
        <f>IF(MIN(I37,$E$31,$E$32)&lt;'Справочники и промежут.расчет'!$I$139,0,MIN(I37,$E$31,$E$32))</f>
        <v>4306499.0103433207</v>
      </c>
      <c r="J42" s="186"/>
      <c r="K42" s="186"/>
      <c r="L42" s="186"/>
      <c r="M42" s="186"/>
      <c r="N42" s="186"/>
      <c r="O42" s="186"/>
    </row>
    <row r="43" spans="3:15" x14ac:dyDescent="0.2">
      <c r="C43" s="172" t="s">
        <v>223</v>
      </c>
      <c r="D43" s="158"/>
      <c r="E43" s="184">
        <f>E42/(1-$E$27)*$E$27</f>
        <v>699611.87174888432</v>
      </c>
      <c r="F43" s="184">
        <f t="shared" ref="F43:I43" si="1">F42/(1-$E$27)*$E$27</f>
        <v>701411.59506943391</v>
      </c>
      <c r="G43" s="184">
        <f t="shared" si="1"/>
        <v>737684.02746325207</v>
      </c>
      <c r="H43" s="184">
        <f t="shared" si="1"/>
        <v>753590.82360072806</v>
      </c>
      <c r="I43" s="184">
        <f t="shared" si="1"/>
        <v>760566.53894873802</v>
      </c>
      <c r="K43" s="187"/>
    </row>
    <row r="44" spans="3:15" x14ac:dyDescent="0.2">
      <c r="C44" s="172" t="s">
        <v>93</v>
      </c>
      <c r="D44" s="158"/>
      <c r="E44" s="164">
        <f>E42+E43</f>
        <v>4660971.8304389361</v>
      </c>
      <c r="F44" s="164">
        <f t="shared" ref="F44:I44" si="2">F42+F43</f>
        <v>4672961.9924679138</v>
      </c>
      <c r="G44" s="164">
        <f t="shared" si="2"/>
        <v>4914617.1050183345</v>
      </c>
      <c r="H44" s="164">
        <f t="shared" si="2"/>
        <v>5020591.7628296334</v>
      </c>
      <c r="I44" s="164">
        <f t="shared" si="2"/>
        <v>5067065.5492920587</v>
      </c>
      <c r="L44" s="171"/>
    </row>
    <row r="45" spans="3:15" x14ac:dyDescent="0.2">
      <c r="C45" s="172" t="s">
        <v>224</v>
      </c>
      <c r="D45" s="158"/>
      <c r="E45" s="164">
        <f>E47*E41-E42</f>
        <v>6718640.0413099509</v>
      </c>
      <c r="F45" s="164">
        <f t="shared" ref="F45:I45" si="3">F47*F41-F42</f>
        <v>6828449.6026015216</v>
      </c>
      <c r="G45" s="164">
        <f t="shared" si="3"/>
        <v>10223066.922444915</v>
      </c>
      <c r="H45" s="164">
        <f t="shared" si="3"/>
        <v>13732999.060771098</v>
      </c>
      <c r="I45" s="164">
        <f t="shared" si="3"/>
        <v>17293500.989656676</v>
      </c>
    </row>
    <row r="46" spans="3:15" x14ac:dyDescent="0.2">
      <c r="C46" s="172" t="s">
        <v>225</v>
      </c>
      <c r="E46" s="188">
        <f>-PMT($E$28/12,E$41,E$42)*'Справочники и промежут.расчет'!$J$149</f>
        <v>60000.000000000007</v>
      </c>
      <c r="F46" s="188">
        <f>-PMT($E$28/12,F$41,F$42)*'Справочники и промежут.расчет'!$J$149</f>
        <v>60000.000000000007</v>
      </c>
      <c r="G46" s="188">
        <f>-PMT($E$28/12,G$41,G$42)*'Справочники и промежут.расчет'!$J$149</f>
        <v>59999.999999999993</v>
      </c>
      <c r="H46" s="188">
        <f>-PMT($E$28/12,H$41,H$42)*'Справочники и промежут.расчет'!$J$149</f>
        <v>60000.000000000007</v>
      </c>
      <c r="I46" s="188">
        <f>-PMT($E$28/12,I$41,I$42)*'Справочники и промежут.расчет'!$J$149</f>
        <v>59999.999999999993</v>
      </c>
      <c r="J46" s="189"/>
    </row>
    <row r="47" spans="3:15" x14ac:dyDescent="0.2">
      <c r="C47" s="172" t="s">
        <v>354</v>
      </c>
      <c r="E47" s="188">
        <f>-PMT($E$28/12,E$41,E$42-IF('Калькулятор_от дохода'!$P$35="да",'Калькулятор_от дохода'!$V$35,0))*'Справочники и промежут.расчет'!$J$149</f>
        <v>60000.000000000007</v>
      </c>
      <c r="F47" s="188">
        <f>-PMT($E$28/12,F$41,F$42-IF('Калькулятор_от дохода'!$P$35="да",'Калькулятор_от дохода'!$V$35,0))*'Справочники и промежут.расчет'!$J$149</f>
        <v>60000.000000000007</v>
      </c>
      <c r="G47" s="188">
        <f>-PMT($E$28/12,G$41,G$42-IF('Калькулятор_от дохода'!$P$35="да",'Калькулятор_от дохода'!$V$35,0))*'Справочники и промежут.расчет'!$J$149</f>
        <v>59999.999999999993</v>
      </c>
      <c r="H47" s="188">
        <f>-PMT($E$28/12,H$41,H$42-IF('Калькулятор_от дохода'!$P$35="да",'Калькулятор_от дохода'!$V$35,0))*'Справочники и промежут.расчет'!$J$149</f>
        <v>60000.000000000007</v>
      </c>
      <c r="I47" s="188">
        <f>-PMT($E$28/12,I$41,I$42-IF('Калькулятор_от дохода'!$P$35="да",'Калькулятор_от дохода'!$V$35,0))*'Справочники и промежут.расчет'!$J$149</f>
        <v>59999.999999999993</v>
      </c>
      <c r="J47" s="189"/>
    </row>
    <row r="49" spans="3:11" x14ac:dyDescent="0.2">
      <c r="C49" s="190" t="s">
        <v>123</v>
      </c>
      <c r="E49" s="164" t="s">
        <v>219</v>
      </c>
    </row>
    <row r="50" spans="3:11" x14ac:dyDescent="0.2">
      <c r="C50" s="158" t="s">
        <v>221</v>
      </c>
      <c r="E50" s="184">
        <f>$E$41</f>
        <v>178</v>
      </c>
      <c r="F50" s="191">
        <f>F41</f>
        <v>180</v>
      </c>
      <c r="G50" s="191">
        <f t="shared" ref="G50:I50" si="4">G41</f>
        <v>240</v>
      </c>
      <c r="H50" s="191">
        <f t="shared" si="4"/>
        <v>300</v>
      </c>
      <c r="I50" s="191">
        <f t="shared" si="4"/>
        <v>360</v>
      </c>
    </row>
    <row r="51" spans="3:11" ht="15" x14ac:dyDescent="0.25">
      <c r="C51" s="172" t="s">
        <v>226</v>
      </c>
      <c r="E51" s="184">
        <f>'Калькулятор_от дохода'!$R$139</f>
        <v>20000000</v>
      </c>
      <c r="F51" s="184">
        <f>'Калькулятор_от дохода'!$R$139</f>
        <v>20000000</v>
      </c>
      <c r="G51" s="184">
        <f>'Калькулятор_от дохода'!$R$139</f>
        <v>20000000</v>
      </c>
      <c r="H51" s="184">
        <f>'Калькулятор_от дохода'!$R$139</f>
        <v>20000000</v>
      </c>
      <c r="I51" s="184">
        <f>'Калькулятор_от дохода'!$R$139</f>
        <v>20000000</v>
      </c>
      <c r="K51" s="192"/>
    </row>
    <row r="52" spans="3:11" ht="15" x14ac:dyDescent="0.25">
      <c r="C52" s="172" t="s">
        <v>356</v>
      </c>
      <c r="E52" s="184">
        <f>MAX(E51-IF('Калькулятор_от дохода'!$P$35="да",'Калькулятор_от дохода'!$V$35,0),0)</f>
        <v>20000000</v>
      </c>
      <c r="F52" s="184">
        <f>MAX(F51-IF('Калькулятор_от дохода'!$P$35="да",'Калькулятор_от дохода'!$V$35,0),0)</f>
        <v>20000000</v>
      </c>
      <c r="G52" s="184">
        <f>MAX(G51-IF('Калькулятор_от дохода'!$P$35="да",'Калькулятор_от дохода'!$V$35,0),0)</f>
        <v>20000000</v>
      </c>
      <c r="H52" s="184">
        <f>MAX(H51-IF('Калькулятор_от дохода'!$P$35="да",'Калькулятор_от дохода'!$V$35,0),0)</f>
        <v>20000000</v>
      </c>
      <c r="I52" s="184">
        <f>MAX(I51-IF('Калькулятор_от дохода'!$P$35="да",'Калькулятор_от дохода'!$V$35,0),0)</f>
        <v>20000000</v>
      </c>
      <c r="K52" s="192"/>
    </row>
    <row r="53" spans="3:11" x14ac:dyDescent="0.2">
      <c r="C53" s="172" t="s">
        <v>223</v>
      </c>
      <c r="E53" s="184">
        <f t="shared" ref="E53:I53" si="5">E51/(1-$E$27)*$E$27</f>
        <v>3532180.2565007652</v>
      </c>
      <c r="F53" s="184">
        <f t="shared" si="5"/>
        <v>3532180.2565007652</v>
      </c>
      <c r="G53" s="184">
        <f t="shared" si="5"/>
        <v>3532180.2565007652</v>
      </c>
      <c r="H53" s="184">
        <f t="shared" si="5"/>
        <v>3532180.2565007652</v>
      </c>
      <c r="I53" s="184">
        <f t="shared" si="5"/>
        <v>3532180.2565007652</v>
      </c>
    </row>
    <row r="54" spans="3:11" x14ac:dyDescent="0.2">
      <c r="C54" s="172" t="s">
        <v>93</v>
      </c>
      <c r="E54" s="184">
        <f t="shared" ref="E54:I54" si="6">E53+E51</f>
        <v>23532180.256500766</v>
      </c>
      <c r="F54" s="184">
        <f t="shared" si="6"/>
        <v>23532180.256500766</v>
      </c>
      <c r="G54" s="184">
        <f t="shared" si="6"/>
        <v>23532180.256500766</v>
      </c>
      <c r="H54" s="184">
        <f t="shared" si="6"/>
        <v>23532180.256500766</v>
      </c>
      <c r="I54" s="184">
        <f t="shared" si="6"/>
        <v>23532180.256500766</v>
      </c>
    </row>
    <row r="55" spans="3:11" x14ac:dyDescent="0.2">
      <c r="C55" s="172" t="s">
        <v>224</v>
      </c>
      <c r="E55" s="164">
        <f>MAX(E57*E50-E52,0)</f>
        <v>33920876.221163608</v>
      </c>
      <c r="F55" s="164">
        <f t="shared" ref="F55:I55" si="7">MAX(F57*F50-F52,0)</f>
        <v>34386820.860057183</v>
      </c>
      <c r="G55" s="164">
        <f t="shared" si="7"/>
        <v>48950111.158730209</v>
      </c>
      <c r="H55" s="164">
        <f t="shared" si="7"/>
        <v>64368390.147356287</v>
      </c>
      <c r="I55" s="164">
        <f t="shared" si="7"/>
        <v>80313502.676402628</v>
      </c>
    </row>
    <row r="56" spans="3:11" x14ac:dyDescent="0.2">
      <c r="C56" s="172" t="s">
        <v>225</v>
      </c>
      <c r="E56" s="188">
        <f>-PMT($E$28/12,E$50,E$51)*'Справочники и промежут.расчет'!$J$149</f>
        <v>302926.27090541355</v>
      </c>
      <c r="F56" s="188">
        <f>-PMT($E$28/12,F$50,F$51)*'Справочники и промежут.расчет'!$J$149</f>
        <v>302149.00477809546</v>
      </c>
      <c r="G56" s="188">
        <f>-PMT($E$28/12,G$50,G$51)*'Справочники и промежут.расчет'!$J$149</f>
        <v>287292.12982804253</v>
      </c>
      <c r="H56" s="188">
        <f>-PMT($E$28/12,H$50,H$51)*'Справочники и промежут.расчет'!$J$149</f>
        <v>281227.96715785429</v>
      </c>
      <c r="I56" s="188">
        <f>-PMT($E$28/12,I$50,I$51)*'Справочники и промежут.расчет'!$J$149</f>
        <v>278648.61854556284</v>
      </c>
    </row>
    <row r="57" spans="3:11" x14ac:dyDescent="0.2">
      <c r="C57" s="172" t="s">
        <v>354</v>
      </c>
      <c r="E57" s="188">
        <f>MAX(-PMT($E$28/12,E$50,E$52)*'Справочники и промежут.расчет'!$J$149,0)</f>
        <v>302926.27090541355</v>
      </c>
      <c r="F57" s="188">
        <f>MAX(-PMT($E$28/12,F$50,F$52)*'Справочники и промежут.расчет'!$J$149,0)</f>
        <v>302149.00477809546</v>
      </c>
      <c r="G57" s="188">
        <f>MAX(-PMT($E$28/12,G$50,G$52)*'Справочники и промежут.расчет'!$J$149,0)</f>
        <v>287292.12982804253</v>
      </c>
      <c r="H57" s="188">
        <f>MAX(-PMT($E$28/12,H$50,H$52)*'Справочники и промежут.расчет'!$J$149,0)</f>
        <v>281227.96715785429</v>
      </c>
      <c r="I57" s="188">
        <f>MAX(-PMT($E$28/12,I$50,I$52)*'Справочники и промежут.расчет'!$J$149,0)</f>
        <v>278648.61854556284</v>
      </c>
    </row>
    <row r="58" spans="3:11" x14ac:dyDescent="0.2">
      <c r="C58" s="173" t="s">
        <v>603</v>
      </c>
      <c r="E58" s="293">
        <f>MAX((E57+$E$16)/'Справочники и промежут.расчет'!$B$14,E$57+$E$16+$E$18*'Справочники и промежут.расчет'!$I$147*$E$20+$E$17*$E$20)</f>
        <v>504877.11817568925</v>
      </c>
      <c r="F58" s="293">
        <f>MAX((F57+$E$16)/'Справочники и промежут.расчет'!$B$14,F$57+$E$16+$E$18*'Справочники и промежут.расчет'!$I$147*$E$20+$E$17*$E$20)</f>
        <v>503581.6746301591</v>
      </c>
      <c r="G58" s="293">
        <f>MAX((G57+$E$16)/'Справочники и промежут.расчет'!$B$14,G$57+$E$16+$E$18*'Справочники и промежут.расчет'!$I$147*$E$20+$E$17*$E$20)</f>
        <v>478820.21638007089</v>
      </c>
      <c r="H58" s="293">
        <f>MAX((H57+$E$16)/'Справочники и промежут.расчет'!$B$14,H$57+$E$16+$E$18*'Справочники и промежут.расчет'!$I$147*$E$20+$E$17*$E$20)</f>
        <v>468713.27859642386</v>
      </c>
      <c r="I58" s="293">
        <f>MAX((I57+$E$16)/'Справочники и промежут.расчет'!$B$14,I$57+$E$16+$E$18*'Справочники и промежут.расчет'!$I$147*$E$20+$E$17*$E$20)</f>
        <v>464414.36424260476</v>
      </c>
    </row>
    <row r="59" spans="3:11" x14ac:dyDescent="0.2">
      <c r="C59" s="173"/>
      <c r="E59" s="293"/>
      <c r="F59" s="293"/>
      <c r="G59" s="293"/>
      <c r="H59" s="293"/>
      <c r="I59" s="293"/>
    </row>
    <row r="61" spans="3:11" x14ac:dyDescent="0.2">
      <c r="C61" s="190" t="s">
        <v>125</v>
      </c>
      <c r="E61" s="164" t="s">
        <v>219</v>
      </c>
    </row>
    <row r="62" spans="3:11" x14ac:dyDescent="0.2">
      <c r="C62" s="158" t="s">
        <v>221</v>
      </c>
      <c r="E62" s="184">
        <f>$E$41</f>
        <v>178</v>
      </c>
      <c r="F62" s="191">
        <f>F41</f>
        <v>180</v>
      </c>
      <c r="G62" s="191">
        <f t="shared" ref="G62:I62" si="8">G41</f>
        <v>240</v>
      </c>
      <c r="H62" s="191">
        <f t="shared" si="8"/>
        <v>300</v>
      </c>
      <c r="I62" s="191">
        <f t="shared" si="8"/>
        <v>360</v>
      </c>
    </row>
    <row r="63" spans="3:11" ht="15" x14ac:dyDescent="0.25">
      <c r="C63" s="172" t="s">
        <v>227</v>
      </c>
      <c r="E63" s="184">
        <f>E66-E65</f>
        <v>5869771.4573999997</v>
      </c>
      <c r="F63" s="184">
        <f t="shared" ref="F63:I63" si="9">F66-F65</f>
        <v>5869771.4573999997</v>
      </c>
      <c r="G63" s="184">
        <f t="shared" si="9"/>
        <v>5869771.4573999997</v>
      </c>
      <c r="H63" s="184">
        <f t="shared" si="9"/>
        <v>5869771.4573999997</v>
      </c>
      <c r="I63" s="184">
        <f t="shared" si="9"/>
        <v>5869771.4573999997</v>
      </c>
      <c r="K63" s="192"/>
    </row>
    <row r="64" spans="3:11" ht="15" x14ac:dyDescent="0.25">
      <c r="C64" s="172" t="s">
        <v>356</v>
      </c>
      <c r="E64" s="184">
        <f>MAX(E63-IF('Калькулятор_от дохода'!$P$35="да",'Калькулятор_от дохода'!$V$35,0),0)</f>
        <v>5869771.4573999997</v>
      </c>
      <c r="F64" s="184">
        <f>MAX(F63-IF('Калькулятор_от дохода'!$P$35="да",'Калькулятор_от дохода'!$V$35,0),0)</f>
        <v>5869771.4573999997</v>
      </c>
      <c r="G64" s="184">
        <f>MAX(G63-IF('Калькулятор_от дохода'!$P$35="да",'Калькулятор_от дохода'!$V$35,0),0)</f>
        <v>5869771.4573999997</v>
      </c>
      <c r="H64" s="184">
        <f>MAX(H63-IF('Калькулятор_от дохода'!$P$35="да",'Калькулятор_от дохода'!$V$35,0),0)</f>
        <v>5869771.4573999997</v>
      </c>
      <c r="I64" s="184">
        <f>MAX(I63-IF('Калькулятор_от дохода'!$P$35="да",'Калькулятор_от дохода'!$V$35,0),0)</f>
        <v>5869771.4573999997</v>
      </c>
      <c r="K64" s="192"/>
    </row>
    <row r="65" spans="3:11" x14ac:dyDescent="0.2">
      <c r="C65" s="172" t="s">
        <v>223</v>
      </c>
      <c r="E65" s="164">
        <f>E66*'Калькулятор_от дохода'!$P$105</f>
        <v>1036654.5426</v>
      </c>
      <c r="F65" s="164">
        <f>F66*'Калькулятор_от дохода'!$P$105</f>
        <v>1036654.5426</v>
      </c>
      <c r="G65" s="164">
        <f>G66*'Калькулятор_от дохода'!$P$105</f>
        <v>1036654.5426</v>
      </c>
      <c r="H65" s="164">
        <f>H66*'Калькулятор_от дохода'!$P$105</f>
        <v>1036654.5426</v>
      </c>
      <c r="I65" s="164">
        <f>I66*'Калькулятор_от дохода'!$P$105</f>
        <v>1036654.5426</v>
      </c>
    </row>
    <row r="66" spans="3:11" x14ac:dyDescent="0.2">
      <c r="C66" s="172" t="s">
        <v>93</v>
      </c>
      <c r="E66" s="184">
        <f>'Калькулятор_от дохода'!$T$141</f>
        <v>6906426</v>
      </c>
      <c r="F66" s="184">
        <f>'Калькулятор_от дохода'!$T$141</f>
        <v>6906426</v>
      </c>
      <c r="G66" s="184">
        <f>'Калькулятор_от дохода'!$T$141</f>
        <v>6906426</v>
      </c>
      <c r="H66" s="184">
        <f>'Калькулятор_от дохода'!$T$141</f>
        <v>6906426</v>
      </c>
      <c r="I66" s="184">
        <f>'Калькулятор_от дохода'!$T$141</f>
        <v>6906426</v>
      </c>
    </row>
    <row r="67" spans="3:11" x14ac:dyDescent="0.2">
      <c r="C67" s="172" t="s">
        <v>224</v>
      </c>
      <c r="E67" s="164">
        <f>MAX(E69*E62-E64,0)</f>
        <v>9955389.552649226</v>
      </c>
      <c r="F67" s="164">
        <f t="shared" ref="F67:I67" si="10">MAX(F69*F62-F64,0)</f>
        <v>10092268.5426</v>
      </c>
      <c r="G67" s="164">
        <f t="shared" si="10"/>
        <v>14366308.5426</v>
      </c>
      <c r="H67" s="164">
        <f t="shared" si="10"/>
        <v>18891628.542599998</v>
      </c>
      <c r="I67" s="164">
        <f t="shared" si="10"/>
        <v>23571388.542599998</v>
      </c>
    </row>
    <row r="68" spans="3:11" x14ac:dyDescent="0.2">
      <c r="C68" s="172" t="s">
        <v>225</v>
      </c>
      <c r="E68" s="188">
        <f>-PMT($E$28/12,E$62,E$63)*'Справочники и промежут.расчет'!$J$149</f>
        <v>88905.398932860815</v>
      </c>
      <c r="F68" s="188">
        <f>-PMT($E$28/12,F$62,F$63)*'Справочники и промежут.расчет'!$J$149</f>
        <v>88677.280206414041</v>
      </c>
      <c r="G68" s="188">
        <f>-PMT($E$28/12,G$62,G$63)*'Справочники и промежут.расчет'!$J$149</f>
        <v>84316.957180014942</v>
      </c>
      <c r="H68" s="188">
        <f>-PMT($E$28/12,H$62,H$63)*'Справочники и промежут.расчет'!$J$149</f>
        <v>82537.194732289878</v>
      </c>
      <c r="I68" s="188">
        <f>-PMT($E$28/12,I$62,I$63)*'Справочники и промежут.расчет'!$J$149</f>
        <v>81780.185389134262</v>
      </c>
    </row>
    <row r="69" spans="3:11" x14ac:dyDescent="0.2">
      <c r="C69" s="172" t="s">
        <v>354</v>
      </c>
      <c r="E69" s="188">
        <f>MAX(-PMT($E$28/12,E$62,E$64)*'Справочники и промежут.расчет'!$J$149,0)</f>
        <v>88905.398932860815</v>
      </c>
      <c r="F69" s="188">
        <f>MAX(CEILING(-PMT($E$28/12,F$62,F$64)*'Справочники и промежут.расчет'!$J$149,1),0)</f>
        <v>88678</v>
      </c>
      <c r="G69" s="188">
        <f>MAX(CEILING(-PMT($E$28/12,G$62,G$64)*'Справочники и промежут.расчет'!$J$149,1),0)</f>
        <v>84317</v>
      </c>
      <c r="H69" s="188">
        <f>MAX(CEILING(-PMT($E$28/12,H$62,H$64)*'Справочники и промежут.расчет'!$J$149,1),0)</f>
        <v>82538</v>
      </c>
      <c r="I69" s="188">
        <f>MAX(CEILING(-PMT($E$28/12,I$62,I$64)*'Справочники и промежут.расчет'!$J$149,1),0)</f>
        <v>81781</v>
      </c>
    </row>
    <row r="70" spans="3:11" x14ac:dyDescent="0.2">
      <c r="C70" s="144" t="s">
        <v>603</v>
      </c>
      <c r="E70" s="293">
        <f>MAX((E69+$E$16)/'Справочники и промежут.расчет'!$B$14,E$69+$E$16+$E$18*'Справочники и промежут.расчет'!$I$147*$E$20+$E$17*$E$20)</f>
        <v>148175.66488810137</v>
      </c>
      <c r="F70" s="293">
        <f>MAX((F69+$E$16)/'Справочники и промежут.расчет'!$B$14,F$69+$E$16+$E$18*'Справочники и промежут.расчет'!$I$147*$E$20+$E$17*$E$20)</f>
        <v>147796.66666666669</v>
      </c>
      <c r="G70" s="293">
        <f>MAX((G69+$E$16)/'Справочники и промежут.расчет'!$B$14,G$69+$E$16+$E$18*'Справочники и промежут.расчет'!$I$147*$E$20+$E$17*$E$20)</f>
        <v>140528.33333333334</v>
      </c>
      <c r="H70" s="293">
        <f>MAX((H69+$E$16)/'Справочники и промежут.расчет'!$B$14,H$69+$E$16+$E$18*'Справочники и промежут.расчет'!$I$147*$E$20+$E$17*$E$20)</f>
        <v>137563.33333333334</v>
      </c>
      <c r="I70" s="293">
        <f>MAX((I69+$E$16)/'Справочники и промежут.расчет'!$B$14,I$69+$E$16+$E$18*'Справочники и промежут.расчет'!$I$147*$E$20+$E$17*$E$20)</f>
        <v>136301.66666666669</v>
      </c>
    </row>
    <row r="71" spans="3:11" ht="15" x14ac:dyDescent="0.25">
      <c r="C71"/>
      <c r="D71"/>
      <c r="E71"/>
      <c r="F71"/>
      <c r="G71"/>
      <c r="H71"/>
      <c r="I71"/>
      <c r="J71"/>
      <c r="K71"/>
    </row>
    <row r="72" spans="3:11" ht="15" x14ac:dyDescent="0.25">
      <c r="C72" s="172" t="s">
        <v>355</v>
      </c>
      <c r="E72" s="182">
        <f>E73-IF('Калькулятор_от дохода'!$P$35="да",'Калькулятор_от дохода'!$V$35,0)</f>
        <v>3961359.9586900515</v>
      </c>
      <c r="F72" s="182">
        <f>F73-IF('Калькулятор_от дохода'!$P$35="да",'Калькулятор_от дохода'!$V$35,0)</f>
        <v>3971550.3973984802</v>
      </c>
      <c r="G72" s="182">
        <f>G73-IF('Калькулятор_от дохода'!$P$35="да",'Калькулятор_от дохода'!$V$35,0)</f>
        <v>4176933.0775550827</v>
      </c>
      <c r="H72" s="182">
        <f>H73-IF('Калькулятор_от дохода'!$P$35="да",'Калькулятор_от дохода'!$V$35,0)</f>
        <v>4267000.9392289054</v>
      </c>
      <c r="I72" s="182">
        <f>I73-IF('Калькулятор_от дохода'!$P$35="да",'Калькулятор_от дохода'!$V$35,0)</f>
        <v>4306499.0103433207</v>
      </c>
      <c r="J72"/>
      <c r="K72"/>
    </row>
    <row r="73" spans="3:11" ht="26.25" x14ac:dyDescent="0.25">
      <c r="C73" s="172" t="s">
        <v>217</v>
      </c>
      <c r="D73" s="455" t="str">
        <f>IF(E73&gt;'Справочники и промежут.расчет'!$Q$131,"!","")</f>
        <v/>
      </c>
      <c r="E73" s="182">
        <f>-PV($E$28/12,E$76,E$84)/'Справочники и промежут.расчет'!$J$149</f>
        <v>3961359.9586900515</v>
      </c>
      <c r="F73" s="182">
        <f>-PV($E$28/12,F$76,F$84)/'Справочники и промежут.расчет'!$J$149</f>
        <v>3971550.3973984802</v>
      </c>
      <c r="G73" s="182">
        <f>-PV($E$28/12,G$76,G$84)/'Справочники и промежут.расчет'!$J$149</f>
        <v>4176933.0775550827</v>
      </c>
      <c r="H73" s="182">
        <f>-PV($E$28/12,H$76,H$84)/'Справочники и промежут.расчет'!$J$149</f>
        <v>4267000.9392289054</v>
      </c>
      <c r="I73" s="182">
        <f>-PV($E$28/12,I$76,I$84)/'Справочники и промежут.расчет'!$J$149</f>
        <v>4306499.0103433207</v>
      </c>
      <c r="J73"/>
      <c r="K73"/>
    </row>
    <row r="74" spans="3:11" ht="15" x14ac:dyDescent="0.25">
      <c r="C74" s="173"/>
      <c r="E74" s="179"/>
      <c r="J74"/>
      <c r="K74"/>
    </row>
    <row r="75" spans="3:11" ht="15" x14ac:dyDescent="0.25">
      <c r="C75" s="183" t="s">
        <v>600</v>
      </c>
      <c r="D75" s="158"/>
      <c r="E75" s="164" t="s">
        <v>219</v>
      </c>
      <c r="F75" s="158"/>
      <c r="G75" s="158"/>
      <c r="H75" s="158"/>
      <c r="I75" s="158"/>
      <c r="J75"/>
      <c r="K75"/>
    </row>
    <row r="76" spans="3:11" ht="15" x14ac:dyDescent="0.25">
      <c r="C76" s="172" t="s">
        <v>220</v>
      </c>
      <c r="D76" s="158"/>
      <c r="E76" s="184">
        <f>'Калькулятор_от дохода'!$P$111-2</f>
        <v>178</v>
      </c>
      <c r="F76" s="185">
        <v>180</v>
      </c>
      <c r="G76" s="185">
        <v>240</v>
      </c>
      <c r="H76" s="185">
        <v>300</v>
      </c>
      <c r="I76" s="185">
        <v>360</v>
      </c>
      <c r="J76"/>
      <c r="K76"/>
    </row>
    <row r="77" spans="3:11" ht="15" x14ac:dyDescent="0.25">
      <c r="C77" s="158" t="s">
        <v>221</v>
      </c>
      <c r="D77" s="158"/>
      <c r="E77" s="184">
        <f>IF($E$24*12-E76&gt;=0,E76,0)</f>
        <v>178</v>
      </c>
      <c r="F77" s="164">
        <f>IF($E$24*12-F76&gt;=0,F76,0)</f>
        <v>180</v>
      </c>
      <c r="G77" s="164">
        <f>IF($E$24*12-G76&gt;=0,G76,0)</f>
        <v>240</v>
      </c>
      <c r="H77" s="164">
        <f>IF($E$24*12-H76&gt;=0,H76,0)</f>
        <v>300</v>
      </c>
      <c r="I77" s="164">
        <f>IF($E$24*12-I76&gt;=0,I76,0)</f>
        <v>360</v>
      </c>
      <c r="J77"/>
      <c r="K77"/>
    </row>
    <row r="78" spans="3:11" ht="15" x14ac:dyDescent="0.25">
      <c r="C78" s="172" t="s">
        <v>222</v>
      </c>
      <c r="D78" s="158"/>
      <c r="E78" s="184">
        <f>IF(MIN(E73,$E$31,$E$32)&lt;'Справочники и промежут.расчет'!$I$139,0,MIN(E73,$E$31,$E$32))</f>
        <v>3961359.9586900515</v>
      </c>
      <c r="F78" s="184">
        <f>IF(MIN(F73,$E$31,$E$32)&lt;'Справочники и промежут.расчет'!$I$139,0,MIN(F73,$E$31,$E$32))</f>
        <v>3971550.3973984802</v>
      </c>
      <c r="G78" s="184">
        <f>IF(MIN(G73,$E$31,$E$32)&lt;'Справочники и промежут.расчет'!$I$139,0,MIN(G73,$E$31,$E$32))</f>
        <v>4176933.0775550827</v>
      </c>
      <c r="H78" s="184">
        <f>IF(MIN(H73,$E$31,$E$32)&lt;'Справочники и промежут.расчет'!$I$139,0,MIN(H73,$E$31,$E$32))</f>
        <v>4267000.9392289054</v>
      </c>
      <c r="I78" s="184">
        <f>IF(MIN(I73,$E$31,$E$32)&lt;'Справочники и промежут.расчет'!$I$139,0,MIN(I73,$E$31,$E$32))</f>
        <v>4306499.0103433207</v>
      </c>
      <c r="J78"/>
      <c r="K78"/>
    </row>
    <row r="79" spans="3:11" ht="15" x14ac:dyDescent="0.25">
      <c r="C79" s="172" t="s">
        <v>223</v>
      </c>
      <c r="D79" s="158"/>
      <c r="E79" s="184">
        <f>E78/(1-$E$27)*$E$27</f>
        <v>699611.87174888432</v>
      </c>
      <c r="F79" s="184">
        <f t="shared" ref="F79:I79" si="11">F78/(1-$E$27)*$E$27</f>
        <v>701411.59506943391</v>
      </c>
      <c r="G79" s="184">
        <f t="shared" si="11"/>
        <v>737684.02746325207</v>
      </c>
      <c r="H79" s="184">
        <f t="shared" si="11"/>
        <v>753590.82360072806</v>
      </c>
      <c r="I79" s="184">
        <f t="shared" si="11"/>
        <v>760566.53894873802</v>
      </c>
      <c r="J79"/>
      <c r="K79"/>
    </row>
    <row r="80" spans="3:11" ht="15" x14ac:dyDescent="0.25">
      <c r="C80" s="172" t="s">
        <v>93</v>
      </c>
      <c r="D80" s="158"/>
      <c r="E80" s="164">
        <f t="shared" ref="E80:I80" si="12">E78+E79</f>
        <v>4660971.8304389361</v>
      </c>
      <c r="F80" s="164">
        <f t="shared" si="12"/>
        <v>4672961.9924679138</v>
      </c>
      <c r="G80" s="164">
        <f t="shared" si="12"/>
        <v>4914617.1050183345</v>
      </c>
      <c r="H80" s="164">
        <f t="shared" si="12"/>
        <v>5020591.7628296334</v>
      </c>
      <c r="I80" s="164">
        <f t="shared" si="12"/>
        <v>5067065.5492920587</v>
      </c>
      <c r="J80"/>
      <c r="K80"/>
    </row>
    <row r="81" spans="3:11" ht="15" x14ac:dyDescent="0.25">
      <c r="C81" s="172" t="s">
        <v>224</v>
      </c>
      <c r="D81" s="158"/>
      <c r="E81" s="164">
        <f>E83*E77-E78</f>
        <v>6718640.0413099509</v>
      </c>
      <c r="F81" s="164">
        <f t="shared" ref="F81:I81" si="13">F83*F77-F78</f>
        <v>6828449.6026015216</v>
      </c>
      <c r="G81" s="164">
        <f t="shared" si="13"/>
        <v>10223066.922444915</v>
      </c>
      <c r="H81" s="164">
        <f t="shared" si="13"/>
        <v>13732999.060771098</v>
      </c>
      <c r="I81" s="164">
        <f t="shared" si="13"/>
        <v>17293500.989656676</v>
      </c>
      <c r="J81"/>
      <c r="K81"/>
    </row>
    <row r="82" spans="3:11" ht="15" x14ac:dyDescent="0.25">
      <c r="C82" s="172" t="s">
        <v>225</v>
      </c>
      <c r="E82" s="188">
        <f>-PMT($E$28/12,E$77,E$78)*'Справочники и промежут.расчет'!$J$149</f>
        <v>60000.000000000007</v>
      </c>
      <c r="F82" s="188">
        <f>-PMT($E$28/12,F$77,F$78)*'Справочники и промежут.расчет'!$J$149</f>
        <v>60000.000000000007</v>
      </c>
      <c r="G82" s="188">
        <f>-PMT($E$28/12,G$77,G$78)*'Справочники и промежут.расчет'!$J$149</f>
        <v>59999.999999999993</v>
      </c>
      <c r="H82" s="188">
        <f>-PMT($E$28/12,H$77,H$78)*'Справочники и промежут.расчет'!$J$149</f>
        <v>60000.000000000007</v>
      </c>
      <c r="I82" s="188">
        <f>-PMT($E$28/12,I$77,I$78)*'Справочники и промежут.расчет'!$J$149</f>
        <v>59999.999999999993</v>
      </c>
      <c r="J82"/>
      <c r="K82"/>
    </row>
    <row r="83" spans="3:11" ht="15" x14ac:dyDescent="0.25">
      <c r="C83" s="172" t="s">
        <v>354</v>
      </c>
      <c r="E83" s="188">
        <f>-PMT($E$28/12,E$77,E$72)*'Справочники и промежут.расчет'!$J$149</f>
        <v>60000.000000000007</v>
      </c>
      <c r="F83" s="188">
        <f>-PMT($E$28/12,F$77,F$72)*'Справочники и промежут.расчет'!$J$149</f>
        <v>60000.000000000007</v>
      </c>
      <c r="G83" s="188">
        <f>-PMT($E$28/12,G$77,G$72)*'Справочники и промежут.расчет'!$J$149</f>
        <v>59999.999999999993</v>
      </c>
      <c r="H83" s="188">
        <f>-PMT($E$28/12,H$77,H$72)*'Справочники и промежут.расчет'!$J$149</f>
        <v>60000.000000000007</v>
      </c>
      <c r="I83" s="188">
        <f>-PMT($E$28/12,I$77,I$72)*'Справочники и промежут.расчет'!$J$149</f>
        <v>59999.999999999993</v>
      </c>
      <c r="J83"/>
      <c r="K83"/>
    </row>
    <row r="84" spans="3:11" ht="15" x14ac:dyDescent="0.25">
      <c r="C84" s="275" t="s">
        <v>375</v>
      </c>
      <c r="D84"/>
      <c r="E84" s="431">
        <f>'Калькулятор_от дохода'!V142</f>
        <v>60000</v>
      </c>
      <c r="F84" s="276">
        <f>'Калькулятор_от дохода'!$V$142</f>
        <v>60000</v>
      </c>
      <c r="G84" s="276">
        <f>'Калькулятор_от дохода'!$V$142</f>
        <v>60000</v>
      </c>
      <c r="H84" s="276">
        <f>'Калькулятор_от дохода'!$V$142</f>
        <v>60000</v>
      </c>
      <c r="I84" s="276">
        <f>'Калькулятор_от дохода'!$V$142</f>
        <v>60000</v>
      </c>
      <c r="J84"/>
      <c r="K84"/>
    </row>
    <row r="85" spans="3:11" ht="15" x14ac:dyDescent="0.25">
      <c r="C85" s="275" t="s">
        <v>603</v>
      </c>
      <c r="D85"/>
      <c r="E85" s="293">
        <f>MAX((E83+$E$16)/'Справочники и промежут.расчет'!$B$14,E$83+$E$16+$E$18*'Справочники и промежут.расчет'!$I$147*$E$20+$E$17*$E$20)</f>
        <v>100000.00000000001</v>
      </c>
      <c r="F85" s="293">
        <f>MAX((F83+$E$16)/'Справочники и промежут.расчет'!$B$14,F$83+$E$16+$E$18*'Справочники и промежут.расчет'!$I$147*$E$20+$E$17*$E$20)</f>
        <v>100000.00000000001</v>
      </c>
      <c r="G85" s="293">
        <f>MAX((G83+$E$16)/'Справочники и промежут.расчет'!$B$14,G$83+$E$16+$E$18*'Справочники и промежут.расчет'!$I$147*$E$20+$E$17*$E$20)</f>
        <v>99999.999999999985</v>
      </c>
      <c r="H85" s="293">
        <f>MAX((H83+$E$16)/'Справочники и промежут.расчет'!$B$14,H$83+$E$16+$E$18*'Справочники и промежут.расчет'!$I$147*$E$20+$E$17*$E$20)</f>
        <v>100000.00000000001</v>
      </c>
      <c r="I85" s="293">
        <f>MAX((I83+$E$16)/'Справочники и промежут.расчет'!$B$14,I$83+$E$16+$E$18*'Справочники и промежут.расчет'!$I$147*$E$20+$E$17*$E$20)</f>
        <v>99999.999999999985</v>
      </c>
      <c r="J85"/>
      <c r="K85"/>
    </row>
    <row r="86" spans="3:11" ht="15" x14ac:dyDescent="0.25">
      <c r="C86"/>
      <c r="D86"/>
      <c r="E86"/>
      <c r="F86"/>
      <c r="G86"/>
      <c r="H86"/>
      <c r="I86"/>
      <c r="J86"/>
      <c r="K86"/>
    </row>
    <row r="87" spans="3:11" ht="15" x14ac:dyDescent="0.25">
      <c r="C87"/>
      <c r="D87"/>
      <c r="E87"/>
      <c r="F87"/>
      <c r="G87"/>
      <c r="H87"/>
      <c r="I87"/>
      <c r="J87"/>
      <c r="K87"/>
    </row>
  </sheetData>
  <customSheetViews>
    <customSheetView guid="{A6ED9047-BF5F-4715-989F-6B73F8A8D111}" scale="115" state="hidden" topLeftCell="A49">
      <selection activeCell="J67" sqref="J67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>
          <x14:formula1>
            <xm:f>E27&lt;='Справочники и промежут.расчет'!$J$84</xm:f>
          </x14:formula1>
          <xm:sqref>E27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G29" sqref="G29"/>
    </sheetView>
  </sheetViews>
  <sheetFormatPr defaultRowHeight="15" x14ac:dyDescent="0.25"/>
  <cols>
    <col min="1" max="1" width="22.5703125" customWidth="1"/>
    <col min="2" max="2" width="12.85546875" customWidth="1"/>
    <col min="4" max="4" width="24.140625" customWidth="1"/>
  </cols>
  <sheetData>
    <row r="1" spans="1:5" x14ac:dyDescent="0.25">
      <c r="A1" t="s">
        <v>664</v>
      </c>
      <c r="B1" t="s">
        <v>665</v>
      </c>
      <c r="D1" t="s">
        <v>666</v>
      </c>
      <c r="E1" t="s">
        <v>667</v>
      </c>
    </row>
    <row r="2" spans="1:5" x14ac:dyDescent="0.25">
      <c r="A2" s="495">
        <v>43831</v>
      </c>
      <c r="B2" s="496">
        <f>A2</f>
        <v>43831</v>
      </c>
      <c r="D2" s="495">
        <v>43900</v>
      </c>
    </row>
    <row r="3" spans="1:5" x14ac:dyDescent="0.25">
      <c r="A3" s="495">
        <v>43832</v>
      </c>
      <c r="B3" s="496">
        <f t="shared" ref="B3:B27" si="0">A3</f>
        <v>43832</v>
      </c>
    </row>
    <row r="4" spans="1:5" x14ac:dyDescent="0.25">
      <c r="A4" s="495">
        <v>43833</v>
      </c>
      <c r="B4" s="496">
        <f t="shared" si="0"/>
        <v>43833</v>
      </c>
    </row>
    <row r="5" spans="1:5" x14ac:dyDescent="0.25">
      <c r="A5" s="495">
        <v>43834</v>
      </c>
      <c r="B5" s="496">
        <f t="shared" si="0"/>
        <v>43834</v>
      </c>
    </row>
    <row r="6" spans="1:5" x14ac:dyDescent="0.25">
      <c r="A6" s="495">
        <v>43835</v>
      </c>
      <c r="B6" s="496">
        <f t="shared" si="0"/>
        <v>43835</v>
      </c>
    </row>
    <row r="7" spans="1:5" x14ac:dyDescent="0.25">
      <c r="A7" s="495">
        <v>43836</v>
      </c>
      <c r="B7" s="496">
        <f t="shared" si="0"/>
        <v>43836</v>
      </c>
    </row>
    <row r="8" spans="1:5" x14ac:dyDescent="0.25">
      <c r="A8" s="495">
        <v>43837</v>
      </c>
      <c r="B8" s="496">
        <f t="shared" si="0"/>
        <v>43837</v>
      </c>
    </row>
    <row r="9" spans="1:5" x14ac:dyDescent="0.25">
      <c r="A9" s="495">
        <v>43838</v>
      </c>
      <c r="B9" s="496">
        <f t="shared" si="0"/>
        <v>43838</v>
      </c>
    </row>
    <row r="10" spans="1:5" x14ac:dyDescent="0.25">
      <c r="A10" s="495">
        <v>43884</v>
      </c>
      <c r="B10" s="496">
        <f t="shared" si="0"/>
        <v>43884</v>
      </c>
    </row>
    <row r="11" spans="1:5" x14ac:dyDescent="0.25">
      <c r="A11" s="495">
        <v>43898</v>
      </c>
      <c r="B11" s="496">
        <f t="shared" si="0"/>
        <v>43898</v>
      </c>
    </row>
    <row r="12" spans="1:5" x14ac:dyDescent="0.25">
      <c r="A12" s="495">
        <v>43952</v>
      </c>
      <c r="B12" s="496">
        <f t="shared" si="0"/>
        <v>43952</v>
      </c>
    </row>
    <row r="13" spans="1:5" x14ac:dyDescent="0.25">
      <c r="A13" s="495">
        <v>43960</v>
      </c>
      <c r="B13" s="496">
        <f t="shared" si="0"/>
        <v>43960</v>
      </c>
    </row>
    <row r="14" spans="1:5" x14ac:dyDescent="0.25">
      <c r="A14" s="495">
        <v>43994</v>
      </c>
      <c r="B14" s="496">
        <f t="shared" si="0"/>
        <v>43994</v>
      </c>
    </row>
    <row r="15" spans="1:5" x14ac:dyDescent="0.25">
      <c r="A15" s="495">
        <v>44139</v>
      </c>
      <c r="B15" s="496">
        <f t="shared" si="0"/>
        <v>44139</v>
      </c>
    </row>
    <row r="16" spans="1:5" x14ac:dyDescent="0.25">
      <c r="A16" s="495">
        <v>44197</v>
      </c>
      <c r="B16" s="496">
        <f t="shared" si="0"/>
        <v>44197</v>
      </c>
    </row>
    <row r="17" spans="1:2" x14ac:dyDescent="0.25">
      <c r="A17" s="495">
        <v>44198</v>
      </c>
      <c r="B17" s="496">
        <f t="shared" si="0"/>
        <v>44198</v>
      </c>
    </row>
    <row r="18" spans="1:2" x14ac:dyDescent="0.25">
      <c r="A18" s="495">
        <v>44199</v>
      </c>
      <c r="B18" s="496">
        <f t="shared" si="0"/>
        <v>44199</v>
      </c>
    </row>
    <row r="19" spans="1:2" x14ac:dyDescent="0.25">
      <c r="A19" s="495">
        <v>44200</v>
      </c>
      <c r="B19" s="496">
        <f t="shared" si="0"/>
        <v>44200</v>
      </c>
    </row>
    <row r="20" spans="1:2" x14ac:dyDescent="0.25">
      <c r="A20" s="495">
        <v>44201</v>
      </c>
      <c r="B20" s="496">
        <f t="shared" si="0"/>
        <v>44201</v>
      </c>
    </row>
    <row r="21" spans="1:2" x14ac:dyDescent="0.25">
      <c r="A21" s="495">
        <v>44202</v>
      </c>
      <c r="B21" s="496">
        <f t="shared" si="0"/>
        <v>44202</v>
      </c>
    </row>
    <row r="22" spans="1:2" x14ac:dyDescent="0.25">
      <c r="A22" s="495">
        <v>44203</v>
      </c>
      <c r="B22" s="496">
        <f t="shared" si="0"/>
        <v>44203</v>
      </c>
    </row>
    <row r="23" spans="1:2" x14ac:dyDescent="0.25">
      <c r="A23" s="495">
        <v>44204</v>
      </c>
      <c r="B23" s="496">
        <f t="shared" si="0"/>
        <v>44204</v>
      </c>
    </row>
    <row r="24" spans="1:2" x14ac:dyDescent="0.25">
      <c r="A24" s="495">
        <v>44205</v>
      </c>
      <c r="B24" s="496">
        <f t="shared" si="0"/>
        <v>44205</v>
      </c>
    </row>
    <row r="25" spans="1:2" x14ac:dyDescent="0.25">
      <c r="A25" s="495">
        <v>44206</v>
      </c>
      <c r="B25" s="496">
        <f t="shared" si="0"/>
        <v>44206</v>
      </c>
    </row>
    <row r="26" spans="1:2" x14ac:dyDescent="0.25">
      <c r="A26" s="495">
        <v>44250</v>
      </c>
      <c r="B26" s="496">
        <f t="shared" si="0"/>
        <v>44250</v>
      </c>
    </row>
    <row r="27" spans="1:2" x14ac:dyDescent="0.25">
      <c r="A27" s="495">
        <v>44263</v>
      </c>
      <c r="B27" s="496">
        <f t="shared" si="0"/>
        <v>44263</v>
      </c>
    </row>
  </sheetData>
  <conditionalFormatting sqref="B2">
    <cfRule type="expression" dxfId="1" priority="2">
      <formula>AND(NOT(ISBLANK($A2)),WEEKDAY($A2,2)&gt;5)</formula>
    </cfRule>
  </conditionalFormatting>
  <conditionalFormatting sqref="B3:B27">
    <cfRule type="expression" dxfId="0" priority="1">
      <formula>AND(NOT(ISBLANK($A3)),WEEKDAY($A3,2)&gt;5)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A40" workbookViewId="0">
      <selection activeCell="A53" sqref="A53"/>
    </sheetView>
  </sheetViews>
  <sheetFormatPr defaultRowHeight="15" x14ac:dyDescent="0.25"/>
  <cols>
    <col min="1" max="1" width="30.85546875" customWidth="1"/>
    <col min="4" max="4" width="11.85546875" customWidth="1"/>
    <col min="5" max="5" width="17.5703125" bestFit="1" customWidth="1"/>
    <col min="7" max="7" width="17.5703125" customWidth="1"/>
    <col min="12" max="12" width="9.85546875" bestFit="1" customWidth="1"/>
    <col min="13" max="13" width="10.28515625" bestFit="1" customWidth="1"/>
    <col min="14" max="14" width="11.42578125" bestFit="1" customWidth="1"/>
  </cols>
  <sheetData>
    <row r="1" spans="1:14" x14ac:dyDescent="0.25">
      <c r="A1" s="631" t="s">
        <v>668</v>
      </c>
      <c r="B1" s="631"/>
      <c r="C1" s="631"/>
      <c r="D1" s="631"/>
    </row>
    <row r="2" spans="1:14" x14ac:dyDescent="0.25">
      <c r="A2" s="632" t="s">
        <v>669</v>
      </c>
      <c r="B2" s="633"/>
      <c r="C2" s="634"/>
      <c r="D2" s="497" t="s">
        <v>670</v>
      </c>
      <c r="E2" t="s">
        <v>682</v>
      </c>
      <c r="F2">
        <v>0.01</v>
      </c>
      <c r="G2" t="s">
        <v>689</v>
      </c>
      <c r="K2" s="632" t="s">
        <v>669</v>
      </c>
      <c r="L2" s="633"/>
      <c r="M2" s="634"/>
      <c r="N2" s="497" t="s">
        <v>670</v>
      </c>
    </row>
    <row r="3" spans="1:14" x14ac:dyDescent="0.25">
      <c r="A3" s="497" t="s">
        <v>674</v>
      </c>
      <c r="B3" s="498" t="s">
        <v>677</v>
      </c>
      <c r="C3" s="498" t="s">
        <v>678</v>
      </c>
      <c r="D3" s="510">
        <f>IF('График платежей'!$AB$6="Да",N3*F2,0)</f>
        <v>1.1999999999999999E-3</v>
      </c>
      <c r="G3" s="509" t="s">
        <v>681</v>
      </c>
      <c r="H3" t="s">
        <v>677</v>
      </c>
      <c r="K3" s="497" t="s">
        <v>671</v>
      </c>
      <c r="L3" s="498" t="s">
        <v>672</v>
      </c>
      <c r="M3" s="498" t="s">
        <v>673</v>
      </c>
      <c r="N3" s="499">
        <v>0.12</v>
      </c>
    </row>
    <row r="4" spans="1:14" x14ac:dyDescent="0.25">
      <c r="A4" s="500">
        <v>21</v>
      </c>
      <c r="B4" s="506">
        <f>IF('График платежей'!$AB$5="Да",L4*$F$2,0)</f>
        <v>2.0999999999999999E-3</v>
      </c>
      <c r="C4" s="506">
        <f>IF('График платежей'!$AB$5="Да",M4*$F$2,0)</f>
        <v>1.6300000000000002E-3</v>
      </c>
      <c r="D4" s="502"/>
      <c r="H4" t="s">
        <v>678</v>
      </c>
      <c r="K4" s="500">
        <v>21</v>
      </c>
      <c r="L4" s="501">
        <v>0.21</v>
      </c>
      <c r="M4" s="501">
        <v>0.16300000000000001</v>
      </c>
      <c r="N4" s="502"/>
    </row>
    <row r="5" spans="1:14" x14ac:dyDescent="0.25">
      <c r="A5" s="500">
        <v>22</v>
      </c>
      <c r="B5" s="506">
        <f>IF('График платежей'!$AB$5="Да",L5*$F$2,0)</f>
        <v>2.1700000000000001E-3</v>
      </c>
      <c r="C5" s="506">
        <f>IF('График платежей'!$AB$5="Да",M5*$F$2,0)</f>
        <v>1.6300000000000002E-3</v>
      </c>
      <c r="D5" s="502"/>
      <c r="G5" s="509" t="s">
        <v>686</v>
      </c>
      <c r="H5" t="s">
        <v>59</v>
      </c>
      <c r="K5" s="500">
        <v>22</v>
      </c>
      <c r="L5" s="501">
        <v>0.217</v>
      </c>
      <c r="M5" s="501">
        <v>0.16300000000000001</v>
      </c>
      <c r="N5" s="502"/>
    </row>
    <row r="6" spans="1:14" x14ac:dyDescent="0.25">
      <c r="A6" s="500">
        <v>23</v>
      </c>
      <c r="B6" s="506">
        <f>IF('График платежей'!$AB$5="Да",L6*$F$2,0)</f>
        <v>2.1700000000000001E-3</v>
      </c>
      <c r="C6" s="506">
        <f>IF('График платежей'!$AB$5="Да",M6*$F$2,0)</f>
        <v>1.6300000000000002E-3</v>
      </c>
      <c r="D6" s="502"/>
      <c r="H6" t="s">
        <v>372</v>
      </c>
      <c r="K6" s="500">
        <v>23</v>
      </c>
      <c r="L6" s="501">
        <v>0.217</v>
      </c>
      <c r="M6" s="501">
        <v>0.16300000000000001</v>
      </c>
      <c r="N6" s="502"/>
    </row>
    <row r="7" spans="1:14" x14ac:dyDescent="0.25">
      <c r="A7" s="500">
        <v>24</v>
      </c>
      <c r="B7" s="506">
        <f>IF('График платежей'!$AB$5="Да",L7*$F$2,0)</f>
        <v>2.3799999999999997E-3</v>
      </c>
      <c r="C7" s="506">
        <f>IF('График платежей'!$AB$5="Да",M7*$F$2,0)</f>
        <v>1.7000000000000001E-3</v>
      </c>
      <c r="D7" s="502"/>
      <c r="K7" s="500">
        <v>24</v>
      </c>
      <c r="L7" s="501">
        <v>0.23799999999999999</v>
      </c>
      <c r="M7" s="501">
        <v>0.17</v>
      </c>
      <c r="N7" s="502"/>
    </row>
    <row r="8" spans="1:14" x14ac:dyDescent="0.25">
      <c r="A8" s="500">
        <v>25</v>
      </c>
      <c r="B8" s="506">
        <f>IF('График платежей'!$AB$5="Да",L8*$F$2,0)</f>
        <v>2.3799999999999997E-3</v>
      </c>
      <c r="C8" s="506">
        <f>IF('График платежей'!$AB$5="Да",M8*$F$2,0)</f>
        <v>1.7000000000000001E-3</v>
      </c>
      <c r="D8" s="502"/>
      <c r="K8" s="500">
        <v>25</v>
      </c>
      <c r="L8" s="501">
        <v>0.23799999999999999</v>
      </c>
      <c r="M8" s="501">
        <v>0.17</v>
      </c>
      <c r="N8" s="502"/>
    </row>
    <row r="9" spans="1:14" x14ac:dyDescent="0.25">
      <c r="A9" s="500">
        <v>26</v>
      </c>
      <c r="B9" s="506">
        <f>IF('График платежей'!$AB$5="Да",L9*$F$2,0)</f>
        <v>2.3799999999999997E-3</v>
      </c>
      <c r="C9" s="506">
        <f>IF('График платежей'!$AB$5="Да",M9*$F$2,0)</f>
        <v>1.83E-3</v>
      </c>
      <c r="D9" s="503"/>
      <c r="K9" s="500">
        <v>26</v>
      </c>
      <c r="L9" s="501">
        <v>0.23799999999999999</v>
      </c>
      <c r="M9" s="501">
        <v>0.183</v>
      </c>
      <c r="N9" s="503"/>
    </row>
    <row r="10" spans="1:14" x14ac:dyDescent="0.25">
      <c r="A10" s="500">
        <v>27</v>
      </c>
      <c r="B10" s="506">
        <f>IF('График платежей'!$AB$5="Да",L10*$F$2,0)</f>
        <v>2.4399999999999999E-3</v>
      </c>
      <c r="C10" s="506">
        <f>IF('График платежей'!$AB$5="Да",M10*$F$2,0)</f>
        <v>1.83E-3</v>
      </c>
      <c r="D10" s="503"/>
      <c r="K10" s="500">
        <v>27</v>
      </c>
      <c r="L10" s="501">
        <v>0.24399999999999999</v>
      </c>
      <c r="M10" s="501">
        <v>0.183</v>
      </c>
      <c r="N10" s="503"/>
    </row>
    <row r="11" spans="1:14" x14ac:dyDescent="0.25">
      <c r="A11" s="500">
        <v>28</v>
      </c>
      <c r="B11" s="506">
        <f>IF('График платежей'!$AB$5="Да",L11*$F$2,0)</f>
        <v>2.4399999999999999E-3</v>
      </c>
      <c r="C11" s="506">
        <f>IF('График платежей'!$AB$5="Да",M11*$F$2,0)</f>
        <v>1.9E-3</v>
      </c>
      <c r="D11" s="503"/>
      <c r="K11" s="500">
        <v>28</v>
      </c>
      <c r="L11" s="501">
        <v>0.24399999999999999</v>
      </c>
      <c r="M11" s="501">
        <v>0.19</v>
      </c>
      <c r="N11" s="503"/>
    </row>
    <row r="12" spans="1:14" x14ac:dyDescent="0.25">
      <c r="A12" s="500">
        <v>29</v>
      </c>
      <c r="B12" s="506">
        <f>IF('График платежей'!$AB$5="Да",L12*$F$2,0)</f>
        <v>2.7300000000000002E-3</v>
      </c>
      <c r="C12" s="506">
        <f>IF('График платежей'!$AB$5="Да",M12*$F$2,0)</f>
        <v>1.9E-3</v>
      </c>
      <c r="D12" s="503"/>
      <c r="K12" s="500">
        <v>29</v>
      </c>
      <c r="L12" s="501">
        <v>0.27300000000000002</v>
      </c>
      <c r="M12" s="501">
        <v>0.19</v>
      </c>
      <c r="N12" s="503"/>
    </row>
    <row r="13" spans="1:14" x14ac:dyDescent="0.25">
      <c r="A13" s="500">
        <v>30</v>
      </c>
      <c r="B13" s="506">
        <f>IF('График платежей'!$AB$5="Да",L13*$F$2,0)</f>
        <v>2.7800000000000004E-3</v>
      </c>
      <c r="C13" s="506">
        <f>IF('График платежей'!$AB$5="Да",M13*$F$2,0)</f>
        <v>1.9E-3</v>
      </c>
      <c r="D13" s="503"/>
      <c r="K13" s="500">
        <v>30</v>
      </c>
      <c r="L13" s="501">
        <v>0.27800000000000002</v>
      </c>
      <c r="M13" s="501">
        <v>0.19</v>
      </c>
      <c r="N13" s="503"/>
    </row>
    <row r="14" spans="1:14" x14ac:dyDescent="0.25">
      <c r="A14" s="500">
        <v>31</v>
      </c>
      <c r="B14" s="506">
        <f>IF('График платежей'!$AB$5="Да",L14*$F$2,0)</f>
        <v>2.9199999999999999E-3</v>
      </c>
      <c r="C14" s="506">
        <f>IF('График платежей'!$AB$5="Да",M14*$F$2,0)</f>
        <v>1.97E-3</v>
      </c>
      <c r="D14" s="503"/>
      <c r="K14" s="500">
        <v>31</v>
      </c>
      <c r="L14" s="501">
        <v>0.29199999999999998</v>
      </c>
      <c r="M14" s="501">
        <v>0.19700000000000001</v>
      </c>
      <c r="N14" s="503"/>
    </row>
    <row r="15" spans="1:14" x14ac:dyDescent="0.25">
      <c r="A15" s="500">
        <v>32</v>
      </c>
      <c r="B15" s="506">
        <f>IF('График платежей'!$AB$5="Да",L15*$F$2,0)</f>
        <v>3.0500000000000002E-3</v>
      </c>
      <c r="C15" s="506">
        <f>IF('График платежей'!$AB$5="Да",M15*$F$2,0)</f>
        <v>2.0999999999999999E-3</v>
      </c>
      <c r="D15" s="503"/>
      <c r="K15" s="500">
        <v>32</v>
      </c>
      <c r="L15" s="501">
        <v>0.30499999999999999</v>
      </c>
      <c r="M15" s="501">
        <v>0.21</v>
      </c>
      <c r="N15" s="503"/>
    </row>
    <row r="16" spans="1:14" x14ac:dyDescent="0.25">
      <c r="A16" s="500">
        <v>33</v>
      </c>
      <c r="B16" s="506">
        <f>IF('График платежей'!$AB$5="Да",L16*$F$2,0)</f>
        <v>3.13E-3</v>
      </c>
      <c r="C16" s="506">
        <f>IF('График платежей'!$AB$5="Да",M16*$F$2,0)</f>
        <v>2.1700000000000001E-3</v>
      </c>
      <c r="D16" s="503"/>
      <c r="K16" s="500">
        <v>33</v>
      </c>
      <c r="L16" s="501">
        <v>0.313</v>
      </c>
      <c r="M16" s="501">
        <v>0.217</v>
      </c>
      <c r="N16" s="503"/>
    </row>
    <row r="17" spans="1:14" x14ac:dyDescent="0.25">
      <c r="A17" s="500">
        <v>34</v>
      </c>
      <c r="B17" s="506">
        <f>IF('График платежей'!$AB$5="Да",L17*$F$2,0)</f>
        <v>3.4000000000000002E-3</v>
      </c>
      <c r="C17" s="506">
        <f>IF('График платежей'!$AB$5="Да",M17*$F$2,0)</f>
        <v>2.1700000000000001E-3</v>
      </c>
      <c r="D17" s="503"/>
      <c r="K17" s="500">
        <v>34</v>
      </c>
      <c r="L17" s="501">
        <v>0.34</v>
      </c>
      <c r="M17" s="501">
        <v>0.217</v>
      </c>
      <c r="N17" s="503"/>
    </row>
    <row r="18" spans="1:14" x14ac:dyDescent="0.25">
      <c r="A18" s="500">
        <v>35</v>
      </c>
      <c r="B18" s="506">
        <f>IF('График платежей'!$AB$5="Да",L18*$F$2,0)</f>
        <v>3.5299999999999997E-3</v>
      </c>
      <c r="C18" s="506">
        <f>IF('График платежей'!$AB$5="Да",M18*$F$2,0)</f>
        <v>2.3799999999999997E-3</v>
      </c>
      <c r="D18" s="503"/>
      <c r="K18" s="500">
        <v>35</v>
      </c>
      <c r="L18" s="501">
        <v>0.35299999999999998</v>
      </c>
      <c r="M18" s="501">
        <v>0.23799999999999999</v>
      </c>
      <c r="N18" s="503"/>
    </row>
    <row r="19" spans="1:14" x14ac:dyDescent="0.25">
      <c r="A19" s="500">
        <v>36</v>
      </c>
      <c r="B19" s="506">
        <f>IF('График платежей'!$AB$5="Да",L19*$F$2,0)</f>
        <v>3.8600000000000001E-3</v>
      </c>
      <c r="C19" s="506">
        <f>IF('График платежей'!$AB$5="Да",M19*$F$2,0)</f>
        <v>2.5800000000000003E-3</v>
      </c>
      <c r="D19" s="503"/>
      <c r="K19" s="500">
        <v>36</v>
      </c>
      <c r="L19" s="501">
        <v>0.38600000000000001</v>
      </c>
      <c r="M19" s="501">
        <v>0.25800000000000001</v>
      </c>
      <c r="N19" s="503"/>
    </row>
    <row r="20" spans="1:14" x14ac:dyDescent="0.25">
      <c r="A20" s="500">
        <v>37</v>
      </c>
      <c r="B20" s="506">
        <f>IF('График платежей'!$AB$5="Да",L20*$F$2,0)</f>
        <v>4.0699999999999998E-3</v>
      </c>
      <c r="C20" s="506">
        <f>IF('График платежей'!$AB$5="Да",M20*$F$2,0)</f>
        <v>2.7800000000000004E-3</v>
      </c>
      <c r="D20" s="503"/>
      <c r="K20" s="500">
        <v>37</v>
      </c>
      <c r="L20" s="501">
        <v>0.40699999999999997</v>
      </c>
      <c r="M20" s="501">
        <v>0.27800000000000002</v>
      </c>
      <c r="N20" s="503"/>
    </row>
    <row r="21" spans="1:14" x14ac:dyDescent="0.25">
      <c r="A21" s="500">
        <v>38</v>
      </c>
      <c r="B21" s="506">
        <f>IF('График платежей'!$AB$5="Да",L21*$F$2,0)</f>
        <v>4.28E-3</v>
      </c>
      <c r="C21" s="506">
        <f>IF('График платежей'!$AB$5="Да",M21*$F$2,0)</f>
        <v>2.8599999999999997E-3</v>
      </c>
      <c r="D21" s="503"/>
      <c r="K21" s="500">
        <v>38</v>
      </c>
      <c r="L21" s="501">
        <v>0.42799999999999999</v>
      </c>
      <c r="M21" s="501">
        <v>0.28599999999999998</v>
      </c>
      <c r="N21" s="503"/>
    </row>
    <row r="22" spans="1:14" x14ac:dyDescent="0.25">
      <c r="A22" s="500">
        <v>39</v>
      </c>
      <c r="B22" s="506">
        <f>IF('График платежей'!$AB$5="Да",L22*$F$2,0)</f>
        <v>4.5400000000000006E-3</v>
      </c>
      <c r="C22" s="506">
        <f>IF('График платежей'!$AB$5="Да",M22*$F$2,0)</f>
        <v>3.0500000000000002E-3</v>
      </c>
      <c r="D22" s="503"/>
      <c r="K22" s="500">
        <v>39</v>
      </c>
      <c r="L22" s="501">
        <v>0.45400000000000001</v>
      </c>
      <c r="M22" s="501">
        <v>0.30499999999999999</v>
      </c>
      <c r="N22" s="503"/>
    </row>
    <row r="23" spans="1:14" x14ac:dyDescent="0.25">
      <c r="A23" s="500">
        <v>40</v>
      </c>
      <c r="B23" s="506">
        <f>IF('График платежей'!$AB$5="Да",L23*$F$2,0)</f>
        <v>4.7499999999999999E-3</v>
      </c>
      <c r="C23" s="506">
        <f>IF('График платежей'!$AB$5="Да",M23*$F$2,0)</f>
        <v>3.13E-3</v>
      </c>
      <c r="D23" s="503"/>
      <c r="K23" s="500">
        <v>40</v>
      </c>
      <c r="L23" s="501">
        <v>0.47499999999999998</v>
      </c>
      <c r="M23" s="501">
        <v>0.313</v>
      </c>
      <c r="N23" s="503"/>
    </row>
    <row r="24" spans="1:14" x14ac:dyDescent="0.25">
      <c r="A24" s="500">
        <v>41</v>
      </c>
      <c r="B24" s="506">
        <f>IF('График платежей'!$AB$5="Да",L24*$F$2,0)</f>
        <v>5.0200000000000002E-3</v>
      </c>
      <c r="C24" s="506">
        <f>IF('График платежей'!$AB$5="Да",M24*$F$2,0)</f>
        <v>3.32E-3</v>
      </c>
      <c r="D24" s="503"/>
      <c r="K24" s="500">
        <v>41</v>
      </c>
      <c r="L24" s="501">
        <v>0.502</v>
      </c>
      <c r="M24" s="501">
        <v>0.33200000000000002</v>
      </c>
      <c r="N24" s="503"/>
    </row>
    <row r="25" spans="1:14" x14ac:dyDescent="0.25">
      <c r="A25" s="500">
        <v>42</v>
      </c>
      <c r="B25" s="506">
        <f>IF('График платежей'!$AB$5="Да",L25*$F$2,0)</f>
        <v>5.3E-3</v>
      </c>
      <c r="C25" s="506">
        <f>IF('График платежей'!$AB$5="Да",M25*$F$2,0)</f>
        <v>3.5299999999999997E-3</v>
      </c>
      <c r="D25" s="503"/>
      <c r="K25" s="500">
        <v>42</v>
      </c>
      <c r="L25" s="501">
        <v>0.53</v>
      </c>
      <c r="M25" s="501">
        <v>0.35299999999999998</v>
      </c>
      <c r="N25" s="503"/>
    </row>
    <row r="26" spans="1:14" x14ac:dyDescent="0.25">
      <c r="A26" s="500">
        <v>43</v>
      </c>
      <c r="B26" s="506">
        <f>IF('График платежей'!$AB$5="Да",L26*$F$2,0)</f>
        <v>5.6299999999999996E-3</v>
      </c>
      <c r="C26" s="506">
        <f>IF('График платежей'!$AB$5="Да",M26*$F$2,0)</f>
        <v>3.7400000000000003E-3</v>
      </c>
      <c r="D26" s="503"/>
      <c r="K26" s="500">
        <v>43</v>
      </c>
      <c r="L26" s="501">
        <v>0.56299999999999994</v>
      </c>
      <c r="M26" s="501">
        <v>0.374</v>
      </c>
      <c r="N26" s="503"/>
    </row>
    <row r="27" spans="1:14" x14ac:dyDescent="0.25">
      <c r="A27" s="500">
        <v>44</v>
      </c>
      <c r="B27" s="506">
        <f>IF('График платежей'!$AB$5="Да",L27*$F$2,0)</f>
        <v>5.8999999999999999E-3</v>
      </c>
      <c r="C27" s="506">
        <f>IF('График платежей'!$AB$5="Да",M27*$F$2,0)</f>
        <v>4.0100000000000005E-3</v>
      </c>
      <c r="D27" s="503"/>
      <c r="K27" s="500">
        <v>44</v>
      </c>
      <c r="L27" s="501">
        <v>0.59</v>
      </c>
      <c r="M27" s="501">
        <v>0.40100000000000002</v>
      </c>
      <c r="N27" s="503"/>
    </row>
    <row r="28" spans="1:14" x14ac:dyDescent="0.25">
      <c r="A28" s="500">
        <v>45</v>
      </c>
      <c r="B28" s="506">
        <f>IF('График платежей'!$AB$5="Да",L28*$F$2,0)</f>
        <v>6.1799999999999997E-3</v>
      </c>
      <c r="C28" s="506">
        <f>IF('График платежей'!$AB$5="Да",M28*$F$2,0)</f>
        <v>4.2100000000000002E-3</v>
      </c>
      <c r="D28" s="503"/>
      <c r="K28" s="500">
        <v>45</v>
      </c>
      <c r="L28" s="501">
        <v>0.61799999999999999</v>
      </c>
      <c r="M28" s="501">
        <v>0.42099999999999999</v>
      </c>
      <c r="N28" s="503"/>
    </row>
    <row r="29" spans="1:14" x14ac:dyDescent="0.25">
      <c r="A29" s="500">
        <v>46</v>
      </c>
      <c r="B29" s="506">
        <f>IF('График платежей'!$AB$5="Да",L29*$F$2,0)</f>
        <v>6.8500000000000011E-3</v>
      </c>
      <c r="C29" s="506">
        <f>IF('График платежей'!$AB$5="Да",M29*$F$2,0)</f>
        <v>4.4800000000000005E-3</v>
      </c>
      <c r="D29" s="503"/>
      <c r="K29" s="500">
        <v>46</v>
      </c>
      <c r="L29" s="501">
        <v>0.68500000000000005</v>
      </c>
      <c r="M29" s="501">
        <v>0.44800000000000001</v>
      </c>
      <c r="N29" s="503"/>
    </row>
    <row r="30" spans="1:14" x14ac:dyDescent="0.25">
      <c r="A30" s="500">
        <v>47</v>
      </c>
      <c r="B30" s="506">
        <f>IF('График платежей'!$AB$5="Да",L30*$F$2,0)</f>
        <v>7.3899999999999999E-3</v>
      </c>
      <c r="C30" s="506">
        <f>IF('График платежей'!$AB$5="Да",M30*$F$2,0)</f>
        <v>4.8199999999999996E-3</v>
      </c>
      <c r="D30" s="503"/>
      <c r="K30" s="500">
        <v>47</v>
      </c>
      <c r="L30" s="501">
        <v>0.73899999999999999</v>
      </c>
      <c r="M30" s="501">
        <v>0.48199999999999998</v>
      </c>
      <c r="N30" s="503"/>
    </row>
    <row r="31" spans="1:14" x14ac:dyDescent="0.25">
      <c r="A31" s="500">
        <v>48</v>
      </c>
      <c r="B31" s="506">
        <f>IF('График платежей'!$AB$5="Да",L31*$F$2,0)</f>
        <v>8.0700000000000008E-3</v>
      </c>
      <c r="C31" s="506">
        <f>IF('График платежей'!$AB$5="Да",M31*$F$2,0)</f>
        <v>5.1600000000000005E-3</v>
      </c>
      <c r="D31" s="503"/>
      <c r="K31" s="500">
        <v>48</v>
      </c>
      <c r="L31" s="501">
        <v>0.80700000000000005</v>
      </c>
      <c r="M31" s="501">
        <v>0.51600000000000001</v>
      </c>
      <c r="N31" s="503"/>
    </row>
    <row r="32" spans="1:14" x14ac:dyDescent="0.25">
      <c r="A32" s="500">
        <v>49</v>
      </c>
      <c r="B32" s="506">
        <f>IF('График платежей'!$AB$5="Да",L32*$F$2,0)</f>
        <v>8.7500000000000008E-3</v>
      </c>
      <c r="C32" s="506">
        <f>IF('График платежей'!$AB$5="Да",M32*$F$2,0)</f>
        <v>5.5000000000000005E-3</v>
      </c>
      <c r="D32" s="503"/>
      <c r="K32" s="500">
        <v>49</v>
      </c>
      <c r="L32" s="501">
        <v>0.875</v>
      </c>
      <c r="M32" s="501">
        <v>0.55000000000000004</v>
      </c>
      <c r="N32" s="503"/>
    </row>
    <row r="33" spans="1:14" x14ac:dyDescent="0.25">
      <c r="A33" s="500">
        <v>50</v>
      </c>
      <c r="B33" s="506">
        <f>IF('График платежей'!$AB$5="Да",L33*$F$2,0)</f>
        <v>9.5700000000000004E-3</v>
      </c>
      <c r="C33" s="506">
        <f>IF('График платежей'!$AB$5="Да",M33*$F$2,0)</f>
        <v>5.8999999999999999E-3</v>
      </c>
      <c r="D33" s="503"/>
      <c r="K33" s="500">
        <v>50</v>
      </c>
      <c r="L33" s="501">
        <v>0.95699999999999996</v>
      </c>
      <c r="M33" s="501">
        <v>0.59</v>
      </c>
      <c r="N33" s="503"/>
    </row>
    <row r="34" spans="1:14" x14ac:dyDescent="0.25">
      <c r="A34" s="500">
        <v>51</v>
      </c>
      <c r="B34" s="506">
        <f>IF('График платежей'!$AB$5="Да",L34*$F$2,0)</f>
        <v>1.0460000000000001E-2</v>
      </c>
      <c r="C34" s="506">
        <f>IF('График платежей'!$AB$5="Да",M34*$F$2,0)</f>
        <v>6.3800000000000003E-3</v>
      </c>
      <c r="D34" s="503"/>
      <c r="K34" s="500">
        <v>51</v>
      </c>
      <c r="L34" s="501">
        <v>1.046</v>
      </c>
      <c r="M34" s="501">
        <v>0.63800000000000001</v>
      </c>
      <c r="N34" s="503"/>
    </row>
    <row r="35" spans="1:14" x14ac:dyDescent="0.25">
      <c r="A35" s="500">
        <v>52</v>
      </c>
      <c r="B35" s="506">
        <f>IF('График платежей'!$AB$5="Да",L35*$F$2,0)</f>
        <v>1.204E-2</v>
      </c>
      <c r="C35" s="506">
        <f>IF('График платежей'!$AB$5="Да",M35*$F$2,0)</f>
        <v>7.28E-3</v>
      </c>
      <c r="D35" s="503"/>
      <c r="K35" s="500">
        <v>52</v>
      </c>
      <c r="L35" s="501">
        <v>1.204</v>
      </c>
      <c r="M35" s="501">
        <v>0.72799999999999998</v>
      </c>
      <c r="N35" s="503"/>
    </row>
    <row r="36" spans="1:14" x14ac:dyDescent="0.25">
      <c r="A36" s="500">
        <v>53</v>
      </c>
      <c r="B36" s="506">
        <f>IF('График платежей'!$AB$5="Да",L36*$F$2,0)</f>
        <v>1.3120000000000001E-2</v>
      </c>
      <c r="C36" s="506">
        <f>IF('График платежей'!$AB$5="Да",M36*$F$2,0)</f>
        <v>7.79E-3</v>
      </c>
      <c r="D36" s="503"/>
      <c r="K36" s="500">
        <v>53</v>
      </c>
      <c r="L36" s="501">
        <v>1.3120000000000001</v>
      </c>
      <c r="M36" s="501">
        <v>0.77900000000000003</v>
      </c>
      <c r="N36" s="503"/>
    </row>
    <row r="37" spans="1:14" x14ac:dyDescent="0.25">
      <c r="A37" s="500">
        <v>54</v>
      </c>
      <c r="B37" s="506">
        <f>IF('График платежей'!$AB$5="Да",L37*$F$2,0)</f>
        <v>1.4350000000000002E-2</v>
      </c>
      <c r="C37" s="506">
        <f>IF('График платежей'!$AB$5="Да",M37*$F$2,0)</f>
        <v>8.5100000000000002E-3</v>
      </c>
      <c r="D37" s="503"/>
      <c r="K37" s="500">
        <v>54</v>
      </c>
      <c r="L37" s="501">
        <v>1.4350000000000001</v>
      </c>
      <c r="M37" s="501">
        <v>0.85099999999999998</v>
      </c>
      <c r="N37" s="503"/>
    </row>
    <row r="38" spans="1:14" x14ac:dyDescent="0.25">
      <c r="A38" s="500">
        <v>55</v>
      </c>
      <c r="B38" s="506">
        <f>IF('График платежей'!$AB$5="Да",L38*$F$2,0)</f>
        <v>1.5570000000000001E-2</v>
      </c>
      <c r="C38" s="506">
        <f>IF('График платежей'!$AB$5="Да",M38*$F$2,0)</f>
        <v>9.1500000000000001E-3</v>
      </c>
      <c r="D38" s="503"/>
      <c r="K38" s="500">
        <v>55</v>
      </c>
      <c r="L38" s="501">
        <v>1.5569999999999999</v>
      </c>
      <c r="M38" s="501">
        <v>0.91500000000000004</v>
      </c>
      <c r="N38" s="503"/>
    </row>
    <row r="39" spans="1:14" x14ac:dyDescent="0.25">
      <c r="A39" s="500">
        <v>56</v>
      </c>
      <c r="B39" s="506">
        <f>IF('График платежей'!$AB$5="Да",L39*$F$2,0)</f>
        <v>1.687E-2</v>
      </c>
      <c r="C39" s="506">
        <f>IF('График платежей'!$AB$5="Да",M39*$F$2,0)</f>
        <v>9.8799999999999999E-3</v>
      </c>
      <c r="D39" s="503"/>
      <c r="K39" s="500">
        <v>56</v>
      </c>
      <c r="L39" s="501">
        <v>1.6870000000000001</v>
      </c>
      <c r="M39" s="501">
        <v>0.98799999999999999</v>
      </c>
      <c r="N39" s="503"/>
    </row>
    <row r="40" spans="1:14" x14ac:dyDescent="0.25">
      <c r="A40" s="500">
        <v>57</v>
      </c>
      <c r="B40" s="506">
        <f>IF('График платежей'!$AB$5="Да",L40*$F$2,0)</f>
        <v>1.8450000000000001E-2</v>
      </c>
      <c r="C40" s="506">
        <f>IF('График платежей'!$AB$5="Да",M40*$F$2,0)</f>
        <v>1.0820000000000001E-2</v>
      </c>
      <c r="D40" s="503"/>
      <c r="K40" s="500">
        <v>57</v>
      </c>
      <c r="L40" s="501">
        <v>1.845</v>
      </c>
      <c r="M40" s="501">
        <v>1.0820000000000001</v>
      </c>
      <c r="N40" s="503"/>
    </row>
    <row r="41" spans="1:14" x14ac:dyDescent="0.25">
      <c r="A41" s="500">
        <v>58</v>
      </c>
      <c r="B41" s="506">
        <f>IF('График платежей'!$AB$5="Да",L41*$F$2,0)</f>
        <v>2.0190000000000003E-2</v>
      </c>
      <c r="C41" s="506">
        <f>IF('График платежей'!$AB$5="Да",M41*$F$2,0)</f>
        <v>1.1679999999999999E-2</v>
      </c>
      <c r="D41" s="503"/>
      <c r="K41" s="500">
        <v>58</v>
      </c>
      <c r="L41" s="501">
        <v>2.0190000000000001</v>
      </c>
      <c r="M41" s="501">
        <v>1.1679999999999999</v>
      </c>
      <c r="N41" s="503"/>
    </row>
    <row r="42" spans="1:14" x14ac:dyDescent="0.25">
      <c r="A42" s="500">
        <v>59</v>
      </c>
      <c r="B42" s="506">
        <f>IF('График платежей'!$AB$5="Да",L42*$F$2,0)</f>
        <v>2.6960000000000001E-2</v>
      </c>
      <c r="C42" s="506">
        <f>IF('График платежей'!$AB$5="Да",M42*$F$2,0)</f>
        <v>1.8450000000000001E-2</v>
      </c>
      <c r="D42" s="503"/>
      <c r="K42" s="500">
        <v>59</v>
      </c>
      <c r="L42" s="501">
        <v>2.6960000000000002</v>
      </c>
      <c r="M42" s="501">
        <v>1.845</v>
      </c>
      <c r="N42" s="503"/>
    </row>
    <row r="43" spans="1:14" x14ac:dyDescent="0.25">
      <c r="A43" s="500">
        <v>60</v>
      </c>
      <c r="B43" s="506">
        <f>IF('График платежей'!$AB$5="Да",L43*$F$2,0)</f>
        <v>3.006E-2</v>
      </c>
      <c r="C43" s="506">
        <f>IF('График платежей'!$AB$5="Да",M43*$F$2,0)</f>
        <v>2.0640000000000002E-2</v>
      </c>
      <c r="D43" s="503"/>
      <c r="K43" s="500">
        <v>60</v>
      </c>
      <c r="L43" s="501">
        <v>3.0059999999999998</v>
      </c>
      <c r="M43" s="501">
        <v>2.0640000000000001</v>
      </c>
      <c r="N43" s="503"/>
    </row>
    <row r="44" spans="1:14" x14ac:dyDescent="0.25">
      <c r="A44" s="500">
        <v>61</v>
      </c>
      <c r="B44" s="506">
        <f>IF('График платежей'!$AB$5="Да",L44*$F$2,0)</f>
        <v>3.3410000000000002E-2</v>
      </c>
      <c r="C44" s="506">
        <f>IF('График платежей'!$AB$5="Да",M44*$F$2,0)</f>
        <v>2.2959999999999998E-2</v>
      </c>
      <c r="D44" s="503"/>
      <c r="K44" s="500">
        <v>61</v>
      </c>
      <c r="L44" s="501">
        <v>3.3410000000000002</v>
      </c>
      <c r="M44" s="501">
        <v>2.2959999999999998</v>
      </c>
      <c r="N44" s="503"/>
    </row>
    <row r="45" spans="1:14" x14ac:dyDescent="0.25">
      <c r="A45" s="500">
        <v>62</v>
      </c>
      <c r="B45" s="506">
        <f>IF('График платежей'!$AB$5="Да",L45*$F$2,0)</f>
        <v>3.7019999999999997E-2</v>
      </c>
      <c r="C45" s="506">
        <f>IF('График платежей'!$AB$5="Да",M45*$F$2,0)</f>
        <v>2.5409999999999999E-2</v>
      </c>
      <c r="D45" s="503"/>
      <c r="K45" s="500">
        <v>62</v>
      </c>
      <c r="L45" s="501">
        <v>3.702</v>
      </c>
      <c r="M45" s="501">
        <v>2.5409999999999999</v>
      </c>
      <c r="N45" s="503"/>
    </row>
    <row r="46" spans="1:14" x14ac:dyDescent="0.25">
      <c r="A46" s="500">
        <v>63</v>
      </c>
      <c r="B46" s="506">
        <f>IF('График платежей'!$AB$5="Да",L46*$F$2,0)</f>
        <v>4.0759999999999998E-2</v>
      </c>
      <c r="C46" s="506">
        <f>IF('График платежей'!$AB$5="Да",M46*$F$2,0)</f>
        <v>2.7859999999999999E-2</v>
      </c>
      <c r="D46" s="503"/>
      <c r="K46" s="500">
        <v>63</v>
      </c>
      <c r="L46" s="501">
        <v>4.0759999999999996</v>
      </c>
      <c r="M46" s="501">
        <v>2.786</v>
      </c>
      <c r="N46" s="503"/>
    </row>
    <row r="47" spans="1:14" x14ac:dyDescent="0.25">
      <c r="A47" s="500">
        <v>64</v>
      </c>
      <c r="B47" s="506">
        <f>IF('График платежей'!$AB$5="Да",L47*$F$2,0)</f>
        <v>4.4509999999999994E-2</v>
      </c>
      <c r="C47" s="506">
        <f>IF('График платежей'!$AB$5="Да",M47*$F$2,0)</f>
        <v>3.0310000000000004E-2</v>
      </c>
      <c r="D47" s="503"/>
      <c r="K47" s="500">
        <v>64</v>
      </c>
      <c r="L47" s="501">
        <v>4.4509999999999996</v>
      </c>
      <c r="M47" s="501">
        <v>3.0310000000000001</v>
      </c>
      <c r="N47" s="503"/>
    </row>
    <row r="48" spans="1:14" x14ac:dyDescent="0.25">
      <c r="A48" s="500">
        <v>65</v>
      </c>
      <c r="B48" s="506">
        <f>IF('График платежей'!$AB$5="Да",L48*$F$2,0)</f>
        <v>4.8369999999999996E-2</v>
      </c>
      <c r="C48" s="506">
        <f>IF('График платежей'!$AB$5="Да",M48*$F$2,0)</f>
        <v>3.2770000000000001E-2</v>
      </c>
      <c r="D48" s="503"/>
      <c r="K48" s="500">
        <v>65</v>
      </c>
      <c r="L48" s="501">
        <v>4.8369999999999997</v>
      </c>
      <c r="M48" s="501">
        <v>3.2770000000000001</v>
      </c>
      <c r="N48" s="503"/>
    </row>
    <row r="49" spans="1:13" x14ac:dyDescent="0.25">
      <c r="A49" s="500">
        <v>66</v>
      </c>
      <c r="B49" s="506">
        <f>IF('График платежей'!$AB$5="Да",L49*$F$2,0)</f>
        <v>5.5350000000000003E-2</v>
      </c>
      <c r="C49" s="506">
        <f>IF('График платежей'!$AB$5="Да",M49*$F$2,0)</f>
        <v>3.7490000000000002E-2</v>
      </c>
      <c r="K49" s="500">
        <v>66</v>
      </c>
      <c r="L49" s="501">
        <v>5.5350000000000001</v>
      </c>
      <c r="M49" s="501">
        <v>3.7490000000000001</v>
      </c>
    </row>
    <row r="50" spans="1:13" x14ac:dyDescent="0.25">
      <c r="A50" s="500">
        <v>67</v>
      </c>
      <c r="B50" s="506">
        <f>IF('График платежей'!$AB$5="Да",L50*$F$2,0)</f>
        <v>5.9930000000000004E-2</v>
      </c>
      <c r="C50" s="506">
        <f>IF('График платежей'!$AB$5="Да",M50*$F$2,0)</f>
        <v>4.0289999999999999E-2</v>
      </c>
      <c r="K50" s="500">
        <v>67</v>
      </c>
      <c r="L50" s="501">
        <v>5.9930000000000003</v>
      </c>
      <c r="M50" s="501">
        <v>4.0289999999999999</v>
      </c>
    </row>
    <row r="51" spans="1:13" x14ac:dyDescent="0.25">
      <c r="A51" s="500">
        <v>68</v>
      </c>
      <c r="B51" s="506">
        <f>IF('График платежей'!$AB$5="Да",L51*$F$2,0)</f>
        <v>6.4649999999999999E-2</v>
      </c>
      <c r="C51" s="506">
        <f>IF('График платежей'!$AB$5="Да",M51*$F$2,0)</f>
        <v>4.3099999999999999E-2</v>
      </c>
      <c r="K51" s="500">
        <v>68</v>
      </c>
      <c r="L51" s="501">
        <v>6.4649999999999999</v>
      </c>
      <c r="M51" s="501">
        <v>4.3099999999999996</v>
      </c>
    </row>
    <row r="52" spans="1:13" x14ac:dyDescent="0.25">
      <c r="A52" s="500">
        <v>69</v>
      </c>
      <c r="B52" s="506">
        <f>IF('График платежей'!$AB$5="Да",L52*$F$2,0)</f>
        <v>6.9370000000000001E-2</v>
      </c>
      <c r="C52" s="506">
        <f>IF('График платежей'!$AB$5="Да",M52*$F$2,0)</f>
        <v>4.5899999999999996E-2</v>
      </c>
      <c r="K52" s="500">
        <v>69</v>
      </c>
      <c r="L52" s="501">
        <v>6.9370000000000003</v>
      </c>
      <c r="M52" s="501">
        <v>4.59</v>
      </c>
    </row>
    <row r="53" spans="1:13" x14ac:dyDescent="0.25">
      <c r="A53" s="500">
        <v>70</v>
      </c>
      <c r="B53" s="506">
        <f>IF('График платежей'!$AB$5="Да",L53*$F$2,0)</f>
        <v>7.424E-2</v>
      </c>
      <c r="C53" s="506">
        <f>IF('График платежей'!$AB$5="Да",M53*$F$2,0)</f>
        <v>4.8710000000000003E-2</v>
      </c>
      <c r="K53" s="500">
        <v>70</v>
      </c>
      <c r="L53" s="501">
        <v>7.4240000000000004</v>
      </c>
      <c r="M53" s="501">
        <v>4.8710000000000004</v>
      </c>
    </row>
  </sheetData>
  <mergeCells count="3">
    <mergeCell ref="A1:D1"/>
    <mergeCell ref="A2:C2"/>
    <mergeCell ref="K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8FC54C"/>
  </sheetPr>
  <dimension ref="A1:L41"/>
  <sheetViews>
    <sheetView showGridLines="0" topLeftCell="A14" workbookViewId="0">
      <selection activeCell="H26" sqref="H26"/>
    </sheetView>
  </sheetViews>
  <sheetFormatPr defaultColWidth="9.140625" defaultRowHeight="15" x14ac:dyDescent="0.25"/>
  <cols>
    <col min="1" max="1" width="2.42578125" style="4" customWidth="1"/>
    <col min="2" max="2" width="3.42578125" style="4" customWidth="1"/>
    <col min="3" max="3" width="1.42578125" style="4" customWidth="1"/>
    <col min="4" max="4" width="20.5703125" style="4" customWidth="1"/>
    <col min="5" max="5" width="1.5703125" style="4" customWidth="1"/>
    <col min="6" max="6" width="44.5703125" style="4" customWidth="1"/>
    <col min="7" max="7" width="1.5703125" style="4" customWidth="1"/>
    <col min="8" max="8" width="21.42578125" style="4" customWidth="1"/>
    <col min="9" max="9" width="1.42578125" style="4" customWidth="1"/>
    <col min="10" max="10" width="5" style="4" customWidth="1"/>
    <col min="11" max="11" width="3.5703125" style="4" customWidth="1"/>
    <col min="12" max="12" width="9.140625" style="4" hidden="1" customWidth="1"/>
    <col min="13" max="16384" width="9.140625" style="4"/>
  </cols>
  <sheetData>
    <row r="1" spans="1:11" ht="8.25" customHeight="1" thickBot="1" x14ac:dyDescent="0.35">
      <c r="A1" s="3"/>
      <c r="B1" s="635"/>
      <c r="C1" s="636"/>
      <c r="D1" s="636"/>
      <c r="E1" s="636"/>
      <c r="F1" s="636"/>
      <c r="G1" s="637"/>
      <c r="H1" s="637"/>
      <c r="I1" s="637"/>
      <c r="J1" s="637"/>
      <c r="K1" s="637"/>
    </row>
    <row r="2" spans="1:11" ht="49.5" customHeight="1" thickBot="1" x14ac:dyDescent="0.3">
      <c r="A2" s="3"/>
      <c r="B2" s="642" t="s">
        <v>326</v>
      </c>
      <c r="C2" s="643"/>
      <c r="D2" s="643"/>
      <c r="E2" s="643"/>
      <c r="F2" s="643"/>
      <c r="G2" s="643"/>
      <c r="H2" s="643"/>
      <c r="I2" s="643"/>
      <c r="J2" s="643"/>
      <c r="K2" s="644"/>
    </row>
    <row r="3" spans="1:11" ht="6" customHeight="1" x14ac:dyDescent="0.25">
      <c r="A3" s="3"/>
      <c r="B3" s="107"/>
      <c r="C3" s="108"/>
      <c r="D3" s="108"/>
      <c r="E3" s="108"/>
      <c r="F3" s="108"/>
      <c r="G3" s="108"/>
      <c r="H3" s="108"/>
      <c r="I3" s="108"/>
      <c r="J3" s="108"/>
      <c r="K3" s="109"/>
    </row>
    <row r="4" spans="1:11" hidden="1" x14ac:dyDescent="0.25">
      <c r="A4" s="3"/>
      <c r="B4" s="107"/>
      <c r="C4" s="108"/>
      <c r="D4" s="108" t="s">
        <v>33</v>
      </c>
      <c r="E4" s="108"/>
      <c r="F4" s="639"/>
      <c r="G4" s="640"/>
      <c r="H4" s="641"/>
      <c r="I4" s="108"/>
      <c r="J4" s="108"/>
      <c r="K4" s="109"/>
    </row>
    <row r="5" spans="1:11" ht="4.5" hidden="1" customHeight="1" x14ac:dyDescent="0.25">
      <c r="A5" s="3"/>
      <c r="B5" s="107"/>
      <c r="C5" s="108"/>
      <c r="D5" s="108"/>
      <c r="E5" s="108"/>
      <c r="F5" s="108"/>
      <c r="G5" s="108"/>
      <c r="H5" s="108"/>
      <c r="I5" s="108"/>
      <c r="J5" s="108"/>
      <c r="K5" s="109"/>
    </row>
    <row r="6" spans="1:11" hidden="1" x14ac:dyDescent="0.25">
      <c r="A6" s="3"/>
      <c r="B6" s="107"/>
      <c r="C6" s="108"/>
      <c r="D6" s="108" t="s">
        <v>14</v>
      </c>
      <c r="E6" s="108"/>
      <c r="F6" s="639"/>
      <c r="G6" s="640"/>
      <c r="H6" s="641"/>
      <c r="I6" s="108"/>
      <c r="J6" s="108"/>
      <c r="K6" s="109"/>
    </row>
    <row r="7" spans="1:11" ht="5.25" hidden="1" customHeight="1" x14ac:dyDescent="0.25">
      <c r="A7" s="3"/>
      <c r="B7" s="107"/>
      <c r="C7" s="108"/>
      <c r="D7" s="108"/>
      <c r="E7" s="108"/>
      <c r="F7" s="108"/>
      <c r="G7" s="108"/>
      <c r="H7" s="108"/>
      <c r="I7" s="108"/>
      <c r="J7" s="108"/>
      <c r="K7" s="109"/>
    </row>
    <row r="8" spans="1:11" hidden="1" x14ac:dyDescent="0.25">
      <c r="A8" s="3"/>
      <c r="B8" s="107"/>
      <c r="C8" s="108"/>
      <c r="D8" s="108" t="s">
        <v>15</v>
      </c>
      <c r="E8" s="108"/>
      <c r="F8" s="652"/>
      <c r="G8" s="653"/>
      <c r="H8" s="654"/>
      <c r="I8" s="108"/>
      <c r="J8" s="108"/>
      <c r="K8" s="109"/>
    </row>
    <row r="9" spans="1:11" ht="4.5" hidden="1" customHeight="1" x14ac:dyDescent="0.25">
      <c r="A9" s="3"/>
      <c r="B9" s="107"/>
      <c r="C9" s="108"/>
      <c r="D9" s="108"/>
      <c r="E9" s="108"/>
      <c r="F9" s="108"/>
      <c r="G9" s="108"/>
      <c r="H9" s="108"/>
      <c r="I9" s="108"/>
      <c r="J9" s="108"/>
      <c r="K9" s="109"/>
    </row>
    <row r="10" spans="1:11" ht="4.5" hidden="1" customHeight="1" x14ac:dyDescent="0.25">
      <c r="A10" s="3"/>
      <c r="B10" s="107"/>
      <c r="C10" s="108"/>
      <c r="D10" s="108"/>
      <c r="E10" s="108"/>
      <c r="F10" s="108"/>
      <c r="G10" s="108"/>
      <c r="H10" s="108"/>
      <c r="I10" s="108"/>
      <c r="J10" s="108"/>
      <c r="K10" s="109"/>
    </row>
    <row r="11" spans="1:11" ht="7.5" customHeight="1" x14ac:dyDescent="0.25">
      <c r="A11" s="3"/>
      <c r="B11" s="107"/>
      <c r="C11" s="108"/>
      <c r="D11" s="108"/>
      <c r="E11" s="108"/>
      <c r="F11" s="108"/>
      <c r="G11" s="108"/>
      <c r="H11" s="108"/>
      <c r="I11" s="108"/>
      <c r="J11" s="108"/>
      <c r="K11" s="109"/>
    </row>
    <row r="12" spans="1:11" ht="15" customHeight="1" x14ac:dyDescent="0.25">
      <c r="A12" s="3"/>
      <c r="B12" s="107"/>
      <c r="C12" s="108"/>
      <c r="D12" s="645" t="s">
        <v>5</v>
      </c>
      <c r="E12" s="645"/>
      <c r="F12" s="645"/>
      <c r="G12" s="645"/>
      <c r="H12" s="645"/>
      <c r="I12" s="119"/>
      <c r="J12" s="119"/>
      <c r="K12" s="120"/>
    </row>
    <row r="13" spans="1:11" ht="6" customHeight="1" x14ac:dyDescent="0.25">
      <c r="A13" s="3"/>
      <c r="B13" s="107"/>
      <c r="C13" s="108"/>
      <c r="D13" s="108"/>
      <c r="E13" s="108"/>
      <c r="F13" s="108"/>
      <c r="G13" s="108"/>
      <c r="H13" s="108"/>
      <c r="I13" s="119"/>
      <c r="J13" s="119"/>
      <c r="K13" s="120"/>
    </row>
    <row r="14" spans="1:11" x14ac:dyDescent="0.25">
      <c r="A14" s="3"/>
      <c r="B14" s="107"/>
      <c r="C14" s="108"/>
      <c r="D14" s="638" t="s">
        <v>8</v>
      </c>
      <c r="E14" s="638"/>
      <c r="F14" s="638"/>
      <c r="G14" s="108"/>
      <c r="H14" s="110">
        <v>42583</v>
      </c>
      <c r="I14" s="119"/>
      <c r="J14" s="108"/>
      <c r="K14" s="120"/>
    </row>
    <row r="15" spans="1:11" ht="5.25" customHeight="1" x14ac:dyDescent="0.25">
      <c r="A15" s="3"/>
      <c r="B15" s="107"/>
      <c r="C15" s="108"/>
      <c r="D15" s="108"/>
      <c r="E15" s="108"/>
      <c r="F15" s="108"/>
      <c r="G15" s="108"/>
      <c r="H15" s="108"/>
      <c r="I15" s="119"/>
      <c r="J15" s="108"/>
      <c r="K15" s="120"/>
    </row>
    <row r="16" spans="1:11" ht="5.25" customHeight="1" x14ac:dyDescent="0.25">
      <c r="A16" s="3"/>
      <c r="B16" s="107"/>
      <c r="C16" s="108"/>
      <c r="D16" s="111"/>
      <c r="E16" s="111"/>
      <c r="F16" s="111"/>
      <c r="G16" s="108"/>
      <c r="H16" s="108"/>
      <c r="I16" s="119"/>
      <c r="J16" s="108"/>
      <c r="K16" s="120"/>
    </row>
    <row r="17" spans="1:11" ht="6" customHeight="1" x14ac:dyDescent="0.25">
      <c r="A17" s="3"/>
      <c r="B17" s="112"/>
      <c r="C17" s="113"/>
      <c r="D17" s="113"/>
      <c r="E17" s="113"/>
      <c r="F17" s="113"/>
      <c r="G17" s="113"/>
      <c r="H17" s="113"/>
      <c r="I17" s="122"/>
      <c r="J17" s="113"/>
      <c r="K17" s="123"/>
    </row>
    <row r="18" spans="1:11" x14ac:dyDescent="0.25">
      <c r="A18" s="3"/>
      <c r="B18" s="107"/>
      <c r="C18" s="645" t="s">
        <v>34</v>
      </c>
      <c r="D18" s="645"/>
      <c r="E18" s="645"/>
      <c r="F18" s="645"/>
      <c r="G18" s="645"/>
      <c r="H18" s="645"/>
      <c r="I18" s="119"/>
      <c r="J18" s="108"/>
      <c r="K18" s="120"/>
    </row>
    <row r="19" spans="1:11" x14ac:dyDescent="0.25">
      <c r="A19" s="3"/>
      <c r="B19" s="107"/>
      <c r="C19" s="108"/>
      <c r="D19" s="108"/>
      <c r="E19" s="108"/>
      <c r="F19" s="108"/>
      <c r="G19" s="108"/>
      <c r="H19" s="108"/>
      <c r="I19" s="119"/>
      <c r="J19" s="108"/>
      <c r="K19" s="120"/>
    </row>
    <row r="20" spans="1:11" x14ac:dyDescent="0.25">
      <c r="A20" s="3"/>
      <c r="B20" s="107"/>
      <c r="C20" s="108"/>
      <c r="D20" s="638" t="s">
        <v>60</v>
      </c>
      <c r="E20" s="638"/>
      <c r="F20" s="638"/>
      <c r="G20" s="108"/>
      <c r="H20" s="115">
        <v>900000</v>
      </c>
      <c r="I20" s="119"/>
      <c r="J20" s="108" t="s">
        <v>17</v>
      </c>
      <c r="K20" s="120"/>
    </row>
    <row r="21" spans="1:11" x14ac:dyDescent="0.25">
      <c r="A21" s="3"/>
      <c r="B21" s="107"/>
      <c r="C21" s="108"/>
      <c r="D21" s="111"/>
      <c r="E21" s="111"/>
      <c r="F21" s="111"/>
      <c r="G21" s="111"/>
      <c r="H21" s="111"/>
      <c r="I21" s="121"/>
      <c r="J21" s="111"/>
      <c r="K21" s="120"/>
    </row>
    <row r="22" spans="1:11" x14ac:dyDescent="0.25">
      <c r="A22" s="3"/>
      <c r="B22" s="107"/>
      <c r="C22" s="108"/>
      <c r="D22" s="638" t="s">
        <v>40</v>
      </c>
      <c r="E22" s="638"/>
      <c r="F22" s="638"/>
      <c r="G22" s="108"/>
      <c r="H22" s="116">
        <v>360</v>
      </c>
      <c r="I22" s="119"/>
      <c r="J22" s="108" t="s">
        <v>20</v>
      </c>
      <c r="K22" s="120"/>
    </row>
    <row r="23" spans="1:11" x14ac:dyDescent="0.25">
      <c r="A23" s="3"/>
      <c r="B23" s="107"/>
      <c r="C23" s="108"/>
      <c r="D23" s="111"/>
      <c r="E23" s="111"/>
      <c r="F23" s="111"/>
      <c r="G23" s="108"/>
      <c r="H23" s="111"/>
      <c r="I23" s="119"/>
      <c r="J23" s="108"/>
      <c r="K23" s="120"/>
    </row>
    <row r="24" spans="1:11" x14ac:dyDescent="0.25">
      <c r="A24" s="3"/>
      <c r="B24" s="107"/>
      <c r="C24" s="108"/>
      <c r="D24" s="638" t="s">
        <v>39</v>
      </c>
      <c r="E24" s="638"/>
      <c r="F24" s="638"/>
      <c r="G24" s="108"/>
      <c r="H24" s="116">
        <v>166</v>
      </c>
      <c r="I24" s="119"/>
      <c r="J24" s="108" t="s">
        <v>20</v>
      </c>
      <c r="K24" s="120"/>
    </row>
    <row r="25" spans="1:11" x14ac:dyDescent="0.25">
      <c r="A25" s="3"/>
      <c r="B25" s="107"/>
      <c r="C25" s="108"/>
      <c r="D25" s="111"/>
      <c r="E25" s="111"/>
      <c r="F25" s="111"/>
      <c r="G25" s="108"/>
      <c r="H25" s="111"/>
      <c r="I25" s="119"/>
      <c r="J25" s="108"/>
      <c r="K25" s="120"/>
    </row>
    <row r="26" spans="1:11" x14ac:dyDescent="0.25">
      <c r="A26" s="3"/>
      <c r="B26" s="107"/>
      <c r="C26" s="108"/>
      <c r="D26" s="111" t="s">
        <v>56</v>
      </c>
      <c r="E26" s="111"/>
      <c r="F26" s="111"/>
      <c r="G26" s="108"/>
      <c r="H26" s="117" t="s">
        <v>59</v>
      </c>
      <c r="I26" s="119"/>
      <c r="J26" s="108"/>
      <c r="K26" s="120"/>
    </row>
    <row r="27" spans="1:11" x14ac:dyDescent="0.25">
      <c r="A27" s="3"/>
      <c r="B27" s="107"/>
      <c r="C27" s="108"/>
      <c r="D27" s="111"/>
      <c r="E27" s="111"/>
      <c r="F27" s="111"/>
      <c r="G27" s="108"/>
      <c r="H27" s="111"/>
      <c r="I27" s="119"/>
      <c r="J27" s="119"/>
      <c r="K27" s="120"/>
    </row>
    <row r="28" spans="1:11" x14ac:dyDescent="0.25">
      <c r="A28" s="3"/>
      <c r="B28" s="107"/>
      <c r="C28" s="108"/>
      <c r="D28" s="111" t="s">
        <v>58</v>
      </c>
      <c r="E28" s="111"/>
      <c r="F28" s="111"/>
      <c r="G28" s="108"/>
      <c r="H28" s="117" t="s">
        <v>372</v>
      </c>
      <c r="I28" s="119"/>
      <c r="J28" s="119"/>
      <c r="K28" s="120"/>
    </row>
    <row r="29" spans="1:11" x14ac:dyDescent="0.25">
      <c r="A29" s="3"/>
      <c r="B29" s="107"/>
      <c r="C29" s="108"/>
      <c r="D29" s="111"/>
      <c r="E29" s="111"/>
      <c r="F29" s="111"/>
      <c r="G29" s="111"/>
      <c r="H29" s="111"/>
      <c r="I29" s="121"/>
      <c r="J29" s="121"/>
      <c r="K29" s="124"/>
    </row>
    <row r="30" spans="1:11" ht="68.25" customHeight="1" x14ac:dyDescent="0.25">
      <c r="A30" s="3"/>
      <c r="B30" s="107"/>
      <c r="C30" s="108"/>
      <c r="D30" s="646" t="s">
        <v>61</v>
      </c>
      <c r="E30" s="646"/>
      <c r="F30" s="646"/>
      <c r="G30" s="108"/>
      <c r="H30" s="118">
        <v>0.11</v>
      </c>
      <c r="I30" s="119"/>
      <c r="J30" s="119"/>
      <c r="K30" s="120"/>
    </row>
    <row r="31" spans="1:11" ht="64.5" customHeight="1" x14ac:dyDescent="0.25">
      <c r="A31" s="3"/>
      <c r="B31" s="107"/>
      <c r="C31" s="119"/>
      <c r="D31" s="655" t="s">
        <v>62</v>
      </c>
      <c r="E31" s="655"/>
      <c r="F31" s="655"/>
      <c r="G31" s="655"/>
      <c r="H31" s="655"/>
      <c r="I31" s="119"/>
      <c r="J31" s="119"/>
      <c r="K31" s="120"/>
    </row>
    <row r="32" spans="1:11" ht="16.5" customHeight="1" x14ac:dyDescent="0.25">
      <c r="A32" s="3"/>
      <c r="B32" s="107"/>
      <c r="C32" s="108"/>
      <c r="D32" s="108"/>
      <c r="E32" s="108"/>
      <c r="F32" s="108"/>
      <c r="G32" s="108"/>
      <c r="H32" s="108"/>
      <c r="I32" s="108"/>
      <c r="J32" s="108"/>
      <c r="K32" s="109"/>
    </row>
    <row r="33" spans="1:11" x14ac:dyDescent="0.25">
      <c r="A33" s="3"/>
      <c r="B33" s="112"/>
      <c r="C33" s="113"/>
      <c r="D33" s="113"/>
      <c r="E33" s="113"/>
      <c r="F33" s="113"/>
      <c r="G33" s="113"/>
      <c r="H33" s="113"/>
      <c r="I33" s="113"/>
      <c r="J33" s="113"/>
      <c r="K33" s="114"/>
    </row>
    <row r="34" spans="1:11" ht="5.25" customHeight="1" x14ac:dyDescent="0.25">
      <c r="A34" s="3"/>
      <c r="B34" s="107"/>
      <c r="C34" s="108"/>
      <c r="D34" s="111"/>
      <c r="E34" s="111"/>
      <c r="F34" s="111"/>
      <c r="G34" s="108"/>
      <c r="H34" s="108"/>
      <c r="I34" s="108"/>
      <c r="J34" s="108"/>
      <c r="K34" s="109"/>
    </row>
    <row r="35" spans="1:11" ht="5.25" customHeight="1" x14ac:dyDescent="0.25">
      <c r="A35" s="3"/>
      <c r="B35" s="107"/>
      <c r="C35" s="108"/>
      <c r="D35" s="111"/>
      <c r="E35" s="111"/>
      <c r="F35" s="111"/>
      <c r="G35" s="108"/>
      <c r="H35" s="108"/>
      <c r="I35" s="108"/>
      <c r="J35" s="108"/>
      <c r="K35" s="109"/>
    </row>
    <row r="36" spans="1:11" x14ac:dyDescent="0.25">
      <c r="B36" s="107"/>
      <c r="C36" s="108"/>
      <c r="D36" s="649" t="s">
        <v>370</v>
      </c>
      <c r="E36" s="650"/>
      <c r="F36" s="650"/>
      <c r="G36" s="650"/>
      <c r="H36" s="651"/>
      <c r="I36" s="108"/>
      <c r="J36" s="108"/>
      <c r="K36" s="109"/>
    </row>
    <row r="37" spans="1:11" ht="5.25" customHeight="1" thickBot="1" x14ac:dyDescent="0.3">
      <c r="B37" s="104"/>
      <c r="C37" s="105"/>
      <c r="D37" s="105"/>
      <c r="E37" s="105"/>
      <c r="F37" s="105"/>
      <c r="G37" s="105"/>
      <c r="H37" s="105"/>
      <c r="I37" s="105"/>
      <c r="J37" s="105"/>
      <c r="K37" s="106"/>
    </row>
    <row r="38" spans="1:11" x14ac:dyDescent="0.25">
      <c r="C38" s="3"/>
      <c r="D38" s="3"/>
      <c r="E38" s="3"/>
      <c r="F38" s="3"/>
      <c r="G38" s="3"/>
      <c r="I38" s="3"/>
      <c r="J38" s="3"/>
      <c r="K38" s="3"/>
    </row>
    <row r="39" spans="1:11" x14ac:dyDescent="0.25">
      <c r="B39" s="647"/>
      <c r="C39" s="648"/>
      <c r="D39" s="648"/>
      <c r="E39" s="648"/>
      <c r="F39" s="648"/>
      <c r="G39" s="3"/>
      <c r="H39" s="99">
        <v>166</v>
      </c>
      <c r="I39" s="3"/>
      <c r="J39" s="3"/>
      <c r="K39" s="3"/>
    </row>
    <row r="40" spans="1:11" x14ac:dyDescent="0.25">
      <c r="B40" s="648"/>
      <c r="C40" s="648"/>
      <c r="D40" s="648"/>
      <c r="E40" s="648"/>
      <c r="F40" s="648"/>
      <c r="G40" s="3"/>
      <c r="H40" s="3"/>
      <c r="I40" s="3"/>
      <c r="J40" s="3"/>
    </row>
    <row r="41" spans="1:11" x14ac:dyDescent="0.25">
      <c r="C41" s="3"/>
      <c r="D41" s="3"/>
      <c r="E41" s="3"/>
      <c r="F41" s="3"/>
      <c r="G41" s="3"/>
      <c r="H41" s="3"/>
      <c r="I41" s="3"/>
      <c r="J41" s="3"/>
      <c r="K41" s="3"/>
    </row>
  </sheetData>
  <customSheetViews>
    <customSheetView guid="{A6ED9047-BF5F-4715-989F-6B73F8A8D111}" showGridLines="0" hiddenRows="1" hiddenColumns="1" topLeftCell="A3">
      <selection activeCell="D31" sqref="D31:H31"/>
      <pageMargins left="0.7" right="0.7" top="0.75" bottom="0.75" header="0.3" footer="0.3"/>
      <pageSetup paperSize="9" orientation="portrait" r:id="rId1"/>
    </customSheetView>
  </customSheetViews>
  <mergeCells count="15">
    <mergeCell ref="D30:F30"/>
    <mergeCell ref="D24:F24"/>
    <mergeCell ref="B39:F40"/>
    <mergeCell ref="D36:H36"/>
    <mergeCell ref="F8:H8"/>
    <mergeCell ref="D22:F22"/>
    <mergeCell ref="C18:H18"/>
    <mergeCell ref="D31:H31"/>
    <mergeCell ref="B1:K1"/>
    <mergeCell ref="D20:F20"/>
    <mergeCell ref="F4:H4"/>
    <mergeCell ref="F6:H6"/>
    <mergeCell ref="B2:K2"/>
    <mergeCell ref="D12:H12"/>
    <mergeCell ref="D14:F14"/>
  </mergeCells>
  <phoneticPr fontId="0" type="noConversion"/>
  <dataValidations count="2">
    <dataValidation type="date" operator="greaterThan" allowBlank="1" showDropDown="1" showInputMessage="1" showErrorMessage="1" sqref="H14">
      <formula1>36526</formula1>
    </dataValidation>
    <dataValidation type="list" allowBlank="1" showInputMessage="1" showErrorMessage="1" sqref="H26 H28">
      <formula1>"Да,Нет"</formula1>
    </dataValidation>
  </dataValidation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5" name="Button 8">
              <controlPr defaultSize="0" print="0" autoFill="0" autoPict="0" macro="[0]!UpdateCalc">
                <anchor moveWithCells="1" sizeWithCells="1">
                  <from>
                    <xdr:col>3</xdr:col>
                    <xdr:colOff>38100</xdr:colOff>
                    <xdr:row>31</xdr:row>
                    <xdr:rowOff>123825</xdr:rowOff>
                  </from>
                  <to>
                    <xdr:col>8</xdr:col>
                    <xdr:colOff>9525</xdr:colOff>
                    <xdr:row>32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112</vt:i4>
      </vt:variant>
    </vt:vector>
  </HeadingPairs>
  <TitlesOfParts>
    <vt:vector size="132" baseType="lpstr">
      <vt:lpstr>Калькулятор_от дохода</vt:lpstr>
      <vt:lpstr>Отправить расчет</vt:lpstr>
      <vt:lpstr>График платежей</vt:lpstr>
      <vt:lpstr>Справочники и промежут.расчет</vt:lpstr>
      <vt:lpstr>Расчет по доходу заемщика</vt:lpstr>
      <vt:lpstr>Календарь</vt:lpstr>
      <vt:lpstr>Тарифы СК</vt:lpstr>
      <vt:lpstr>Параметры</vt:lpstr>
      <vt:lpstr>Печать</vt:lpstr>
      <vt:lpstr>График_польз.срок</vt:lpstr>
      <vt:lpstr>График_180</vt:lpstr>
      <vt:lpstr>График_240</vt:lpstr>
      <vt:lpstr>График_300</vt:lpstr>
      <vt:lpstr>График_360</vt:lpstr>
      <vt:lpstr>Прогноз переменной ставки</vt:lpstr>
      <vt:lpstr>Справочник</vt:lpstr>
      <vt:lpstr>Инструкция</vt:lpstr>
      <vt:lpstr>Лист1</vt:lpstr>
      <vt:lpstr>Лист2</vt:lpstr>
      <vt:lpstr>Лист3</vt:lpstr>
      <vt:lpstr>AgreementDate</vt:lpstr>
      <vt:lpstr>AgreementNo</vt:lpstr>
      <vt:lpstr>DecCell</vt:lpstr>
      <vt:lpstr>FactPeriods</vt:lpstr>
      <vt:lpstr>FactTerm</vt:lpstr>
      <vt:lpstr>FIO</vt:lpstr>
      <vt:lpstr>GiveDate</vt:lpstr>
      <vt:lpstr>Info</vt:lpstr>
      <vt:lpstr>insur</vt:lpstr>
      <vt:lpstr>KD_period</vt:lpstr>
      <vt:lpstr>Label_1_1</vt:lpstr>
      <vt:lpstr>Label_1_2</vt:lpstr>
      <vt:lpstr>Label_1_3</vt:lpstr>
      <vt:lpstr>Label_1_4</vt:lpstr>
      <vt:lpstr>Label_1_5</vt:lpstr>
      <vt:lpstr>Label_1_6</vt:lpstr>
      <vt:lpstr>Label_1_7</vt:lpstr>
      <vt:lpstr>PrintAgreementDate</vt:lpstr>
      <vt:lpstr>PrintAgreementNo</vt:lpstr>
      <vt:lpstr>PrintFIO</vt:lpstr>
      <vt:lpstr>RndCell</vt:lpstr>
      <vt:lpstr>spravka</vt:lpstr>
      <vt:lpstr>stavka</vt:lpstr>
      <vt:lpstr>SubsCredSumm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Брянская_область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г.Москва</vt:lpstr>
      <vt:lpstr>г.Санкт_Петербург</vt:lpstr>
      <vt:lpstr>Еврейская_авт.область</vt:lpstr>
      <vt:lpstr>Забайкальский_край</vt:lpstr>
      <vt:lpstr>Ивановская_область</vt:lpstr>
      <vt:lpstr>Иное</vt:lpstr>
      <vt:lpstr>Иркутская_область</vt:lpstr>
      <vt:lpstr>Кабардино_Балкарская_Республика</vt:lpstr>
      <vt:lpstr>Калининградская_область</vt:lpstr>
      <vt:lpstr>Калужская_область</vt:lpstr>
      <vt:lpstr>Камчатский_край</vt:lpstr>
      <vt:lpstr>Карачаево_Черкесская_Республика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ЛО</vt:lpstr>
      <vt:lpstr>Магаданская_область</vt:lpstr>
      <vt:lpstr>Москва</vt:lpstr>
      <vt:lpstr>Московская_область</vt:lpstr>
      <vt:lpstr>Мурманская_область</vt:lpstr>
      <vt:lpstr>Ненецкий_авт.округ</vt:lpstr>
      <vt:lpstr>Нижегородская_область</vt:lpstr>
      <vt:lpstr>Новгородская_область</vt:lpstr>
      <vt:lpstr>Новосибирская_область</vt:lpstr>
      <vt:lpstr>'Калькулятор_от дохода'!Область_печати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Псковская_область</vt:lpstr>
      <vt:lpstr>Регион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Республика_Калмыкия</vt:lpstr>
      <vt:lpstr>Республика_Карелия</vt:lpstr>
      <vt:lpstr>Республика_Коми</vt:lpstr>
      <vt:lpstr>Республика_Марий_Эл</vt:lpstr>
      <vt:lpstr>Республика_Мордовия</vt:lpstr>
      <vt:lpstr>Республика_Саха__Якутия</vt:lpstr>
      <vt:lpstr>Республика_Северная_Осетия___Алания</vt:lpstr>
      <vt:lpstr>Республика_Татарстан</vt:lpstr>
      <vt:lpstr>Республика_Тыва</vt:lpstr>
      <vt:lpstr>Республика_Хакасия</vt:lpstr>
      <vt:lpstr>Ростовская_область</vt:lpstr>
      <vt:lpstr>Рязанская_область</vt:lpstr>
      <vt:lpstr>Самарская_область</vt:lpstr>
      <vt:lpstr>Саратовская_область</vt:lpstr>
      <vt:lpstr>Сахалинская_область</vt:lpstr>
      <vt:lpstr>Свердловская_область</vt:lpstr>
      <vt:lpstr>Смоленская_область</vt:lpstr>
      <vt:lpstr>Ставропольский_край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Удмуртская_Республика</vt:lpstr>
      <vt:lpstr>Ульяновская_область</vt:lpstr>
      <vt:lpstr>Хабаровский_край</vt:lpstr>
      <vt:lpstr>Ханты_Мансийский_авт.округ___Югра</vt:lpstr>
      <vt:lpstr>Челябинская_область</vt:lpstr>
      <vt:lpstr>Чеченская_Республика</vt:lpstr>
      <vt:lpstr>Чувашская_Республика</vt:lpstr>
      <vt:lpstr>Чукотский_авт.округ</vt:lpstr>
      <vt:lpstr>Ямало_Ненецкий_авт.округ</vt:lpstr>
      <vt:lpstr>Ярославская_область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Exial</dc:creator>
  <cp:lastModifiedBy>Сеснев Игорь Васильевич</cp:lastModifiedBy>
  <cp:lastPrinted>2019-10-04T06:15:42Z</cp:lastPrinted>
  <dcterms:created xsi:type="dcterms:W3CDTF">2007-05-08T09:33:43Z</dcterms:created>
  <dcterms:modified xsi:type="dcterms:W3CDTF">2024-01-25T09:44:21Z</dcterms:modified>
</cp:coreProperties>
</file>