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 tabRatio="760" firstSheet="4" activeTab="6"/>
  </bookViews>
  <sheets>
    <sheet name=" на весь срок" sheetId="1" state="hidden" r:id="rId1"/>
    <sheet name="льготный период" sheetId="2" state="hidden" r:id="rId2"/>
    <sheet name="справочники" sheetId="3" state="hidden" r:id="rId3"/>
    <sheet name="Комбо-ипотека" sheetId="6" state="hidden" r:id="rId4"/>
    <sheet name="Ставка мечты" sheetId="4" r:id="rId5"/>
    <sheet name="Комбо (с субсидир от Застройщ)" sheetId="7" r:id="rId6"/>
    <sheet name="Комбо (со средневзв. ставкой)" sheetId="8" r:id="rId7"/>
    <sheet name="Комбо2" sheetId="9" state="hidden" r:id="rId8"/>
    <sheet name="график" sheetId="5" state="hidden" r:id="rId9"/>
  </sheets>
  <definedNames>
    <definedName name="_ftn1" localSheetId="2">справочники!$E$10</definedName>
    <definedName name="_ftnref1" localSheetId="2">справочники!$E$6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L75" i="1" l="1"/>
  <c r="Q75" i="1"/>
  <c r="S76" i="2"/>
  <c r="M76" i="2"/>
  <c r="B11" i="3" l="1"/>
  <c r="B12" i="3"/>
  <c r="B10" i="3"/>
  <c r="M71" i="2"/>
  <c r="M72" i="2"/>
  <c r="M73" i="2" s="1"/>
  <c r="M74" i="2" s="1"/>
  <c r="M75" i="2" s="1"/>
  <c r="L70" i="1"/>
  <c r="L71" i="1" s="1"/>
  <c r="L72" i="1" s="1"/>
  <c r="L73" i="1" s="1"/>
  <c r="L74" i="1" s="1"/>
  <c r="Y75" i="2"/>
  <c r="Y76" i="2"/>
  <c r="Y77" i="2" s="1"/>
  <c r="V74" i="1"/>
  <c r="V75" i="1"/>
  <c r="V76" i="1" s="1"/>
  <c r="S71" i="2"/>
  <c r="S72" i="2"/>
  <c r="S73" i="2"/>
  <c r="S74" i="2"/>
  <c r="S75" i="2" s="1"/>
  <c r="Q70" i="1"/>
  <c r="Q71" i="1" s="1"/>
  <c r="Q72" i="1" s="1"/>
  <c r="Q73" i="1" s="1"/>
  <c r="Q74" i="1" s="1"/>
  <c r="F9" i="8" l="1"/>
  <c r="C15" i="9"/>
  <c r="C14" i="9"/>
  <c r="G23" i="6" l="1"/>
  <c r="K46" i="6"/>
  <c r="K32" i="6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21" i="3"/>
  <c r="G17" i="6" l="1"/>
  <c r="G41" i="6"/>
  <c r="K42" i="6"/>
  <c r="C15" i="7"/>
  <c r="C13" i="7"/>
  <c r="C14" i="7" s="1"/>
  <c r="K43" i="6"/>
  <c r="J19" i="6" l="1"/>
  <c r="J22" i="6"/>
  <c r="K4" i="7"/>
  <c r="A4" i="6"/>
  <c r="A41" i="6"/>
  <c r="A42" i="6"/>
  <c r="A43" i="6"/>
  <c r="A44" i="6"/>
  <c r="A45" i="6"/>
  <c r="A46" i="6"/>
  <c r="E43" i="6"/>
  <c r="E44" i="6" s="1"/>
  <c r="E45" i="6" s="1"/>
  <c r="E46" i="6" s="1"/>
  <c r="E42" i="6"/>
  <c r="K47" i="6"/>
  <c r="K44" i="6"/>
  <c r="K45" i="6"/>
  <c r="K34" i="6"/>
  <c r="K41" i="6"/>
  <c r="J21" i="6" s="1"/>
  <c r="G46" i="6"/>
  <c r="G45" i="6"/>
  <c r="G44" i="6"/>
  <c r="G43" i="6"/>
  <c r="G42" i="6"/>
  <c r="A23" i="6"/>
  <c r="C8" i="6"/>
  <c r="A6" i="6"/>
  <c r="A7" i="6"/>
  <c r="A8" i="6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21" i="3"/>
  <c r="E7" i="4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9" i="1"/>
  <c r="L6" i="6" l="1"/>
  <c r="L5" i="6"/>
  <c r="K38" i="6"/>
  <c r="K39" i="6"/>
  <c r="K33" i="6"/>
  <c r="K35" i="6"/>
  <c r="K36" i="6"/>
  <c r="K37" i="6"/>
  <c r="K40" i="6"/>
  <c r="J20" i="6" l="1"/>
  <c r="G32" i="6"/>
  <c r="M8" i="3" l="1"/>
  <c r="M7" i="3"/>
  <c r="K21" i="3" l="1"/>
  <c r="I7" i="1"/>
  <c r="C7" i="1"/>
  <c r="A9" i="6" l="1"/>
  <c r="A10" i="6"/>
  <c r="A32" i="6" l="1"/>
  <c r="G38" i="6"/>
  <c r="G37" i="6"/>
  <c r="A37" i="6" s="1"/>
  <c r="G51" i="3" l="1"/>
  <c r="Y9" i="2" l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Y59" i="2" s="1"/>
  <c r="Y60" i="2" s="1"/>
  <c r="Y61" i="2" s="1"/>
  <c r="Y62" i="2" s="1"/>
  <c r="Y63" i="2" s="1"/>
  <c r="Y64" i="2" s="1"/>
  <c r="Y65" i="2" s="1"/>
  <c r="Y66" i="2" s="1"/>
  <c r="Y67" i="2" s="1"/>
  <c r="Y68" i="2" s="1"/>
  <c r="Y69" i="2" s="1"/>
  <c r="Y70" i="2" s="1"/>
  <c r="Y71" i="2" s="1"/>
  <c r="Y72" i="2" s="1"/>
  <c r="Y73" i="2" s="1"/>
  <c r="Y74" i="2" s="1"/>
  <c r="D28" i="8" l="1"/>
  <c r="D29" i="8" l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/>
  <c r="D51" i="8" l="1"/>
  <c r="D52" i="8" l="1"/>
  <c r="D53" i="8" l="1"/>
  <c r="D54" i="8" l="1"/>
  <c r="D55" i="8" l="1"/>
  <c r="D56" i="8" l="1"/>
  <c r="D57" i="8" l="1"/>
  <c r="D58" i="8" l="1"/>
  <c r="D59" i="8" l="1"/>
  <c r="D60" i="8" l="1"/>
  <c r="D61" i="8" l="1"/>
  <c r="D62" i="8" l="1"/>
  <c r="D63" i="8" l="1"/>
  <c r="D64" i="8" l="1"/>
  <c r="D65" i="8" l="1"/>
  <c r="D66" i="8" l="1"/>
  <c r="D67" i="8" l="1"/>
  <c r="D68" i="8" l="1"/>
  <c r="D69" i="8" l="1"/>
  <c r="D70" i="8" l="1"/>
  <c r="D71" i="8" l="1"/>
  <c r="D72" i="8" l="1"/>
  <c r="D73" i="8" l="1"/>
  <c r="D74" i="8" l="1"/>
  <c r="D75" i="8" l="1"/>
  <c r="D76" i="8" l="1"/>
  <c r="D77" i="8" l="1"/>
  <c r="D78" i="8" l="1"/>
  <c r="D79" i="8" l="1"/>
  <c r="D80" i="8" l="1"/>
  <c r="D81" i="8" l="1"/>
  <c r="D82" i="8" l="1"/>
  <c r="D83" i="8" l="1"/>
  <c r="D84" i="8" l="1"/>
  <c r="D85" i="8" l="1"/>
  <c r="D86" i="8" l="1"/>
  <c r="D87" i="8" l="1"/>
  <c r="D88" i="8" l="1"/>
  <c r="D89" i="8" l="1"/>
  <c r="D90" i="8" l="1"/>
  <c r="D91" i="8" l="1"/>
  <c r="D92" i="8" l="1"/>
  <c r="D93" i="8" l="1"/>
  <c r="D94" i="8" l="1"/>
  <c r="D95" i="8" l="1"/>
  <c r="D96" i="8" l="1"/>
  <c r="D97" i="8" l="1"/>
  <c r="D98" i="8" l="1"/>
  <c r="D99" i="8" l="1"/>
  <c r="D100" i="8" l="1"/>
  <c r="D101" i="8" l="1"/>
  <c r="D102" i="8" l="1"/>
  <c r="D103" i="8" l="1"/>
  <c r="D104" i="8" l="1"/>
  <c r="D105" i="8" l="1"/>
  <c r="D106" i="8" l="1"/>
  <c r="D107" i="8" l="1"/>
  <c r="D108" i="8" l="1"/>
  <c r="D109" i="8" l="1"/>
  <c r="D110" i="8" l="1"/>
  <c r="D111" i="8" l="1"/>
  <c r="D112" i="8" l="1"/>
  <c r="D113" i="8" l="1"/>
  <c r="D114" i="8" l="1"/>
  <c r="D115" i="8" l="1"/>
  <c r="D116" i="8" l="1"/>
  <c r="D117" i="8" l="1"/>
  <c r="D118" i="8" l="1"/>
  <c r="D119" i="8" l="1"/>
  <c r="D120" i="8" l="1"/>
  <c r="D121" i="8" l="1"/>
  <c r="D122" i="8" l="1"/>
  <c r="D123" i="8" l="1"/>
  <c r="D124" i="8" l="1"/>
  <c r="D125" i="8" l="1"/>
  <c r="D126" i="8" l="1"/>
  <c r="D127" i="8" l="1"/>
  <c r="D128" i="8" l="1"/>
  <c r="D129" i="8" l="1"/>
  <c r="D130" i="8" l="1"/>
  <c r="D131" i="8" l="1"/>
  <c r="D132" i="8" l="1"/>
  <c r="D133" i="8" l="1"/>
  <c r="D134" i="8" l="1"/>
  <c r="D135" i="8" l="1"/>
  <c r="D136" i="8" l="1"/>
  <c r="D137" i="8" l="1"/>
  <c r="D138" i="8" l="1"/>
  <c r="D139" i="8" l="1"/>
  <c r="D140" i="8" l="1"/>
  <c r="D141" i="8" l="1"/>
  <c r="D142" i="8" l="1"/>
  <c r="D143" i="8" l="1"/>
  <c r="D144" i="8" l="1"/>
  <c r="D145" i="8" l="1"/>
  <c r="D146" i="8" l="1"/>
  <c r="D147" i="8" l="1"/>
  <c r="D148" i="8" l="1"/>
  <c r="D149" i="8" l="1"/>
  <c r="D150" i="8" l="1"/>
  <c r="D151" i="8" l="1"/>
  <c r="D152" i="8" l="1"/>
  <c r="D153" i="8" l="1"/>
  <c r="D154" i="8" l="1"/>
  <c r="D155" i="8" l="1"/>
  <c r="D156" i="8" l="1"/>
  <c r="D157" i="8" l="1"/>
  <c r="D158" i="8" l="1"/>
  <c r="D159" i="8" l="1"/>
  <c r="D160" i="8" l="1"/>
  <c r="D161" i="8" l="1"/>
  <c r="D162" i="8" l="1"/>
  <c r="D163" i="8" l="1"/>
  <c r="D164" i="8" l="1"/>
  <c r="D165" i="8" l="1"/>
  <c r="D166" i="8" l="1"/>
  <c r="D167" i="8" l="1"/>
  <c r="D168" i="8" l="1"/>
  <c r="D169" i="8" l="1"/>
  <c r="D170" i="8" l="1"/>
  <c r="D171" i="8" l="1"/>
  <c r="D172" i="8" l="1"/>
  <c r="D173" i="8" l="1"/>
  <c r="D174" i="8" l="1"/>
  <c r="D175" i="8" l="1"/>
  <c r="D176" i="8" l="1"/>
  <c r="D177" i="8" l="1"/>
  <c r="D178" i="8" l="1"/>
  <c r="D179" i="8" l="1"/>
  <c r="D180" i="8" l="1"/>
  <c r="D181" i="8" l="1"/>
  <c r="D182" i="8" l="1"/>
  <c r="D183" i="8" l="1"/>
  <c r="D184" i="8" l="1"/>
  <c r="D185" i="8" l="1"/>
  <c r="D186" i="8" l="1"/>
  <c r="D187" i="8" l="1"/>
  <c r="D188" i="8" l="1"/>
  <c r="D189" i="8" l="1"/>
  <c r="D190" i="8" l="1"/>
  <c r="D191" i="8" l="1"/>
  <c r="D192" i="8" l="1"/>
  <c r="D193" i="8" l="1"/>
  <c r="D194" i="8" l="1"/>
  <c r="D195" i="8" l="1"/>
  <c r="D196" i="8" l="1"/>
  <c r="D197" i="8" l="1"/>
  <c r="D198" i="8" l="1"/>
  <c r="D199" i="8" l="1"/>
  <c r="D200" i="8" l="1"/>
  <c r="D201" i="8" l="1"/>
  <c r="D202" i="8" l="1"/>
  <c r="D203" i="8" l="1"/>
  <c r="D204" i="8" l="1"/>
  <c r="D205" i="8" l="1"/>
  <c r="D206" i="8" l="1"/>
  <c r="D207" i="8" l="1"/>
  <c r="D208" i="8" l="1"/>
  <c r="D209" i="8" l="1"/>
  <c r="D210" i="8" l="1"/>
  <c r="D211" i="8" l="1"/>
  <c r="D212" i="8" l="1"/>
  <c r="D213" i="8" l="1"/>
  <c r="D214" i="8" l="1"/>
  <c r="D215" i="8" l="1"/>
  <c r="D216" i="8" l="1"/>
  <c r="D217" i="8" l="1"/>
  <c r="D218" i="8" l="1"/>
  <c r="D219" i="8" l="1"/>
  <c r="D220" i="8" l="1"/>
  <c r="D221" i="8" l="1"/>
  <c r="D222" i="8" l="1"/>
  <c r="D223" i="8" l="1"/>
  <c r="D224" i="8" l="1"/>
  <c r="D225" i="8" l="1"/>
  <c r="D226" i="8" l="1"/>
  <c r="D227" i="8" l="1"/>
  <c r="D228" i="8" l="1"/>
  <c r="D229" i="8" l="1"/>
  <c r="D230" i="8" l="1"/>
  <c r="D231" i="8" l="1"/>
  <c r="D232" i="8" l="1"/>
  <c r="D233" i="8" l="1"/>
  <c r="D234" i="8" l="1"/>
  <c r="D235" i="8" l="1"/>
  <c r="D236" i="8" l="1"/>
  <c r="D237" i="8" l="1"/>
  <c r="D238" i="8" l="1"/>
  <c r="D239" i="8" l="1"/>
  <c r="D240" i="8" l="1"/>
  <c r="D241" i="8" l="1"/>
  <c r="D242" i="8" l="1"/>
  <c r="D243" i="8" l="1"/>
  <c r="D244" i="8" l="1"/>
  <c r="D245" i="8" l="1"/>
  <c r="D246" i="8" l="1"/>
  <c r="D247" i="8" l="1"/>
  <c r="D248" i="8" l="1"/>
  <c r="D249" i="8" l="1"/>
  <c r="D250" i="8" l="1"/>
  <c r="D251" i="8" l="1"/>
  <c r="D252" i="8" l="1"/>
  <c r="D253" i="8" l="1"/>
  <c r="D254" i="8" l="1"/>
  <c r="D255" i="8" l="1"/>
  <c r="D256" i="8" l="1"/>
  <c r="D257" i="8" l="1"/>
  <c r="D258" i="8" l="1"/>
  <c r="D259" i="8" l="1"/>
  <c r="D260" i="8" l="1"/>
  <c r="D261" i="8" l="1"/>
  <c r="D262" i="8" l="1"/>
  <c r="D263" i="8" s="1"/>
  <c r="D264" i="8" s="1"/>
  <c r="D265" i="8" s="1"/>
  <c r="D266" i="8" s="1"/>
  <c r="D267" i="8" s="1"/>
  <c r="D268" i="8" s="1"/>
  <c r="D269" i="8" l="1"/>
  <c r="D270" i="8" l="1"/>
  <c r="D271" i="8" l="1"/>
  <c r="D272" i="8" l="1"/>
  <c r="D273" i="8" l="1"/>
  <c r="D274" i="8" l="1"/>
  <c r="D275" i="8" l="1"/>
  <c r="D276" i="8" l="1"/>
  <c r="D277" i="8" l="1"/>
  <c r="D278" i="8" l="1"/>
  <c r="D279" i="8" l="1"/>
  <c r="D280" i="8" l="1"/>
  <c r="D281" i="8" l="1"/>
  <c r="D282" i="8" l="1"/>
  <c r="D283" i="8" l="1"/>
  <c r="D284" i="8" l="1"/>
  <c r="D285" i="8" l="1"/>
  <c r="D286" i="8" l="1"/>
  <c r="D287" i="8" l="1"/>
  <c r="D288" i="8" l="1"/>
  <c r="D289" i="8" l="1"/>
  <c r="D290" i="8" l="1"/>
  <c r="D291" i="8" l="1"/>
  <c r="D292" i="8" l="1"/>
  <c r="D293" i="8" l="1"/>
  <c r="D294" i="8" l="1"/>
  <c r="D295" i="8" l="1"/>
  <c r="D296" i="8" l="1"/>
  <c r="D297" i="8" l="1"/>
  <c r="D298" i="8" l="1"/>
  <c r="D299" i="8" l="1"/>
  <c r="D300" i="8" l="1"/>
  <c r="D301" i="8" l="1"/>
  <c r="D302" i="8" l="1"/>
  <c r="D303" i="8" l="1"/>
  <c r="D304" i="8" l="1"/>
  <c r="D305" i="8" l="1"/>
  <c r="D306" i="8" l="1"/>
  <c r="D307" i="8" l="1"/>
  <c r="D308" i="8" l="1"/>
  <c r="D309" i="8" l="1"/>
  <c r="D310" i="8" l="1"/>
  <c r="D311" i="8" l="1"/>
  <c r="D312" i="8" l="1"/>
  <c r="D313" i="8" l="1"/>
  <c r="D314" i="8" l="1"/>
  <c r="D315" i="8" l="1"/>
  <c r="D316" i="8" l="1"/>
  <c r="D317" i="8" l="1"/>
  <c r="D318" i="8" l="1"/>
  <c r="D319" i="8" l="1"/>
  <c r="D320" i="8" l="1"/>
  <c r="D321" i="8" l="1"/>
  <c r="D322" i="8" l="1"/>
  <c r="D323" i="8" l="1"/>
  <c r="D324" i="8" l="1"/>
  <c r="D325" i="8" l="1"/>
  <c r="D326" i="8" l="1"/>
  <c r="D327" i="8" l="1"/>
  <c r="D328" i="8" l="1"/>
  <c r="D329" i="8" l="1"/>
  <c r="D330" i="8" l="1"/>
  <c r="D331" i="8" l="1"/>
  <c r="D332" i="8" l="1"/>
  <c r="D333" i="8" l="1"/>
  <c r="D334" i="8" l="1"/>
  <c r="D335" i="8" l="1"/>
  <c r="D336" i="8" l="1"/>
  <c r="D337" i="8" l="1"/>
  <c r="D338" i="8" l="1"/>
  <c r="D339" i="8" l="1"/>
  <c r="D340" i="8" l="1"/>
  <c r="D341" i="8" l="1"/>
  <c r="D342" i="8" l="1"/>
  <c r="D343" i="8" l="1"/>
  <c r="D344" i="8" l="1"/>
  <c r="D345" i="8" l="1"/>
  <c r="D346" i="8" l="1"/>
  <c r="D347" i="8" l="1"/>
  <c r="D348" i="8" l="1"/>
  <c r="D349" i="8" l="1"/>
  <c r="D350" i="8" l="1"/>
  <c r="D351" i="8" l="1"/>
  <c r="D352" i="8" l="1"/>
  <c r="D353" i="8" l="1"/>
  <c r="D354" i="8" l="1"/>
  <c r="D355" i="8" l="1"/>
  <c r="D356" i="8" l="1"/>
  <c r="D357" i="8" l="1"/>
  <c r="D358" i="8" l="1"/>
  <c r="D359" i="8" l="1"/>
  <c r="D360" i="8" l="1"/>
  <c r="D361" i="8" l="1"/>
  <c r="D362" i="8" l="1"/>
  <c r="D363" i="8" l="1"/>
  <c r="D364" i="8" l="1"/>
  <c r="D365" i="8" l="1"/>
  <c r="D366" i="8" l="1"/>
  <c r="D367" i="8" l="1"/>
  <c r="D368" i="8" l="1"/>
  <c r="D369" i="8" l="1"/>
  <c r="D370" i="8" l="1"/>
  <c r="D371" i="8" l="1"/>
  <c r="D372" i="8" l="1"/>
  <c r="D373" i="8" l="1"/>
  <c r="D374" i="8" l="1"/>
  <c r="D375" i="8" l="1"/>
  <c r="D376" i="8" l="1"/>
  <c r="D377" i="8" l="1"/>
  <c r="D378" i="8" l="1"/>
  <c r="D379" i="8" l="1"/>
  <c r="D380" i="8" l="1"/>
  <c r="D381" i="8" l="1"/>
  <c r="D382" i="8" l="1"/>
  <c r="D383" i="8" l="1"/>
  <c r="D384" i="8" l="1"/>
  <c r="D385" i="8" l="1"/>
  <c r="D386" i="8" l="1"/>
  <c r="D387" i="8" l="1"/>
  <c r="A5" i="6" l="1"/>
  <c r="G15" i="7" l="1"/>
  <c r="G29" i="6" l="1"/>
  <c r="A29" i="6" s="1"/>
  <c r="A38" i="6"/>
  <c r="G28" i="6"/>
  <c r="A28" i="6" s="1"/>
  <c r="E33" i="6"/>
  <c r="E34" i="6" s="1"/>
  <c r="E35" i="6" s="1"/>
  <c r="E36" i="6" s="1"/>
  <c r="E37" i="6" s="1"/>
  <c r="E38" i="6" s="1"/>
  <c r="E39" i="6" s="1"/>
  <c r="E40" i="6" s="1"/>
  <c r="E24" i="6"/>
  <c r="E25" i="6" s="1"/>
  <c r="E26" i="6" s="1"/>
  <c r="E27" i="6" s="1"/>
  <c r="E28" i="6" s="1"/>
  <c r="E29" i="6" s="1"/>
  <c r="E30" i="6" s="1"/>
  <c r="E31" i="6" s="1"/>
  <c r="G39" i="6" l="1"/>
  <c r="A39" i="6" s="1"/>
  <c r="G30" i="6"/>
  <c r="A30" i="6" s="1"/>
  <c r="G27" i="6"/>
  <c r="A27" i="6" s="1"/>
  <c r="G33" i="6"/>
  <c r="A33" i="6" s="1"/>
  <c r="G25" i="6"/>
  <c r="A25" i="6" s="1"/>
  <c r="G35" i="6"/>
  <c r="A35" i="6" s="1"/>
  <c r="G31" i="6"/>
  <c r="A31" i="6" s="1"/>
  <c r="G34" i="6"/>
  <c r="A34" i="6" s="1"/>
  <c r="G26" i="6"/>
  <c r="A26" i="6" s="1"/>
  <c r="G40" i="6"/>
  <c r="A40" i="6" s="1"/>
  <c r="G36" i="6"/>
  <c r="A36" i="6" s="1"/>
  <c r="G24" i="6"/>
  <c r="A24" i="6" s="1"/>
  <c r="A21" i="9"/>
  <c r="B23" i="9"/>
  <c r="B22" i="9"/>
  <c r="D28" i="9" s="1"/>
  <c r="A20" i="9" l="1"/>
  <c r="A19" i="9"/>
  <c r="C28" i="9" s="1"/>
  <c r="E28" i="9" s="1"/>
  <c r="A18" i="9"/>
  <c r="D10" i="8"/>
  <c r="D8" i="8"/>
  <c r="E27" i="8" s="1"/>
  <c r="D7" i="8"/>
  <c r="B27" i="9" l="1"/>
  <c r="A38" i="9"/>
  <c r="B18" i="9" s="1"/>
  <c r="B25" i="9" s="1"/>
  <c r="A39" i="9"/>
  <c r="D18" i="8"/>
  <c r="D27" i="9"/>
  <c r="C27" i="9"/>
  <c r="H18" i="4"/>
  <c r="B26" i="9" l="1"/>
  <c r="D15" i="8" s="1"/>
  <c r="D16" i="8" s="1"/>
  <c r="F16" i="8" s="1"/>
  <c r="I7" i="8"/>
  <c r="E27" i="9"/>
  <c r="D17" i="8" s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S56" i="2"/>
  <c r="S57" i="2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M68" i="2"/>
  <c r="M69" i="2"/>
  <c r="M70" i="2" s="1"/>
  <c r="D19" i="8" l="1"/>
  <c r="H28" i="8" s="1"/>
  <c r="M63" i="2"/>
  <c r="M64" i="2"/>
  <c r="M65" i="2" s="1"/>
  <c r="M66" i="2" s="1"/>
  <c r="M67" i="2" s="1"/>
  <c r="F28" i="8" l="1"/>
  <c r="G28" i="8" s="1"/>
  <c r="E28" i="8" s="1"/>
  <c r="AF22" i="3"/>
  <c r="AI22" i="3"/>
  <c r="AK22" i="3"/>
  <c r="AF23" i="3"/>
  <c r="AI23" i="3"/>
  <c r="AK23" i="3"/>
  <c r="AF24" i="3"/>
  <c r="AI24" i="3"/>
  <c r="AK24" i="3"/>
  <c r="AF25" i="3"/>
  <c r="AI25" i="3"/>
  <c r="AK25" i="3"/>
  <c r="AF26" i="3"/>
  <c r="AI26" i="3"/>
  <c r="AK26" i="3"/>
  <c r="AF27" i="3"/>
  <c r="AI27" i="3"/>
  <c r="AK27" i="3"/>
  <c r="AF28" i="3"/>
  <c r="AI28" i="3"/>
  <c r="AK28" i="3"/>
  <c r="AF29" i="3"/>
  <c r="AI29" i="3"/>
  <c r="AK29" i="3"/>
  <c r="AF30" i="3"/>
  <c r="AI30" i="3"/>
  <c r="AK30" i="3"/>
  <c r="AF31" i="3"/>
  <c r="AI31" i="3"/>
  <c r="AK31" i="3"/>
  <c r="AF32" i="3"/>
  <c r="AI32" i="3"/>
  <c r="AK32" i="3"/>
  <c r="AF33" i="3"/>
  <c r="AI33" i="3"/>
  <c r="AK33" i="3"/>
  <c r="AF34" i="3"/>
  <c r="AI34" i="3"/>
  <c r="AK34" i="3"/>
  <c r="AF35" i="3"/>
  <c r="AI35" i="3"/>
  <c r="AK35" i="3"/>
  <c r="AF36" i="3"/>
  <c r="AI36" i="3"/>
  <c r="AK36" i="3"/>
  <c r="AF37" i="3"/>
  <c r="AI37" i="3"/>
  <c r="AK37" i="3"/>
  <c r="AF38" i="3"/>
  <c r="AI38" i="3"/>
  <c r="AK38" i="3"/>
  <c r="AF39" i="3"/>
  <c r="AI39" i="3"/>
  <c r="AK39" i="3"/>
  <c r="AF40" i="3"/>
  <c r="AI40" i="3"/>
  <c r="AK40" i="3"/>
  <c r="AF41" i="3"/>
  <c r="AI41" i="3"/>
  <c r="AK41" i="3"/>
  <c r="AF42" i="3"/>
  <c r="AI42" i="3"/>
  <c r="AK42" i="3"/>
  <c r="AF43" i="3"/>
  <c r="AI43" i="3"/>
  <c r="AK43" i="3"/>
  <c r="AF44" i="3"/>
  <c r="AI44" i="3"/>
  <c r="AK44" i="3"/>
  <c r="AF45" i="3"/>
  <c r="AI45" i="3"/>
  <c r="AK45" i="3"/>
  <c r="AF46" i="3"/>
  <c r="AI46" i="3"/>
  <c r="AK46" i="3"/>
  <c r="AF47" i="3"/>
  <c r="AI47" i="3"/>
  <c r="AK47" i="3"/>
  <c r="AF48" i="3"/>
  <c r="AI48" i="3"/>
  <c r="AK48" i="3"/>
  <c r="AF49" i="3"/>
  <c r="AI49" i="3"/>
  <c r="AK49" i="3"/>
  <c r="AF50" i="3"/>
  <c r="AI50" i="3"/>
  <c r="AK50" i="3"/>
  <c r="AF51" i="3"/>
  <c r="AI51" i="3"/>
  <c r="AK51" i="3"/>
  <c r="AF52" i="3"/>
  <c r="AI52" i="3"/>
  <c r="AK52" i="3"/>
  <c r="AF53" i="3"/>
  <c r="AI53" i="3"/>
  <c r="AK53" i="3"/>
  <c r="AF54" i="3"/>
  <c r="AI54" i="3"/>
  <c r="AK54" i="3"/>
  <c r="AF55" i="3"/>
  <c r="AI55" i="3"/>
  <c r="AK55" i="3"/>
  <c r="AF56" i="3"/>
  <c r="AI56" i="3"/>
  <c r="AK56" i="3"/>
  <c r="AF57" i="3"/>
  <c r="AI57" i="3"/>
  <c r="AK57" i="3"/>
  <c r="AF58" i="3"/>
  <c r="AI58" i="3"/>
  <c r="AK58" i="3"/>
  <c r="AF59" i="3"/>
  <c r="AI59" i="3"/>
  <c r="AK59" i="3"/>
  <c r="AF60" i="3"/>
  <c r="AI60" i="3"/>
  <c r="AK60" i="3"/>
  <c r="AI61" i="3"/>
  <c r="AK61" i="3"/>
  <c r="AI62" i="3"/>
  <c r="AK62" i="3"/>
  <c r="AI63" i="3"/>
  <c r="AK63" i="3"/>
  <c r="AI64" i="3"/>
  <c r="AK64" i="3"/>
  <c r="AI65" i="3"/>
  <c r="AK65" i="3"/>
  <c r="AI66" i="3"/>
  <c r="AK66" i="3"/>
  <c r="AI67" i="3"/>
  <c r="AK67" i="3"/>
  <c r="AI68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F101" i="3"/>
  <c r="AK101" i="3"/>
  <c r="AF102" i="3"/>
  <c r="AK102" i="3"/>
  <c r="AF103" i="3"/>
  <c r="AK103" i="3"/>
  <c r="AF104" i="3"/>
  <c r="AK104" i="3"/>
  <c r="AF105" i="3"/>
  <c r="AK105" i="3"/>
  <c r="AF106" i="3"/>
  <c r="AI106" i="3"/>
  <c r="AK106" i="3"/>
  <c r="AF107" i="3"/>
  <c r="AK107" i="3"/>
  <c r="AF108" i="3"/>
  <c r="AK108" i="3"/>
  <c r="AF109" i="3"/>
  <c r="AK109" i="3"/>
  <c r="AF110" i="3"/>
  <c r="AI110" i="3"/>
  <c r="AK110" i="3"/>
  <c r="AF111" i="3"/>
  <c r="AK111" i="3"/>
  <c r="AF112" i="3"/>
  <c r="AK112" i="3"/>
  <c r="AF113" i="3"/>
  <c r="AK113" i="3"/>
  <c r="Y22" i="3"/>
  <c r="Z22" i="3"/>
  <c r="AB22" i="3"/>
  <c r="AD22" i="3"/>
  <c r="Y23" i="3"/>
  <c r="Z23" i="3"/>
  <c r="AB23" i="3"/>
  <c r="AD23" i="3"/>
  <c r="Y24" i="3"/>
  <c r="Z24" i="3"/>
  <c r="AB24" i="3"/>
  <c r="AD24" i="3"/>
  <c r="Y25" i="3"/>
  <c r="Z25" i="3"/>
  <c r="AB25" i="3"/>
  <c r="AD25" i="3"/>
  <c r="Y26" i="3"/>
  <c r="Z26" i="3"/>
  <c r="AB26" i="3"/>
  <c r="AD26" i="3"/>
  <c r="Y27" i="3"/>
  <c r="Z27" i="3"/>
  <c r="AB27" i="3"/>
  <c r="AD27" i="3"/>
  <c r="Y28" i="3"/>
  <c r="Z28" i="3"/>
  <c r="AB28" i="3"/>
  <c r="AD28" i="3"/>
  <c r="Y29" i="3"/>
  <c r="Z29" i="3"/>
  <c r="AB29" i="3"/>
  <c r="AD29" i="3"/>
  <c r="Y30" i="3"/>
  <c r="Z30" i="3"/>
  <c r="AB30" i="3"/>
  <c r="AD30" i="3"/>
  <c r="Y31" i="3"/>
  <c r="Z31" i="3"/>
  <c r="AB31" i="3"/>
  <c r="AD31" i="3"/>
  <c r="Y32" i="3"/>
  <c r="Z32" i="3"/>
  <c r="AB32" i="3"/>
  <c r="AD32" i="3"/>
  <c r="Y33" i="3"/>
  <c r="Z33" i="3"/>
  <c r="AB33" i="3"/>
  <c r="AD33" i="3"/>
  <c r="Y34" i="3"/>
  <c r="Z34" i="3"/>
  <c r="AB34" i="3"/>
  <c r="AD34" i="3"/>
  <c r="Y35" i="3"/>
  <c r="Z35" i="3"/>
  <c r="AB35" i="3"/>
  <c r="AD35" i="3"/>
  <c r="Y36" i="3"/>
  <c r="Z36" i="3"/>
  <c r="AB36" i="3"/>
  <c r="AD36" i="3"/>
  <c r="Y37" i="3"/>
  <c r="Z37" i="3"/>
  <c r="AB37" i="3"/>
  <c r="AD37" i="3"/>
  <c r="Y38" i="3"/>
  <c r="Z38" i="3"/>
  <c r="AB38" i="3"/>
  <c r="AD38" i="3"/>
  <c r="Y39" i="3"/>
  <c r="Z39" i="3"/>
  <c r="AB39" i="3"/>
  <c r="AD39" i="3"/>
  <c r="Y40" i="3"/>
  <c r="Z40" i="3"/>
  <c r="AB40" i="3"/>
  <c r="AD40" i="3"/>
  <c r="Y41" i="3"/>
  <c r="Z41" i="3"/>
  <c r="AB41" i="3"/>
  <c r="AD41" i="3"/>
  <c r="Y42" i="3"/>
  <c r="Z42" i="3"/>
  <c r="AB42" i="3"/>
  <c r="AD42" i="3"/>
  <c r="Y43" i="3"/>
  <c r="Z43" i="3"/>
  <c r="AB43" i="3"/>
  <c r="AD43" i="3"/>
  <c r="Y44" i="3"/>
  <c r="Z44" i="3"/>
  <c r="AB44" i="3"/>
  <c r="AD44" i="3"/>
  <c r="Y45" i="3"/>
  <c r="Z45" i="3"/>
  <c r="AB45" i="3"/>
  <c r="AD45" i="3"/>
  <c r="Y46" i="3"/>
  <c r="Z46" i="3"/>
  <c r="AB46" i="3"/>
  <c r="AD46" i="3"/>
  <c r="Y47" i="3"/>
  <c r="Z47" i="3"/>
  <c r="AB47" i="3"/>
  <c r="AD47" i="3"/>
  <c r="Y48" i="3"/>
  <c r="Z48" i="3"/>
  <c r="AB48" i="3"/>
  <c r="AD48" i="3"/>
  <c r="Y49" i="3"/>
  <c r="Z49" i="3"/>
  <c r="AB49" i="3"/>
  <c r="AD49" i="3"/>
  <c r="Y50" i="3"/>
  <c r="Z50" i="3"/>
  <c r="AB50" i="3"/>
  <c r="AD50" i="3"/>
  <c r="Y51" i="3"/>
  <c r="Z51" i="3"/>
  <c r="AB51" i="3"/>
  <c r="AD51" i="3"/>
  <c r="Y52" i="3"/>
  <c r="Z52" i="3"/>
  <c r="AB52" i="3"/>
  <c r="AD52" i="3"/>
  <c r="Y53" i="3"/>
  <c r="Z53" i="3"/>
  <c r="AB53" i="3"/>
  <c r="AD53" i="3"/>
  <c r="Y54" i="3"/>
  <c r="Z54" i="3"/>
  <c r="AB54" i="3"/>
  <c r="AD54" i="3"/>
  <c r="Y55" i="3"/>
  <c r="Z55" i="3"/>
  <c r="AB55" i="3"/>
  <c r="AD55" i="3"/>
  <c r="Y56" i="3"/>
  <c r="Z56" i="3"/>
  <c r="AB56" i="3"/>
  <c r="AD56" i="3"/>
  <c r="Y57" i="3"/>
  <c r="Z57" i="3"/>
  <c r="AB57" i="3"/>
  <c r="AD57" i="3"/>
  <c r="Y58" i="3"/>
  <c r="Z58" i="3"/>
  <c r="AB58" i="3"/>
  <c r="AD58" i="3"/>
  <c r="Y59" i="3"/>
  <c r="Z59" i="3"/>
  <c r="AB59" i="3"/>
  <c r="AD59" i="3"/>
  <c r="Y60" i="3"/>
  <c r="Z60" i="3"/>
  <c r="AB60" i="3"/>
  <c r="AD60" i="3"/>
  <c r="AB61" i="3"/>
  <c r="AD61" i="3"/>
  <c r="AB62" i="3"/>
  <c r="AD62" i="3"/>
  <c r="AB63" i="3"/>
  <c r="AD63" i="3"/>
  <c r="AB64" i="3"/>
  <c r="AD64" i="3"/>
  <c r="AB65" i="3"/>
  <c r="AD65" i="3"/>
  <c r="AB66" i="3"/>
  <c r="AD66" i="3"/>
  <c r="AB67" i="3"/>
  <c r="AD67" i="3"/>
  <c r="AB68" i="3"/>
  <c r="AD68" i="3"/>
  <c r="AD69" i="3"/>
  <c r="AB70" i="3"/>
  <c r="AD70" i="3"/>
  <c r="AD71" i="3"/>
  <c r="AD72" i="3"/>
  <c r="AD73" i="3"/>
  <c r="AB74" i="3"/>
  <c r="AD74" i="3"/>
  <c r="AD75" i="3"/>
  <c r="AD76" i="3"/>
  <c r="AD77" i="3"/>
  <c r="AB78" i="3"/>
  <c r="AD78" i="3"/>
  <c r="AD79" i="3"/>
  <c r="AD80" i="3"/>
  <c r="AD81" i="3"/>
  <c r="AB82" i="3"/>
  <c r="AD82" i="3"/>
  <c r="AD83" i="3"/>
  <c r="AD84" i="3"/>
  <c r="AD85" i="3"/>
  <c r="AB86" i="3"/>
  <c r="AD86" i="3"/>
  <c r="AD87" i="3"/>
  <c r="AD88" i="3"/>
  <c r="AD89" i="3"/>
  <c r="AB90" i="3"/>
  <c r="AD90" i="3"/>
  <c r="AD91" i="3"/>
  <c r="AD92" i="3"/>
  <c r="AD93" i="3"/>
  <c r="AD94" i="3"/>
  <c r="AD95" i="3"/>
  <c r="AD96" i="3"/>
  <c r="AD97" i="3"/>
  <c r="AD98" i="3"/>
  <c r="AD99" i="3"/>
  <c r="AD100" i="3"/>
  <c r="Y101" i="3"/>
  <c r="Z101" i="3"/>
  <c r="AD101" i="3"/>
  <c r="Y102" i="3"/>
  <c r="Z102" i="3"/>
  <c r="AD102" i="3"/>
  <c r="Y103" i="3"/>
  <c r="Z103" i="3"/>
  <c r="AD103" i="3"/>
  <c r="Y104" i="3"/>
  <c r="Z104" i="3"/>
  <c r="AC104" i="3"/>
  <c r="AD104" i="3"/>
  <c r="Y105" i="3"/>
  <c r="Z105" i="3"/>
  <c r="AB105" i="3"/>
  <c r="AD105" i="3"/>
  <c r="Y106" i="3"/>
  <c r="Z106" i="3"/>
  <c r="AD106" i="3"/>
  <c r="Y107" i="3"/>
  <c r="Z107" i="3"/>
  <c r="AD107" i="3"/>
  <c r="Y108" i="3"/>
  <c r="Z108" i="3"/>
  <c r="AD108" i="3"/>
  <c r="Y109" i="3"/>
  <c r="Z109" i="3"/>
  <c r="AD109" i="3"/>
  <c r="Y110" i="3"/>
  <c r="Z110" i="3"/>
  <c r="AD110" i="3"/>
  <c r="Y111" i="3"/>
  <c r="Z111" i="3"/>
  <c r="AD111" i="3"/>
  <c r="Y112" i="3"/>
  <c r="Z112" i="3"/>
  <c r="AD112" i="3"/>
  <c r="Y113" i="3"/>
  <c r="Z113" i="3"/>
  <c r="AD113" i="3"/>
  <c r="R22" i="3"/>
  <c r="S22" i="3"/>
  <c r="U22" i="3"/>
  <c r="W22" i="3"/>
  <c r="R23" i="3"/>
  <c r="S23" i="3"/>
  <c r="U23" i="3"/>
  <c r="W23" i="3"/>
  <c r="R24" i="3"/>
  <c r="S24" i="3"/>
  <c r="U24" i="3"/>
  <c r="W24" i="3"/>
  <c r="R25" i="3"/>
  <c r="S25" i="3"/>
  <c r="U25" i="3"/>
  <c r="W25" i="3"/>
  <c r="R26" i="3"/>
  <c r="S26" i="3"/>
  <c r="U26" i="3"/>
  <c r="W26" i="3"/>
  <c r="R27" i="3"/>
  <c r="S27" i="3"/>
  <c r="U27" i="3"/>
  <c r="W27" i="3"/>
  <c r="R28" i="3"/>
  <c r="S28" i="3"/>
  <c r="U28" i="3"/>
  <c r="W28" i="3"/>
  <c r="R29" i="3"/>
  <c r="S29" i="3"/>
  <c r="U29" i="3"/>
  <c r="W29" i="3"/>
  <c r="R30" i="3"/>
  <c r="S30" i="3"/>
  <c r="U30" i="3"/>
  <c r="W30" i="3"/>
  <c r="R31" i="3"/>
  <c r="S31" i="3"/>
  <c r="U31" i="3"/>
  <c r="W31" i="3"/>
  <c r="R32" i="3"/>
  <c r="S32" i="3"/>
  <c r="U32" i="3"/>
  <c r="W32" i="3"/>
  <c r="R33" i="3"/>
  <c r="S33" i="3"/>
  <c r="U33" i="3"/>
  <c r="W33" i="3"/>
  <c r="R34" i="3"/>
  <c r="S34" i="3"/>
  <c r="U34" i="3"/>
  <c r="W34" i="3"/>
  <c r="R35" i="3"/>
  <c r="S35" i="3"/>
  <c r="U35" i="3"/>
  <c r="W35" i="3"/>
  <c r="R36" i="3"/>
  <c r="S36" i="3"/>
  <c r="U36" i="3"/>
  <c r="W36" i="3"/>
  <c r="R37" i="3"/>
  <c r="S37" i="3"/>
  <c r="U37" i="3"/>
  <c r="W37" i="3"/>
  <c r="R38" i="3"/>
  <c r="S38" i="3"/>
  <c r="U38" i="3"/>
  <c r="W38" i="3"/>
  <c r="R39" i="3"/>
  <c r="S39" i="3"/>
  <c r="U39" i="3"/>
  <c r="W39" i="3"/>
  <c r="R40" i="3"/>
  <c r="S40" i="3"/>
  <c r="U40" i="3"/>
  <c r="W40" i="3"/>
  <c r="R41" i="3"/>
  <c r="S41" i="3"/>
  <c r="U41" i="3"/>
  <c r="W41" i="3"/>
  <c r="R42" i="3"/>
  <c r="S42" i="3"/>
  <c r="U42" i="3"/>
  <c r="W42" i="3"/>
  <c r="R43" i="3"/>
  <c r="S43" i="3"/>
  <c r="U43" i="3"/>
  <c r="W43" i="3"/>
  <c r="R44" i="3"/>
  <c r="S44" i="3"/>
  <c r="U44" i="3"/>
  <c r="W44" i="3"/>
  <c r="R45" i="3"/>
  <c r="S45" i="3"/>
  <c r="U45" i="3"/>
  <c r="W45" i="3"/>
  <c r="R46" i="3"/>
  <c r="S46" i="3"/>
  <c r="U46" i="3"/>
  <c r="W46" i="3"/>
  <c r="R47" i="3"/>
  <c r="S47" i="3"/>
  <c r="U47" i="3"/>
  <c r="W47" i="3"/>
  <c r="R48" i="3"/>
  <c r="S48" i="3"/>
  <c r="U48" i="3"/>
  <c r="W48" i="3"/>
  <c r="R49" i="3"/>
  <c r="S49" i="3"/>
  <c r="U49" i="3"/>
  <c r="W49" i="3"/>
  <c r="R50" i="3"/>
  <c r="S50" i="3"/>
  <c r="U50" i="3"/>
  <c r="W50" i="3"/>
  <c r="R51" i="3"/>
  <c r="S51" i="3"/>
  <c r="U51" i="3"/>
  <c r="W51" i="3"/>
  <c r="R52" i="3"/>
  <c r="S52" i="3"/>
  <c r="U52" i="3"/>
  <c r="W52" i="3"/>
  <c r="R53" i="3"/>
  <c r="S53" i="3"/>
  <c r="U53" i="3"/>
  <c r="W53" i="3"/>
  <c r="R54" i="3"/>
  <c r="S54" i="3"/>
  <c r="U54" i="3"/>
  <c r="W54" i="3"/>
  <c r="R55" i="3"/>
  <c r="S55" i="3"/>
  <c r="U55" i="3"/>
  <c r="W55" i="3"/>
  <c r="R56" i="3"/>
  <c r="S56" i="3"/>
  <c r="U56" i="3"/>
  <c r="W56" i="3"/>
  <c r="R57" i="3"/>
  <c r="S57" i="3"/>
  <c r="U57" i="3"/>
  <c r="W57" i="3"/>
  <c r="R58" i="3"/>
  <c r="S58" i="3"/>
  <c r="U58" i="3"/>
  <c r="W58" i="3"/>
  <c r="R59" i="3"/>
  <c r="S59" i="3"/>
  <c r="U59" i="3"/>
  <c r="W59" i="3"/>
  <c r="R60" i="3"/>
  <c r="S60" i="3"/>
  <c r="U60" i="3"/>
  <c r="W60" i="3"/>
  <c r="U61" i="3"/>
  <c r="W61" i="3"/>
  <c r="U62" i="3"/>
  <c r="W62" i="3"/>
  <c r="U63" i="3"/>
  <c r="W63" i="3"/>
  <c r="U64" i="3"/>
  <c r="W64" i="3"/>
  <c r="U65" i="3"/>
  <c r="W65" i="3"/>
  <c r="U66" i="3"/>
  <c r="W66" i="3"/>
  <c r="U67" i="3"/>
  <c r="W67" i="3"/>
  <c r="U68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R101" i="3"/>
  <c r="S101" i="3"/>
  <c r="W101" i="3"/>
  <c r="R102" i="3"/>
  <c r="S102" i="3"/>
  <c r="W102" i="3"/>
  <c r="R103" i="3"/>
  <c r="S103" i="3"/>
  <c r="W103" i="3"/>
  <c r="R104" i="3"/>
  <c r="S104" i="3"/>
  <c r="W104" i="3"/>
  <c r="R105" i="3"/>
  <c r="S105" i="3"/>
  <c r="W105" i="3"/>
  <c r="R106" i="3"/>
  <c r="S106" i="3"/>
  <c r="V106" i="3"/>
  <c r="W106" i="3"/>
  <c r="R107" i="3"/>
  <c r="S107" i="3"/>
  <c r="V107" i="3"/>
  <c r="W107" i="3"/>
  <c r="R108" i="3"/>
  <c r="S108" i="3"/>
  <c r="W108" i="3"/>
  <c r="R109" i="3"/>
  <c r="S109" i="3"/>
  <c r="W109" i="3"/>
  <c r="R110" i="3"/>
  <c r="S110" i="3"/>
  <c r="W110" i="3"/>
  <c r="R111" i="3"/>
  <c r="S111" i="3"/>
  <c r="W111" i="3"/>
  <c r="R112" i="3"/>
  <c r="S112" i="3"/>
  <c r="W112" i="3"/>
  <c r="R113" i="3"/>
  <c r="S113" i="3"/>
  <c r="W113" i="3"/>
  <c r="AK21" i="3"/>
  <c r="AI21" i="3"/>
  <c r="AF21" i="3"/>
  <c r="AD21" i="3"/>
  <c r="AB21" i="3"/>
  <c r="Z21" i="3"/>
  <c r="Y21" i="3"/>
  <c r="W21" i="3"/>
  <c r="U21" i="3"/>
  <c r="S21" i="3"/>
  <c r="R21" i="3"/>
  <c r="K22" i="3"/>
  <c r="L22" i="3"/>
  <c r="AG22" i="3" s="1"/>
  <c r="N22" i="3"/>
  <c r="P22" i="3"/>
  <c r="K23" i="3"/>
  <c r="L23" i="3"/>
  <c r="AG23" i="3" s="1"/>
  <c r="N23" i="3"/>
  <c r="P23" i="3"/>
  <c r="K24" i="3"/>
  <c r="L24" i="3"/>
  <c r="AG24" i="3" s="1"/>
  <c r="N24" i="3"/>
  <c r="P24" i="3"/>
  <c r="K25" i="3"/>
  <c r="L25" i="3"/>
  <c r="AG25" i="3" s="1"/>
  <c r="N25" i="3"/>
  <c r="P25" i="3"/>
  <c r="K26" i="3"/>
  <c r="L26" i="3"/>
  <c r="AG26" i="3" s="1"/>
  <c r="N26" i="3"/>
  <c r="P26" i="3"/>
  <c r="K27" i="3"/>
  <c r="L27" i="3"/>
  <c r="AG27" i="3" s="1"/>
  <c r="N27" i="3"/>
  <c r="P27" i="3"/>
  <c r="K28" i="3"/>
  <c r="L28" i="3"/>
  <c r="AG28" i="3" s="1"/>
  <c r="N28" i="3"/>
  <c r="P28" i="3"/>
  <c r="K29" i="3"/>
  <c r="L29" i="3"/>
  <c r="AG29" i="3" s="1"/>
  <c r="N29" i="3"/>
  <c r="P29" i="3"/>
  <c r="K30" i="3"/>
  <c r="L30" i="3"/>
  <c r="AG30" i="3" s="1"/>
  <c r="N30" i="3"/>
  <c r="P30" i="3"/>
  <c r="K31" i="3"/>
  <c r="L31" i="3"/>
  <c r="AG31" i="3" s="1"/>
  <c r="N31" i="3"/>
  <c r="P31" i="3"/>
  <c r="K32" i="3"/>
  <c r="L32" i="3"/>
  <c r="AG32" i="3" s="1"/>
  <c r="N32" i="3"/>
  <c r="P32" i="3"/>
  <c r="K33" i="3"/>
  <c r="L33" i="3"/>
  <c r="AG33" i="3" s="1"/>
  <c r="N33" i="3"/>
  <c r="P33" i="3"/>
  <c r="K34" i="3"/>
  <c r="L34" i="3"/>
  <c r="AG34" i="3" s="1"/>
  <c r="N34" i="3"/>
  <c r="P34" i="3"/>
  <c r="K35" i="3"/>
  <c r="L35" i="3"/>
  <c r="AG35" i="3" s="1"/>
  <c r="N35" i="3"/>
  <c r="P35" i="3"/>
  <c r="K36" i="3"/>
  <c r="L36" i="3"/>
  <c r="AG36" i="3" s="1"/>
  <c r="N36" i="3"/>
  <c r="P36" i="3"/>
  <c r="K37" i="3"/>
  <c r="L37" i="3"/>
  <c r="AG37" i="3" s="1"/>
  <c r="N37" i="3"/>
  <c r="P37" i="3"/>
  <c r="K38" i="3"/>
  <c r="L38" i="3"/>
  <c r="AG38" i="3" s="1"/>
  <c r="N38" i="3"/>
  <c r="P38" i="3"/>
  <c r="K39" i="3"/>
  <c r="L39" i="3"/>
  <c r="AG39" i="3" s="1"/>
  <c r="N39" i="3"/>
  <c r="P39" i="3"/>
  <c r="K40" i="3"/>
  <c r="L40" i="3"/>
  <c r="AG40" i="3" s="1"/>
  <c r="N40" i="3"/>
  <c r="P40" i="3"/>
  <c r="K41" i="3"/>
  <c r="L41" i="3"/>
  <c r="AG41" i="3" s="1"/>
  <c r="N41" i="3"/>
  <c r="P41" i="3"/>
  <c r="K42" i="3"/>
  <c r="L42" i="3"/>
  <c r="AG42" i="3" s="1"/>
  <c r="N42" i="3"/>
  <c r="P42" i="3"/>
  <c r="K43" i="3"/>
  <c r="L43" i="3"/>
  <c r="AG43" i="3" s="1"/>
  <c r="N43" i="3"/>
  <c r="P43" i="3"/>
  <c r="K44" i="3"/>
  <c r="L44" i="3"/>
  <c r="AG44" i="3" s="1"/>
  <c r="N44" i="3"/>
  <c r="P44" i="3"/>
  <c r="K45" i="3"/>
  <c r="L45" i="3"/>
  <c r="AG45" i="3" s="1"/>
  <c r="N45" i="3"/>
  <c r="P45" i="3"/>
  <c r="K46" i="3"/>
  <c r="L46" i="3"/>
  <c r="AG46" i="3" s="1"/>
  <c r="N46" i="3"/>
  <c r="P46" i="3"/>
  <c r="K47" i="3"/>
  <c r="L47" i="3"/>
  <c r="AG47" i="3" s="1"/>
  <c r="N47" i="3"/>
  <c r="P47" i="3"/>
  <c r="K48" i="3"/>
  <c r="L48" i="3"/>
  <c r="AG48" i="3" s="1"/>
  <c r="N48" i="3"/>
  <c r="P48" i="3"/>
  <c r="K49" i="3"/>
  <c r="L49" i="3"/>
  <c r="AG49" i="3" s="1"/>
  <c r="N49" i="3"/>
  <c r="P49" i="3"/>
  <c r="K50" i="3"/>
  <c r="L50" i="3"/>
  <c r="AG50" i="3" s="1"/>
  <c r="N50" i="3"/>
  <c r="P50" i="3"/>
  <c r="K51" i="3"/>
  <c r="L51" i="3"/>
  <c r="AG51" i="3" s="1"/>
  <c r="N51" i="3"/>
  <c r="P51" i="3"/>
  <c r="K52" i="3"/>
  <c r="L52" i="3"/>
  <c r="AG52" i="3" s="1"/>
  <c r="N52" i="3"/>
  <c r="P52" i="3"/>
  <c r="K53" i="3"/>
  <c r="L53" i="3"/>
  <c r="AG53" i="3" s="1"/>
  <c r="N53" i="3"/>
  <c r="P53" i="3"/>
  <c r="K54" i="3"/>
  <c r="L54" i="3"/>
  <c r="AG54" i="3" s="1"/>
  <c r="N54" i="3"/>
  <c r="P54" i="3"/>
  <c r="K55" i="3"/>
  <c r="L55" i="3"/>
  <c r="AG55" i="3" s="1"/>
  <c r="N55" i="3"/>
  <c r="P55" i="3"/>
  <c r="K56" i="3"/>
  <c r="L56" i="3"/>
  <c r="AG56" i="3" s="1"/>
  <c r="N56" i="3"/>
  <c r="P56" i="3"/>
  <c r="K57" i="3"/>
  <c r="L57" i="3"/>
  <c r="AG57" i="3" s="1"/>
  <c r="N57" i="3"/>
  <c r="P57" i="3"/>
  <c r="K58" i="3"/>
  <c r="L58" i="3"/>
  <c r="AG58" i="3" s="1"/>
  <c r="N58" i="3"/>
  <c r="P58" i="3"/>
  <c r="K59" i="3"/>
  <c r="L59" i="3"/>
  <c r="AG59" i="3" s="1"/>
  <c r="N59" i="3"/>
  <c r="P59" i="3"/>
  <c r="K60" i="3"/>
  <c r="L60" i="3"/>
  <c r="AG60" i="3" s="1"/>
  <c r="N60" i="3"/>
  <c r="P60" i="3"/>
  <c r="K61" i="3"/>
  <c r="L61" i="3"/>
  <c r="AG61" i="3" s="1"/>
  <c r="N61" i="3"/>
  <c r="P61" i="3"/>
  <c r="K62" i="3"/>
  <c r="L62" i="3"/>
  <c r="AG62" i="3" s="1"/>
  <c r="N62" i="3"/>
  <c r="P62" i="3"/>
  <c r="K63" i="3"/>
  <c r="L63" i="3"/>
  <c r="AG63" i="3" s="1"/>
  <c r="N63" i="3"/>
  <c r="P63" i="3"/>
  <c r="K64" i="3"/>
  <c r="L64" i="3"/>
  <c r="AG64" i="3" s="1"/>
  <c r="N64" i="3"/>
  <c r="P64" i="3"/>
  <c r="K65" i="3"/>
  <c r="L65" i="3"/>
  <c r="AG65" i="3" s="1"/>
  <c r="N65" i="3"/>
  <c r="P65" i="3"/>
  <c r="K66" i="3"/>
  <c r="L66" i="3"/>
  <c r="AG66" i="3" s="1"/>
  <c r="N66" i="3"/>
  <c r="P66" i="3"/>
  <c r="K67" i="3"/>
  <c r="L67" i="3"/>
  <c r="AG67" i="3" s="1"/>
  <c r="N67" i="3"/>
  <c r="P67" i="3"/>
  <c r="K68" i="3"/>
  <c r="L68" i="3"/>
  <c r="AG68" i="3" s="1"/>
  <c r="N68" i="3"/>
  <c r="P68" i="3"/>
  <c r="K69" i="3"/>
  <c r="L69" i="3"/>
  <c r="AG69" i="3" s="1"/>
  <c r="N69" i="3"/>
  <c r="P69" i="3"/>
  <c r="K70" i="3"/>
  <c r="L70" i="3"/>
  <c r="AG70" i="3" s="1"/>
  <c r="N70" i="3"/>
  <c r="P70" i="3"/>
  <c r="K71" i="3"/>
  <c r="L71" i="3"/>
  <c r="AG71" i="3" s="1"/>
  <c r="N71" i="3"/>
  <c r="P71" i="3"/>
  <c r="K72" i="3"/>
  <c r="L72" i="3"/>
  <c r="AG72" i="3" s="1"/>
  <c r="N72" i="3"/>
  <c r="P72" i="3"/>
  <c r="K73" i="3"/>
  <c r="L73" i="3"/>
  <c r="AG73" i="3" s="1"/>
  <c r="N73" i="3"/>
  <c r="P73" i="3"/>
  <c r="K74" i="3"/>
  <c r="L74" i="3"/>
  <c r="AG74" i="3" s="1"/>
  <c r="N74" i="3"/>
  <c r="P74" i="3"/>
  <c r="K75" i="3"/>
  <c r="L75" i="3"/>
  <c r="AG75" i="3" s="1"/>
  <c r="N75" i="3"/>
  <c r="P75" i="3"/>
  <c r="K76" i="3"/>
  <c r="L76" i="3"/>
  <c r="AG76" i="3" s="1"/>
  <c r="N76" i="3"/>
  <c r="P76" i="3"/>
  <c r="K77" i="3"/>
  <c r="L77" i="3"/>
  <c r="AG77" i="3" s="1"/>
  <c r="N77" i="3"/>
  <c r="P77" i="3"/>
  <c r="K78" i="3"/>
  <c r="L78" i="3"/>
  <c r="AG78" i="3" s="1"/>
  <c r="N78" i="3"/>
  <c r="P78" i="3"/>
  <c r="K79" i="3"/>
  <c r="L79" i="3"/>
  <c r="AG79" i="3" s="1"/>
  <c r="N79" i="3"/>
  <c r="P79" i="3"/>
  <c r="K80" i="3"/>
  <c r="L80" i="3"/>
  <c r="AG80" i="3" s="1"/>
  <c r="N80" i="3"/>
  <c r="P80" i="3"/>
  <c r="K81" i="3"/>
  <c r="L81" i="3"/>
  <c r="AG81" i="3" s="1"/>
  <c r="N81" i="3"/>
  <c r="P81" i="3"/>
  <c r="K82" i="3"/>
  <c r="L82" i="3"/>
  <c r="AG82" i="3" s="1"/>
  <c r="N82" i="3"/>
  <c r="P82" i="3"/>
  <c r="K83" i="3"/>
  <c r="L83" i="3"/>
  <c r="AG83" i="3" s="1"/>
  <c r="N83" i="3"/>
  <c r="P83" i="3"/>
  <c r="K84" i="3"/>
  <c r="L84" i="3"/>
  <c r="AG84" i="3" s="1"/>
  <c r="N84" i="3"/>
  <c r="O84" i="3"/>
  <c r="P84" i="3"/>
  <c r="K85" i="3"/>
  <c r="L85" i="3"/>
  <c r="AG85" i="3" s="1"/>
  <c r="N85" i="3"/>
  <c r="O85" i="3"/>
  <c r="P85" i="3"/>
  <c r="K86" i="3"/>
  <c r="L86" i="3"/>
  <c r="AG86" i="3" s="1"/>
  <c r="N86" i="3"/>
  <c r="O86" i="3"/>
  <c r="P86" i="3"/>
  <c r="K87" i="3"/>
  <c r="L87" i="3"/>
  <c r="AG87" i="3" s="1"/>
  <c r="N87" i="3"/>
  <c r="O87" i="3"/>
  <c r="P87" i="3"/>
  <c r="K88" i="3"/>
  <c r="L88" i="3"/>
  <c r="AG88" i="3" s="1"/>
  <c r="N88" i="3"/>
  <c r="O88" i="3"/>
  <c r="P88" i="3"/>
  <c r="K89" i="3"/>
  <c r="L89" i="3"/>
  <c r="AG89" i="3" s="1"/>
  <c r="N89" i="3"/>
  <c r="O89" i="3"/>
  <c r="P89" i="3"/>
  <c r="K90" i="3"/>
  <c r="L90" i="3"/>
  <c r="AG90" i="3" s="1"/>
  <c r="N90" i="3"/>
  <c r="O90" i="3"/>
  <c r="P90" i="3"/>
  <c r="K91" i="3"/>
  <c r="L91" i="3"/>
  <c r="AG91" i="3" s="1"/>
  <c r="N91" i="3"/>
  <c r="O91" i="3"/>
  <c r="P91" i="3"/>
  <c r="K92" i="3"/>
  <c r="L92" i="3"/>
  <c r="AG92" i="3" s="1"/>
  <c r="N92" i="3"/>
  <c r="O92" i="3"/>
  <c r="P92" i="3"/>
  <c r="K93" i="3"/>
  <c r="L93" i="3"/>
  <c r="AG93" i="3" s="1"/>
  <c r="N93" i="3"/>
  <c r="O93" i="3"/>
  <c r="P93" i="3"/>
  <c r="K94" i="3"/>
  <c r="L94" i="3"/>
  <c r="AG94" i="3" s="1"/>
  <c r="N94" i="3"/>
  <c r="O94" i="3"/>
  <c r="P94" i="3"/>
  <c r="K95" i="3"/>
  <c r="L95" i="3"/>
  <c r="AG95" i="3" s="1"/>
  <c r="N95" i="3"/>
  <c r="O95" i="3"/>
  <c r="P95" i="3"/>
  <c r="K96" i="3"/>
  <c r="L96" i="3"/>
  <c r="AG96" i="3" s="1"/>
  <c r="N96" i="3"/>
  <c r="O96" i="3"/>
  <c r="P96" i="3"/>
  <c r="K97" i="3"/>
  <c r="L97" i="3"/>
  <c r="AG97" i="3" s="1"/>
  <c r="N97" i="3"/>
  <c r="O97" i="3"/>
  <c r="P97" i="3"/>
  <c r="K98" i="3"/>
  <c r="L98" i="3"/>
  <c r="AG98" i="3" s="1"/>
  <c r="N98" i="3"/>
  <c r="O98" i="3"/>
  <c r="P98" i="3"/>
  <c r="K99" i="3"/>
  <c r="L99" i="3"/>
  <c r="AG99" i="3" s="1"/>
  <c r="N99" i="3"/>
  <c r="O99" i="3"/>
  <c r="P99" i="3"/>
  <c r="K100" i="3"/>
  <c r="L100" i="3"/>
  <c r="AG100" i="3" s="1"/>
  <c r="N100" i="3"/>
  <c r="O100" i="3"/>
  <c r="P100" i="3"/>
  <c r="K101" i="3"/>
  <c r="L101" i="3"/>
  <c r="AG101" i="3" s="1"/>
  <c r="N101" i="3"/>
  <c r="O101" i="3"/>
  <c r="P101" i="3"/>
  <c r="K102" i="3"/>
  <c r="L102" i="3"/>
  <c r="AG102" i="3" s="1"/>
  <c r="N102" i="3"/>
  <c r="O102" i="3"/>
  <c r="P102" i="3"/>
  <c r="K103" i="3"/>
  <c r="L103" i="3"/>
  <c r="AG103" i="3" s="1"/>
  <c r="N103" i="3"/>
  <c r="O103" i="3"/>
  <c r="P103" i="3"/>
  <c r="K104" i="3"/>
  <c r="L104" i="3"/>
  <c r="AG104" i="3" s="1"/>
  <c r="N104" i="3"/>
  <c r="O104" i="3"/>
  <c r="P104" i="3"/>
  <c r="K105" i="3"/>
  <c r="L105" i="3"/>
  <c r="AG105" i="3" s="1"/>
  <c r="N105" i="3"/>
  <c r="O105" i="3"/>
  <c r="P105" i="3"/>
  <c r="K106" i="3"/>
  <c r="L106" i="3"/>
  <c r="AG106" i="3" s="1"/>
  <c r="N106" i="3"/>
  <c r="O106" i="3"/>
  <c r="P106" i="3"/>
  <c r="K107" i="3"/>
  <c r="L107" i="3"/>
  <c r="AG107" i="3" s="1"/>
  <c r="N107" i="3"/>
  <c r="O107" i="3"/>
  <c r="P107" i="3"/>
  <c r="K108" i="3"/>
  <c r="L108" i="3"/>
  <c r="AG108" i="3" s="1"/>
  <c r="N108" i="3"/>
  <c r="O108" i="3"/>
  <c r="P108" i="3"/>
  <c r="K109" i="3"/>
  <c r="L109" i="3"/>
  <c r="AG109" i="3" s="1"/>
  <c r="N109" i="3"/>
  <c r="O109" i="3"/>
  <c r="P109" i="3"/>
  <c r="K110" i="3"/>
  <c r="L110" i="3"/>
  <c r="AG110" i="3" s="1"/>
  <c r="N110" i="3"/>
  <c r="O110" i="3"/>
  <c r="P110" i="3"/>
  <c r="K111" i="3"/>
  <c r="L111" i="3"/>
  <c r="AG111" i="3" s="1"/>
  <c r="N111" i="3"/>
  <c r="O111" i="3"/>
  <c r="P111" i="3"/>
  <c r="K112" i="3"/>
  <c r="L112" i="3"/>
  <c r="AG112" i="3" s="1"/>
  <c r="N112" i="3"/>
  <c r="O112" i="3"/>
  <c r="P112" i="3"/>
  <c r="K113" i="3"/>
  <c r="L113" i="3"/>
  <c r="AG113" i="3" s="1"/>
  <c r="N113" i="3"/>
  <c r="O113" i="3"/>
  <c r="P113" i="3"/>
  <c r="G22" i="3"/>
  <c r="I22" i="3"/>
  <c r="G23" i="3"/>
  <c r="I23" i="3"/>
  <c r="G24" i="3"/>
  <c r="I24" i="3"/>
  <c r="G25" i="3"/>
  <c r="I25" i="3"/>
  <c r="G26" i="3"/>
  <c r="I26" i="3"/>
  <c r="G27" i="3"/>
  <c r="I27" i="3"/>
  <c r="G28" i="3"/>
  <c r="I28" i="3"/>
  <c r="G29" i="3"/>
  <c r="I29" i="3"/>
  <c r="G30" i="3"/>
  <c r="I30" i="3"/>
  <c r="G31" i="3"/>
  <c r="I31" i="3"/>
  <c r="G32" i="3"/>
  <c r="I32" i="3"/>
  <c r="G33" i="3"/>
  <c r="I33" i="3"/>
  <c r="G34" i="3"/>
  <c r="I34" i="3"/>
  <c r="G35" i="3"/>
  <c r="I35" i="3"/>
  <c r="G36" i="3"/>
  <c r="I36" i="3"/>
  <c r="G37" i="3"/>
  <c r="I37" i="3"/>
  <c r="G38" i="3"/>
  <c r="I38" i="3"/>
  <c r="G39" i="3"/>
  <c r="I39" i="3"/>
  <c r="G40" i="3"/>
  <c r="I40" i="3"/>
  <c r="G41" i="3"/>
  <c r="I41" i="3"/>
  <c r="G42" i="3"/>
  <c r="I42" i="3"/>
  <c r="G43" i="3"/>
  <c r="I43" i="3"/>
  <c r="G44" i="3"/>
  <c r="I44" i="3"/>
  <c r="G45" i="3"/>
  <c r="I45" i="3"/>
  <c r="G46" i="3"/>
  <c r="I46" i="3"/>
  <c r="G47" i="3"/>
  <c r="I47" i="3"/>
  <c r="G48" i="3"/>
  <c r="I48" i="3"/>
  <c r="G49" i="3"/>
  <c r="I49" i="3"/>
  <c r="G50" i="3"/>
  <c r="I50" i="3"/>
  <c r="I51" i="3"/>
  <c r="G52" i="3"/>
  <c r="I52" i="3"/>
  <c r="G53" i="3"/>
  <c r="I53" i="3"/>
  <c r="G54" i="3"/>
  <c r="I54" i="3"/>
  <c r="G55" i="3"/>
  <c r="I55" i="3"/>
  <c r="G56" i="3"/>
  <c r="I56" i="3"/>
  <c r="G57" i="3"/>
  <c r="I57" i="3"/>
  <c r="G58" i="3"/>
  <c r="I58" i="3"/>
  <c r="G59" i="3"/>
  <c r="I59" i="3"/>
  <c r="G60" i="3"/>
  <c r="I60" i="3"/>
  <c r="G61" i="3"/>
  <c r="I61" i="3"/>
  <c r="G62" i="3"/>
  <c r="I62" i="3"/>
  <c r="G63" i="3"/>
  <c r="I63" i="3"/>
  <c r="G64" i="3"/>
  <c r="I64" i="3"/>
  <c r="G65" i="3"/>
  <c r="I65" i="3"/>
  <c r="G66" i="3"/>
  <c r="I66" i="3"/>
  <c r="G67" i="3"/>
  <c r="I67" i="3"/>
  <c r="G68" i="3"/>
  <c r="I68" i="3"/>
  <c r="G69" i="3"/>
  <c r="I69" i="3"/>
  <c r="G70" i="3"/>
  <c r="I70" i="3"/>
  <c r="G71" i="3"/>
  <c r="I71" i="3"/>
  <c r="G72" i="3"/>
  <c r="I72" i="3"/>
  <c r="G73" i="3"/>
  <c r="I73" i="3"/>
  <c r="G74" i="3"/>
  <c r="I74" i="3"/>
  <c r="G75" i="3"/>
  <c r="I75" i="3"/>
  <c r="G76" i="3"/>
  <c r="I76" i="3"/>
  <c r="G77" i="3"/>
  <c r="I77" i="3"/>
  <c r="G78" i="3"/>
  <c r="I78" i="3"/>
  <c r="G79" i="3"/>
  <c r="I79" i="3"/>
  <c r="G80" i="3"/>
  <c r="I80" i="3"/>
  <c r="G81" i="3"/>
  <c r="I81" i="3"/>
  <c r="G82" i="3"/>
  <c r="I82" i="3"/>
  <c r="G83" i="3"/>
  <c r="I83" i="3"/>
  <c r="G84" i="3"/>
  <c r="I84" i="3"/>
  <c r="G85" i="3"/>
  <c r="H85" i="3"/>
  <c r="I85" i="3"/>
  <c r="G86" i="3"/>
  <c r="H86" i="3"/>
  <c r="I86" i="3"/>
  <c r="G87" i="3"/>
  <c r="H87" i="3"/>
  <c r="I87" i="3"/>
  <c r="G88" i="3"/>
  <c r="H88" i="3"/>
  <c r="I88" i="3"/>
  <c r="G89" i="3"/>
  <c r="H89" i="3"/>
  <c r="I89" i="3"/>
  <c r="G90" i="3"/>
  <c r="H90" i="3"/>
  <c r="I90" i="3"/>
  <c r="G91" i="3"/>
  <c r="H91" i="3"/>
  <c r="I91" i="3"/>
  <c r="G92" i="3"/>
  <c r="H92" i="3"/>
  <c r="I92" i="3"/>
  <c r="G93" i="3"/>
  <c r="H93" i="3"/>
  <c r="I93" i="3"/>
  <c r="G94" i="3"/>
  <c r="H94" i="3"/>
  <c r="I94" i="3"/>
  <c r="G95" i="3"/>
  <c r="H95" i="3"/>
  <c r="I95" i="3"/>
  <c r="G96" i="3"/>
  <c r="H96" i="3"/>
  <c r="I96" i="3"/>
  <c r="G97" i="3"/>
  <c r="H97" i="3"/>
  <c r="I97" i="3"/>
  <c r="G98" i="3"/>
  <c r="H98" i="3"/>
  <c r="I98" i="3"/>
  <c r="G99" i="3"/>
  <c r="H99" i="3"/>
  <c r="I99" i="3"/>
  <c r="G100" i="3"/>
  <c r="H100" i="3"/>
  <c r="I100" i="3"/>
  <c r="G101" i="3"/>
  <c r="H101" i="3"/>
  <c r="I101" i="3"/>
  <c r="G102" i="3"/>
  <c r="H102" i="3"/>
  <c r="I102" i="3"/>
  <c r="G103" i="3"/>
  <c r="H103" i="3"/>
  <c r="I103" i="3"/>
  <c r="G104" i="3"/>
  <c r="H104" i="3"/>
  <c r="I104" i="3"/>
  <c r="G105" i="3"/>
  <c r="H105" i="3"/>
  <c r="I105" i="3"/>
  <c r="G106" i="3"/>
  <c r="H106" i="3"/>
  <c r="I106" i="3"/>
  <c r="G107" i="3"/>
  <c r="H107" i="3"/>
  <c r="I107" i="3"/>
  <c r="G108" i="3"/>
  <c r="H108" i="3"/>
  <c r="I108" i="3"/>
  <c r="G109" i="3"/>
  <c r="H109" i="3"/>
  <c r="I109" i="3"/>
  <c r="G110" i="3"/>
  <c r="H110" i="3"/>
  <c r="I110" i="3"/>
  <c r="G111" i="3"/>
  <c r="H111" i="3"/>
  <c r="I111" i="3"/>
  <c r="G112" i="3"/>
  <c r="H112" i="3"/>
  <c r="I112" i="3"/>
  <c r="G113" i="3"/>
  <c r="H113" i="3"/>
  <c r="I113" i="3"/>
  <c r="P21" i="3"/>
  <c r="N21" i="3"/>
  <c r="I21" i="3"/>
  <c r="G21" i="3"/>
  <c r="AC102" i="3"/>
  <c r="AC103" i="3"/>
  <c r="V104" i="3"/>
  <c r="V105" i="3"/>
  <c r="AC105" i="3"/>
  <c r="AC106" i="3"/>
  <c r="AC107" i="3"/>
  <c r="V108" i="3"/>
  <c r="AC108" i="3"/>
  <c r="V109" i="3"/>
  <c r="AC109" i="3"/>
  <c r="V110" i="3"/>
  <c r="AC110" i="3"/>
  <c r="AJ110" i="3"/>
  <c r="V111" i="3"/>
  <c r="AC111" i="3"/>
  <c r="AJ111" i="3"/>
  <c r="V112" i="3"/>
  <c r="AC112" i="3"/>
  <c r="AJ112" i="3"/>
  <c r="V113" i="3"/>
  <c r="AC113" i="3"/>
  <c r="AJ113" i="3"/>
  <c r="M52" i="2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U113" i="3"/>
  <c r="AB113" i="3"/>
  <c r="AI113" i="3"/>
  <c r="U109" i="3"/>
  <c r="AB109" i="3"/>
  <c r="AI109" i="3"/>
  <c r="U110" i="3"/>
  <c r="AB110" i="3"/>
  <c r="U111" i="3"/>
  <c r="AB111" i="3"/>
  <c r="AI111" i="3"/>
  <c r="U112" i="3"/>
  <c r="AB112" i="3"/>
  <c r="AI112" i="3"/>
  <c r="U69" i="3"/>
  <c r="AB69" i="3"/>
  <c r="AI69" i="3"/>
  <c r="U70" i="3"/>
  <c r="AI70" i="3"/>
  <c r="U71" i="3"/>
  <c r="AB71" i="3"/>
  <c r="AI71" i="3"/>
  <c r="U72" i="3"/>
  <c r="AB72" i="3"/>
  <c r="AI72" i="3"/>
  <c r="U73" i="3"/>
  <c r="AB73" i="3"/>
  <c r="AI73" i="3"/>
  <c r="U74" i="3"/>
  <c r="AI74" i="3"/>
  <c r="U75" i="3"/>
  <c r="AB75" i="3"/>
  <c r="AI75" i="3"/>
  <c r="U76" i="3"/>
  <c r="AB76" i="3"/>
  <c r="AI76" i="3"/>
  <c r="U77" i="3"/>
  <c r="AB77" i="3"/>
  <c r="AI77" i="3"/>
  <c r="U78" i="3"/>
  <c r="AI78" i="3"/>
  <c r="U79" i="3"/>
  <c r="AB79" i="3"/>
  <c r="AI79" i="3"/>
  <c r="U80" i="3"/>
  <c r="AB80" i="3"/>
  <c r="AI80" i="3"/>
  <c r="U81" i="3"/>
  <c r="AB81" i="3"/>
  <c r="AI81" i="3"/>
  <c r="U82" i="3"/>
  <c r="AI82" i="3"/>
  <c r="U83" i="3"/>
  <c r="AB83" i="3"/>
  <c r="AI83" i="3"/>
  <c r="U84" i="3"/>
  <c r="AB84" i="3"/>
  <c r="AI84" i="3"/>
  <c r="U85" i="3"/>
  <c r="AB85" i="3"/>
  <c r="AI85" i="3"/>
  <c r="U86" i="3"/>
  <c r="AI86" i="3"/>
  <c r="U87" i="3"/>
  <c r="AB87" i="3"/>
  <c r="AI87" i="3"/>
  <c r="U88" i="3"/>
  <c r="AB88" i="3"/>
  <c r="AI88" i="3"/>
  <c r="U89" i="3"/>
  <c r="AB89" i="3"/>
  <c r="AI89" i="3"/>
  <c r="U90" i="3"/>
  <c r="AI90" i="3"/>
  <c r="U91" i="3"/>
  <c r="AB91" i="3"/>
  <c r="AI91" i="3"/>
  <c r="U92" i="3"/>
  <c r="AB92" i="3"/>
  <c r="AI92" i="3"/>
  <c r="U93" i="3"/>
  <c r="AB93" i="3"/>
  <c r="AI93" i="3"/>
  <c r="U94" i="3"/>
  <c r="AB94" i="3"/>
  <c r="AI94" i="3"/>
  <c r="U95" i="3"/>
  <c r="AB95" i="3"/>
  <c r="AI95" i="3"/>
  <c r="U96" i="3"/>
  <c r="AB96" i="3"/>
  <c r="AI96" i="3"/>
  <c r="U97" i="3"/>
  <c r="AB97" i="3"/>
  <c r="AI97" i="3"/>
  <c r="U98" i="3"/>
  <c r="AB98" i="3"/>
  <c r="AI98" i="3"/>
  <c r="U99" i="3"/>
  <c r="AB99" i="3"/>
  <c r="AI99" i="3"/>
  <c r="U100" i="3"/>
  <c r="AB100" i="3"/>
  <c r="AI100" i="3"/>
  <c r="U101" i="3"/>
  <c r="AB101" i="3"/>
  <c r="AI101" i="3"/>
  <c r="U102" i="3"/>
  <c r="AB102" i="3"/>
  <c r="AI102" i="3"/>
  <c r="U103" i="3"/>
  <c r="AB103" i="3"/>
  <c r="AI103" i="3"/>
  <c r="U104" i="3"/>
  <c r="AB104" i="3"/>
  <c r="AI104" i="3"/>
  <c r="U105" i="3"/>
  <c r="AI105" i="3"/>
  <c r="U106" i="3"/>
  <c r="AB106" i="3"/>
  <c r="U107" i="3"/>
  <c r="AB107" i="3"/>
  <c r="AI107" i="3"/>
  <c r="U108" i="3"/>
  <c r="AB108" i="3"/>
  <c r="AI108" i="3"/>
  <c r="S48" i="2"/>
  <c r="S49" i="2"/>
  <c r="S50" i="2" s="1"/>
  <c r="S51" i="2" s="1"/>
  <c r="E2" i="6"/>
  <c r="F2" i="6" s="1"/>
  <c r="F8" i="7" s="1"/>
  <c r="C16" i="6"/>
  <c r="F12" i="6"/>
  <c r="D12" i="6"/>
  <c r="C12" i="6"/>
  <c r="F17" i="6" s="1"/>
  <c r="L3" i="7"/>
  <c r="D14" i="7"/>
  <c r="H13" i="7"/>
  <c r="F29" i="8" l="1"/>
  <c r="H29" i="8"/>
  <c r="B13" i="6"/>
  <c r="B12" i="6"/>
  <c r="E15" i="6" s="1"/>
  <c r="F13" i="7"/>
  <c r="G13" i="7"/>
  <c r="G14" i="7"/>
  <c r="I10" i="6"/>
  <c r="I6" i="6"/>
  <c r="H6" i="6"/>
  <c r="H9" i="6" s="1"/>
  <c r="H10" i="6" s="1"/>
  <c r="F10" i="6"/>
  <c r="C10" i="6"/>
  <c r="C6" i="6"/>
  <c r="G29" i="8" l="1"/>
  <c r="E29" i="8" s="1"/>
  <c r="H30" i="8" s="1"/>
  <c r="G12" i="6"/>
  <c r="D17" i="6"/>
  <c r="D15" i="6" s="1"/>
  <c r="C15" i="6" s="1"/>
  <c r="E12" i="6"/>
  <c r="I13" i="7"/>
  <c r="J13" i="7" s="1"/>
  <c r="E17" i="6"/>
  <c r="L5" i="7" s="1"/>
  <c r="R62" i="3"/>
  <c r="Y62" i="3"/>
  <c r="AF62" i="3"/>
  <c r="R63" i="3"/>
  <c r="Y63" i="3"/>
  <c r="AF63" i="3"/>
  <c r="R64" i="3"/>
  <c r="Y64" i="3"/>
  <c r="AF64" i="3"/>
  <c r="R65" i="3"/>
  <c r="Y65" i="3"/>
  <c r="AF65" i="3"/>
  <c r="R66" i="3"/>
  <c r="Y66" i="3"/>
  <c r="AF66" i="3"/>
  <c r="R67" i="3"/>
  <c r="Y67" i="3"/>
  <c r="AF67" i="3"/>
  <c r="R68" i="3"/>
  <c r="Y68" i="3"/>
  <c r="AF68" i="3"/>
  <c r="R69" i="3"/>
  <c r="Y69" i="3"/>
  <c r="AF69" i="3"/>
  <c r="R70" i="3"/>
  <c r="Y70" i="3"/>
  <c r="AF70" i="3"/>
  <c r="R71" i="3"/>
  <c r="Y71" i="3"/>
  <c r="AF71" i="3"/>
  <c r="R72" i="3"/>
  <c r="Y72" i="3"/>
  <c r="AF72" i="3"/>
  <c r="R73" i="3"/>
  <c r="Y73" i="3"/>
  <c r="AF73" i="3"/>
  <c r="R74" i="3"/>
  <c r="Y74" i="3"/>
  <c r="AF74" i="3"/>
  <c r="R75" i="3"/>
  <c r="Y75" i="3"/>
  <c r="AF75" i="3"/>
  <c r="R76" i="3"/>
  <c r="Y76" i="3"/>
  <c r="AF76" i="3"/>
  <c r="R77" i="3"/>
  <c r="Y77" i="3"/>
  <c r="AF77" i="3"/>
  <c r="R78" i="3"/>
  <c r="Y78" i="3"/>
  <c r="AF78" i="3"/>
  <c r="R79" i="3"/>
  <c r="Y79" i="3"/>
  <c r="AF79" i="3"/>
  <c r="R80" i="3"/>
  <c r="Y80" i="3"/>
  <c r="AF80" i="3"/>
  <c r="R81" i="3"/>
  <c r="Y81" i="3"/>
  <c r="AF81" i="3"/>
  <c r="R82" i="3"/>
  <c r="Y82" i="3"/>
  <c r="AF82" i="3"/>
  <c r="R83" i="3"/>
  <c r="Y83" i="3"/>
  <c r="AF83" i="3"/>
  <c r="R84" i="3"/>
  <c r="Y84" i="3"/>
  <c r="AF84" i="3"/>
  <c r="R85" i="3"/>
  <c r="Y85" i="3"/>
  <c r="AF85" i="3"/>
  <c r="R86" i="3"/>
  <c r="Y86" i="3"/>
  <c r="AF86" i="3"/>
  <c r="R87" i="3"/>
  <c r="Y87" i="3"/>
  <c r="AF87" i="3"/>
  <c r="R88" i="3"/>
  <c r="Y88" i="3"/>
  <c r="AF88" i="3"/>
  <c r="R89" i="3"/>
  <c r="Y89" i="3"/>
  <c r="AF89" i="3"/>
  <c r="R90" i="3"/>
  <c r="Y90" i="3"/>
  <c r="AF90" i="3"/>
  <c r="R91" i="3"/>
  <c r="Y91" i="3"/>
  <c r="AF91" i="3"/>
  <c r="R92" i="3"/>
  <c r="Y92" i="3"/>
  <c r="AF92" i="3"/>
  <c r="R93" i="3"/>
  <c r="Y93" i="3"/>
  <c r="AF93" i="3"/>
  <c r="R94" i="3"/>
  <c r="Y94" i="3"/>
  <c r="AF94" i="3"/>
  <c r="R95" i="3"/>
  <c r="Y95" i="3"/>
  <c r="AF95" i="3"/>
  <c r="R96" i="3"/>
  <c r="Y96" i="3"/>
  <c r="AF96" i="3"/>
  <c r="R97" i="3"/>
  <c r="Y97" i="3"/>
  <c r="AF97" i="3"/>
  <c r="R98" i="3"/>
  <c r="Y98" i="3"/>
  <c r="AF98" i="3"/>
  <c r="R99" i="3"/>
  <c r="Y99" i="3"/>
  <c r="AF99" i="3"/>
  <c r="R100" i="3"/>
  <c r="Y100" i="3"/>
  <c r="AF100" i="3"/>
  <c r="Y61" i="3"/>
  <c r="AF61" i="3"/>
  <c r="R61" i="3"/>
  <c r="S95" i="3"/>
  <c r="Z95" i="3"/>
  <c r="S96" i="3"/>
  <c r="Z96" i="3"/>
  <c r="S97" i="3"/>
  <c r="Z97" i="3"/>
  <c r="S98" i="3"/>
  <c r="Z98" i="3"/>
  <c r="S99" i="3"/>
  <c r="Z99" i="3"/>
  <c r="S100" i="3"/>
  <c r="Z100" i="3"/>
  <c r="S62" i="3"/>
  <c r="Z62" i="3"/>
  <c r="S63" i="3"/>
  <c r="Z63" i="3"/>
  <c r="S64" i="3"/>
  <c r="Z64" i="3"/>
  <c r="S65" i="3"/>
  <c r="Z65" i="3"/>
  <c r="S66" i="3"/>
  <c r="Z66" i="3"/>
  <c r="S67" i="3"/>
  <c r="Z67" i="3"/>
  <c r="S68" i="3"/>
  <c r="Z68" i="3"/>
  <c r="S69" i="3"/>
  <c r="Z69" i="3"/>
  <c r="S70" i="3"/>
  <c r="Z70" i="3"/>
  <c r="S71" i="3"/>
  <c r="Z71" i="3"/>
  <c r="S72" i="3"/>
  <c r="Z72" i="3"/>
  <c r="S73" i="3"/>
  <c r="Z73" i="3"/>
  <c r="S74" i="3"/>
  <c r="Z74" i="3"/>
  <c r="S75" i="3"/>
  <c r="Z75" i="3"/>
  <c r="S76" i="3"/>
  <c r="Z76" i="3"/>
  <c r="S77" i="3"/>
  <c r="Z77" i="3"/>
  <c r="S78" i="3"/>
  <c r="Z78" i="3"/>
  <c r="S79" i="3"/>
  <c r="Z79" i="3"/>
  <c r="S80" i="3"/>
  <c r="Z80" i="3"/>
  <c r="S81" i="3"/>
  <c r="Z81" i="3"/>
  <c r="S82" i="3"/>
  <c r="Z82" i="3"/>
  <c r="S83" i="3"/>
  <c r="Z83" i="3"/>
  <c r="S84" i="3"/>
  <c r="Z84" i="3"/>
  <c r="S85" i="3"/>
  <c r="Z85" i="3"/>
  <c r="S86" i="3"/>
  <c r="Z86" i="3"/>
  <c r="S87" i="3"/>
  <c r="Z87" i="3"/>
  <c r="S88" i="3"/>
  <c r="Z88" i="3"/>
  <c r="S89" i="3"/>
  <c r="Z89" i="3"/>
  <c r="S90" i="3"/>
  <c r="Z90" i="3"/>
  <c r="S91" i="3"/>
  <c r="Z91" i="3"/>
  <c r="S92" i="3"/>
  <c r="Z92" i="3"/>
  <c r="S93" i="3"/>
  <c r="Z93" i="3"/>
  <c r="S94" i="3"/>
  <c r="Z94" i="3"/>
  <c r="Z61" i="3"/>
  <c r="S61" i="3"/>
  <c r="F30" i="8" l="1"/>
  <c r="G30" i="8" s="1"/>
  <c r="E30" i="8" s="1"/>
  <c r="F31" i="8" s="1"/>
  <c r="S9" i="2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52" i="2" s="1"/>
  <c r="S53" i="2" s="1"/>
  <c r="S54" i="2" s="1"/>
  <c r="S55" i="2" s="1"/>
  <c r="M44" i="2"/>
  <c r="M45" i="2" s="1"/>
  <c r="M46" i="2" s="1"/>
  <c r="M47" i="2" s="1"/>
  <c r="M48" i="2" s="1"/>
  <c r="M49" i="2" s="1"/>
  <c r="M50" i="2" s="1"/>
  <c r="M51" i="2" s="1"/>
  <c r="M9" i="2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Q8" i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G8" i="1"/>
  <c r="A8" i="1"/>
  <c r="H31" i="8" l="1"/>
  <c r="G31" i="8" s="1"/>
  <c r="E31" i="8" s="1"/>
  <c r="H32" i="8" s="1"/>
  <c r="L49" i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G9" i="1"/>
  <c r="I8" i="1"/>
  <c r="A9" i="1"/>
  <c r="C8" i="1"/>
  <c r="B17" i="3"/>
  <c r="C5" i="5"/>
  <c r="C7" i="5"/>
  <c r="C8" i="5"/>
  <c r="C9" i="5"/>
  <c r="G10" i="1" l="1"/>
  <c r="I9" i="1"/>
  <c r="A10" i="1"/>
  <c r="C9" i="1"/>
  <c r="F32" i="8"/>
  <c r="G32" i="8" s="1"/>
  <c r="E32" i="8" s="1"/>
  <c r="L21" i="3"/>
  <c r="AG21" i="3" s="1"/>
  <c r="A21" i="3"/>
  <c r="A22" i="3" s="1"/>
  <c r="A23" i="3" s="1"/>
  <c r="A24" i="3" s="1"/>
  <c r="A25" i="3" s="1"/>
  <c r="H17" i="4"/>
  <c r="Q1" i="3"/>
  <c r="Q2" i="3" s="1"/>
  <c r="N1" i="3"/>
  <c r="N2" i="3" s="1"/>
  <c r="K1" i="3"/>
  <c r="K2" i="3" s="1"/>
  <c r="E1" i="3"/>
  <c r="C1" i="3"/>
  <c r="F1" i="3" l="1"/>
  <c r="G1" i="3"/>
  <c r="G11" i="1"/>
  <c r="I10" i="1"/>
  <c r="A11" i="1"/>
  <c r="C10" i="1"/>
  <c r="H33" i="8"/>
  <c r="F33" i="8"/>
  <c r="A26" i="3"/>
  <c r="A13" i="3"/>
  <c r="E21" i="3" s="1"/>
  <c r="A6" i="3"/>
  <c r="A1" i="3"/>
  <c r="C17" i="4"/>
  <c r="G9" i="4" l="1"/>
  <c r="J23" i="3"/>
  <c r="J11" i="3"/>
  <c r="C3" i="3"/>
  <c r="C2" i="3"/>
  <c r="B2" i="3" s="1"/>
  <c r="L7" i="3"/>
  <c r="F17" i="4" s="1"/>
  <c r="I17" i="4" s="1"/>
  <c r="G17" i="4" s="1"/>
  <c r="J17" i="4" s="1"/>
  <c r="K17" i="4" s="1"/>
  <c r="A2" i="3"/>
  <c r="A3" i="3"/>
  <c r="G12" i="1"/>
  <c r="I11" i="1"/>
  <c r="A12" i="1"/>
  <c r="C11" i="1"/>
  <c r="E25" i="3"/>
  <c r="E29" i="3"/>
  <c r="E33" i="3"/>
  <c r="E37" i="3"/>
  <c r="E41" i="3"/>
  <c r="E45" i="3"/>
  <c r="E49" i="3"/>
  <c r="E53" i="3"/>
  <c r="E57" i="3"/>
  <c r="E61" i="3"/>
  <c r="E65" i="3"/>
  <c r="E69" i="3"/>
  <c r="E73" i="3"/>
  <c r="E77" i="3"/>
  <c r="E81" i="3"/>
  <c r="E85" i="3"/>
  <c r="E89" i="3"/>
  <c r="E93" i="3"/>
  <c r="E97" i="3"/>
  <c r="E101" i="3"/>
  <c r="E105" i="3"/>
  <c r="E109" i="3"/>
  <c r="E113" i="3"/>
  <c r="D25" i="3"/>
  <c r="D29" i="3"/>
  <c r="D33" i="3"/>
  <c r="D37" i="3"/>
  <c r="D41" i="3"/>
  <c r="D45" i="3"/>
  <c r="D49" i="3"/>
  <c r="D53" i="3"/>
  <c r="D57" i="3"/>
  <c r="D61" i="3"/>
  <c r="D65" i="3"/>
  <c r="D69" i="3"/>
  <c r="D73" i="3"/>
  <c r="D77" i="3"/>
  <c r="D81" i="3"/>
  <c r="D85" i="3"/>
  <c r="D89" i="3"/>
  <c r="B89" i="3" s="1"/>
  <c r="D93" i="3"/>
  <c r="D97" i="3"/>
  <c r="D101" i="3"/>
  <c r="D105" i="3"/>
  <c r="D109" i="3"/>
  <c r="D113" i="3"/>
  <c r="E22" i="3"/>
  <c r="E26" i="3"/>
  <c r="E30" i="3"/>
  <c r="E34" i="3"/>
  <c r="E42" i="3"/>
  <c r="E46" i="3"/>
  <c r="E50" i="3"/>
  <c r="E54" i="3"/>
  <c r="E62" i="3"/>
  <c r="E70" i="3"/>
  <c r="E78" i="3"/>
  <c r="E86" i="3"/>
  <c r="E94" i="3"/>
  <c r="E102" i="3"/>
  <c r="E110" i="3"/>
  <c r="D26" i="3"/>
  <c r="B26" i="3" s="1"/>
  <c r="D34" i="3"/>
  <c r="D42" i="3"/>
  <c r="D50" i="3"/>
  <c r="D58" i="3"/>
  <c r="D66" i="3"/>
  <c r="D74" i="3"/>
  <c r="D82" i="3"/>
  <c r="D90" i="3"/>
  <c r="B90" i="3" s="1"/>
  <c r="D98" i="3"/>
  <c r="D106" i="3"/>
  <c r="D21" i="3"/>
  <c r="B21" i="3" s="1"/>
  <c r="E23" i="3"/>
  <c r="E27" i="3"/>
  <c r="E31" i="3"/>
  <c r="E35" i="3"/>
  <c r="E39" i="3"/>
  <c r="E43" i="3"/>
  <c r="E47" i="3"/>
  <c r="E51" i="3"/>
  <c r="E55" i="3"/>
  <c r="E59" i="3"/>
  <c r="E63" i="3"/>
  <c r="E67" i="3"/>
  <c r="E71" i="3"/>
  <c r="E75" i="3"/>
  <c r="E79" i="3"/>
  <c r="E83" i="3"/>
  <c r="E87" i="3"/>
  <c r="E91" i="3"/>
  <c r="E95" i="3"/>
  <c r="E99" i="3"/>
  <c r="E103" i="3"/>
  <c r="E107" i="3"/>
  <c r="E111" i="3"/>
  <c r="D23" i="3"/>
  <c r="B23" i="3" s="1"/>
  <c r="D27" i="3"/>
  <c r="D31" i="3"/>
  <c r="D35" i="3"/>
  <c r="D39" i="3"/>
  <c r="D43" i="3"/>
  <c r="D47" i="3"/>
  <c r="D51" i="3"/>
  <c r="D55" i="3"/>
  <c r="D59" i="3"/>
  <c r="D63" i="3"/>
  <c r="D67" i="3"/>
  <c r="D71" i="3"/>
  <c r="D75" i="3"/>
  <c r="D79" i="3"/>
  <c r="D83" i="3"/>
  <c r="D87" i="3"/>
  <c r="B87" i="3" s="1"/>
  <c r="D91" i="3"/>
  <c r="B91" i="3" s="1"/>
  <c r="D95" i="3"/>
  <c r="D99" i="3"/>
  <c r="D103" i="3"/>
  <c r="D107" i="3"/>
  <c r="D111" i="3"/>
  <c r="E24" i="3"/>
  <c r="E28" i="3"/>
  <c r="E32" i="3"/>
  <c r="E36" i="3"/>
  <c r="E40" i="3"/>
  <c r="E44" i="3"/>
  <c r="E48" i="3"/>
  <c r="E52" i="3"/>
  <c r="E56" i="3"/>
  <c r="E60" i="3"/>
  <c r="E64" i="3"/>
  <c r="E68" i="3"/>
  <c r="E72" i="3"/>
  <c r="E76" i="3"/>
  <c r="E80" i="3"/>
  <c r="E84" i="3"/>
  <c r="E88" i="3"/>
  <c r="E92" i="3"/>
  <c r="E96" i="3"/>
  <c r="E100" i="3"/>
  <c r="E104" i="3"/>
  <c r="E108" i="3"/>
  <c r="E112" i="3"/>
  <c r="D24" i="3"/>
  <c r="D28" i="3"/>
  <c r="D32" i="3"/>
  <c r="D36" i="3"/>
  <c r="D40" i="3"/>
  <c r="D44" i="3"/>
  <c r="D48" i="3"/>
  <c r="D52" i="3"/>
  <c r="D56" i="3"/>
  <c r="D60" i="3"/>
  <c r="D64" i="3"/>
  <c r="D68" i="3"/>
  <c r="D72" i="3"/>
  <c r="D76" i="3"/>
  <c r="D80" i="3"/>
  <c r="D84" i="3"/>
  <c r="D88" i="3"/>
  <c r="B88" i="3" s="1"/>
  <c r="D92" i="3"/>
  <c r="B92" i="3" s="1"/>
  <c r="D96" i="3"/>
  <c r="D100" i="3"/>
  <c r="D104" i="3"/>
  <c r="D108" i="3"/>
  <c r="D112" i="3"/>
  <c r="E38" i="3"/>
  <c r="E58" i="3"/>
  <c r="E66" i="3"/>
  <c r="E74" i="3"/>
  <c r="E82" i="3"/>
  <c r="E90" i="3"/>
  <c r="E98" i="3"/>
  <c r="E106" i="3"/>
  <c r="D22" i="3"/>
  <c r="B22" i="3" s="1"/>
  <c r="D30" i="3"/>
  <c r="D38" i="3"/>
  <c r="D46" i="3"/>
  <c r="D54" i="3"/>
  <c r="D62" i="3"/>
  <c r="D70" i="3"/>
  <c r="D78" i="3"/>
  <c r="D86" i="3"/>
  <c r="D94" i="3"/>
  <c r="D102" i="3"/>
  <c r="D110" i="3"/>
  <c r="J21" i="3"/>
  <c r="Q21" i="3"/>
  <c r="C6" i="5"/>
  <c r="H5" i="3"/>
  <c r="Q60" i="3"/>
  <c r="G33" i="8"/>
  <c r="E33" i="8" s="1"/>
  <c r="H34" i="8" s="1"/>
  <c r="C18" i="4"/>
  <c r="J10" i="3"/>
  <c r="Q22" i="3"/>
  <c r="X22" i="3"/>
  <c r="Q23" i="3"/>
  <c r="AE25" i="3"/>
  <c r="AE26" i="3"/>
  <c r="X21" i="3"/>
  <c r="J22" i="3"/>
  <c r="AE24" i="3"/>
  <c r="J24" i="3"/>
  <c r="X25" i="3"/>
  <c r="X26" i="3"/>
  <c r="AE22" i="3"/>
  <c r="J26" i="3"/>
  <c r="AE21" i="3"/>
  <c r="X23" i="3"/>
  <c r="Q25" i="3"/>
  <c r="Q24" i="3"/>
  <c r="X24" i="3"/>
  <c r="Q26" i="3"/>
  <c r="J25" i="3"/>
  <c r="AE23" i="3"/>
  <c r="A27" i="3"/>
  <c r="J8" i="3"/>
  <c r="B25" i="3" l="1"/>
  <c r="D18" i="4"/>
  <c r="C3" i="5" s="1"/>
  <c r="B24" i="3"/>
  <c r="B1" i="3"/>
  <c r="C21" i="3"/>
  <c r="G13" i="1"/>
  <c r="I12" i="1"/>
  <c r="A13" i="1"/>
  <c r="C12" i="1"/>
  <c r="C26" i="3"/>
  <c r="F34" i="8"/>
  <c r="G34" i="8" s="1"/>
  <c r="E34" i="8" s="1"/>
  <c r="C22" i="3"/>
  <c r="C25" i="3"/>
  <c r="C24" i="3"/>
  <c r="C23" i="3"/>
  <c r="B27" i="3"/>
  <c r="Q27" i="3"/>
  <c r="AE27" i="3"/>
  <c r="X27" i="3"/>
  <c r="J27" i="3"/>
  <c r="A28" i="3"/>
  <c r="C13" i="5" l="1"/>
  <c r="C16" i="5"/>
  <c r="C12" i="5"/>
  <c r="C22" i="5"/>
  <c r="C17" i="5"/>
  <c r="C15" i="5"/>
  <c r="C20" i="5"/>
  <c r="C14" i="5"/>
  <c r="C21" i="5"/>
  <c r="C23" i="5"/>
  <c r="C19" i="5"/>
  <c r="C18" i="5"/>
  <c r="G14" i="1"/>
  <c r="I13" i="1"/>
  <c r="A14" i="1"/>
  <c r="C13" i="1"/>
  <c r="F35" i="8"/>
  <c r="H35" i="8"/>
  <c r="C27" i="3"/>
  <c r="Q28" i="3"/>
  <c r="AE28" i="3"/>
  <c r="X28" i="3"/>
  <c r="B28" i="3"/>
  <c r="J28" i="3"/>
  <c r="A29" i="3"/>
  <c r="G35" i="8" l="1"/>
  <c r="E35" i="8" s="1"/>
  <c r="F36" i="8" s="1"/>
  <c r="G15" i="1"/>
  <c r="I14" i="1"/>
  <c r="A15" i="1"/>
  <c r="C14" i="1"/>
  <c r="C28" i="3"/>
  <c r="Q29" i="3"/>
  <c r="B29" i="3"/>
  <c r="AE29" i="3"/>
  <c r="X29" i="3"/>
  <c r="J29" i="3"/>
  <c r="A30" i="3"/>
  <c r="H36" i="8" l="1"/>
  <c r="G36" i="8" s="1"/>
  <c r="E36" i="8" s="1"/>
  <c r="F37" i="8" s="1"/>
  <c r="G16" i="1"/>
  <c r="I15" i="1"/>
  <c r="A16" i="1"/>
  <c r="C15" i="1"/>
  <c r="C29" i="3"/>
  <c r="AE30" i="3"/>
  <c r="J30" i="3"/>
  <c r="X30" i="3"/>
  <c r="Q30" i="3"/>
  <c r="B30" i="3"/>
  <c r="A31" i="3"/>
  <c r="G17" i="1" l="1"/>
  <c r="I16" i="1"/>
  <c r="A17" i="1"/>
  <c r="C16" i="1"/>
  <c r="H37" i="8"/>
  <c r="G37" i="8" s="1"/>
  <c r="E37" i="8" s="1"/>
  <c r="F38" i="8" s="1"/>
  <c r="C30" i="3"/>
  <c r="X31" i="3"/>
  <c r="AE31" i="3"/>
  <c r="B31" i="3"/>
  <c r="J31" i="3"/>
  <c r="Q31" i="3"/>
  <c r="A32" i="3"/>
  <c r="G19" i="1" l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I17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C17" i="1"/>
  <c r="H38" i="8"/>
  <c r="G38" i="8" s="1"/>
  <c r="E38" i="8" s="1"/>
  <c r="H39" i="8" s="1"/>
  <c r="C31" i="3"/>
  <c r="B32" i="3"/>
  <c r="Q32" i="3"/>
  <c r="J32" i="3"/>
  <c r="X32" i="3"/>
  <c r="AE32" i="3"/>
  <c r="A33" i="3"/>
  <c r="F39" i="8" l="1"/>
  <c r="G39" i="8" s="1"/>
  <c r="E39" i="8" s="1"/>
  <c r="F40" i="8" s="1"/>
  <c r="C32" i="3"/>
  <c r="AE33" i="3"/>
  <c r="X33" i="3"/>
  <c r="B33" i="3"/>
  <c r="J33" i="3"/>
  <c r="Q33" i="3"/>
  <c r="A34" i="3"/>
  <c r="H40" i="8" l="1"/>
  <c r="G40" i="8" s="1"/>
  <c r="E40" i="8" s="1"/>
  <c r="F41" i="8" s="1"/>
  <c r="C33" i="3"/>
  <c r="A35" i="3"/>
  <c r="J34" i="3"/>
  <c r="X34" i="3"/>
  <c r="B34" i="3"/>
  <c r="AE34" i="3"/>
  <c r="Q34" i="3"/>
  <c r="H41" i="8" l="1"/>
  <c r="G41" i="8" s="1"/>
  <c r="E41" i="8" s="1"/>
  <c r="H42" i="8" s="1"/>
  <c r="C34" i="3"/>
  <c r="A36" i="3"/>
  <c r="J35" i="3"/>
  <c r="B35" i="3"/>
  <c r="X35" i="3"/>
  <c r="Q35" i="3"/>
  <c r="AE35" i="3"/>
  <c r="F42" i="8" l="1"/>
  <c r="G42" i="8" s="1"/>
  <c r="E42" i="8" s="1"/>
  <c r="F43" i="8" s="1"/>
  <c r="C35" i="3"/>
  <c r="A37" i="3"/>
  <c r="B36" i="3"/>
  <c r="Q36" i="3"/>
  <c r="AE36" i="3"/>
  <c r="J36" i="3"/>
  <c r="X36" i="3"/>
  <c r="H43" i="8" l="1"/>
  <c r="G43" i="8" s="1"/>
  <c r="E43" i="8" s="1"/>
  <c r="F44" i="8" s="1"/>
  <c r="C36" i="3"/>
  <c r="B37" i="3"/>
  <c r="J37" i="3"/>
  <c r="AE37" i="3"/>
  <c r="X37" i="3"/>
  <c r="Q37" i="3"/>
  <c r="A38" i="3"/>
  <c r="H44" i="8" l="1"/>
  <c r="G44" i="8" s="1"/>
  <c r="E44" i="8" s="1"/>
  <c r="H45" i="8" s="1"/>
  <c r="C37" i="3"/>
  <c r="AE38" i="3"/>
  <c r="J38" i="3"/>
  <c r="X38" i="3"/>
  <c r="Q38" i="3"/>
  <c r="B38" i="3"/>
  <c r="A39" i="3"/>
  <c r="F45" i="8" l="1"/>
  <c r="G45" i="8" s="1"/>
  <c r="E45" i="8" s="1"/>
  <c r="H46" i="8" s="1"/>
  <c r="C38" i="3"/>
  <c r="Q39" i="3"/>
  <c r="X39" i="3"/>
  <c r="B39" i="3"/>
  <c r="AE39" i="3"/>
  <c r="J39" i="3"/>
  <c r="A40" i="3"/>
  <c r="F46" i="8" l="1"/>
  <c r="G46" i="8" s="1"/>
  <c r="E46" i="8" s="1"/>
  <c r="F47" i="8" s="1"/>
  <c r="C39" i="3"/>
  <c r="J40" i="3"/>
  <c r="X40" i="3"/>
  <c r="AE40" i="3"/>
  <c r="Q40" i="3"/>
  <c r="B40" i="3"/>
  <c r="A41" i="3"/>
  <c r="H47" i="8" l="1"/>
  <c r="G47" i="8" s="1"/>
  <c r="E47" i="8" s="1"/>
  <c r="H48" i="8" s="1"/>
  <c r="C40" i="3"/>
  <c r="B41" i="3"/>
  <c r="AE41" i="3"/>
  <c r="X41" i="3"/>
  <c r="Q41" i="3"/>
  <c r="J41" i="3"/>
  <c r="A42" i="3"/>
  <c r="F48" i="8" l="1"/>
  <c r="G48" i="8" s="1"/>
  <c r="E48" i="8" s="1"/>
  <c r="H49" i="8" s="1"/>
  <c r="C41" i="3"/>
  <c r="Q42" i="3"/>
  <c r="B42" i="3"/>
  <c r="AE42" i="3"/>
  <c r="J42" i="3"/>
  <c r="X42" i="3"/>
  <c r="A43" i="3"/>
  <c r="F49" i="8" l="1"/>
  <c r="G49" i="8" s="1"/>
  <c r="E49" i="8" s="1"/>
  <c r="H50" i="8" s="1"/>
  <c r="C42" i="3"/>
  <c r="X43" i="3"/>
  <c r="B43" i="3"/>
  <c r="J43" i="3"/>
  <c r="Q43" i="3"/>
  <c r="AE43" i="3"/>
  <c r="A44" i="3"/>
  <c r="F50" i="8" l="1"/>
  <c r="G50" i="8" s="1"/>
  <c r="E50" i="8" s="1"/>
  <c r="F51" i="8" s="1"/>
  <c r="C43" i="3"/>
  <c r="Q44" i="3"/>
  <c r="AE44" i="3"/>
  <c r="X44" i="3"/>
  <c r="B44" i="3"/>
  <c r="J44" i="3"/>
  <c r="A45" i="3"/>
  <c r="H51" i="8" l="1"/>
  <c r="G51" i="8" s="1"/>
  <c r="E51" i="8" s="1"/>
  <c r="F52" i="8" s="1"/>
  <c r="C44" i="3"/>
  <c r="Q45" i="3"/>
  <c r="J45" i="3"/>
  <c r="AE45" i="3"/>
  <c r="X45" i="3"/>
  <c r="B45" i="3"/>
  <c r="A46" i="3"/>
  <c r="H52" i="8" l="1"/>
  <c r="G52" i="8" s="1"/>
  <c r="E52" i="8" s="1"/>
  <c r="C45" i="3"/>
  <c r="AE46" i="3"/>
  <c r="B46" i="3"/>
  <c r="X46" i="3"/>
  <c r="J46" i="3"/>
  <c r="Q46" i="3"/>
  <c r="A47" i="3"/>
  <c r="H53" i="8" l="1"/>
  <c r="F53" i="8"/>
  <c r="C46" i="3"/>
  <c r="X47" i="3"/>
  <c r="AE47" i="3"/>
  <c r="B47" i="3"/>
  <c r="J47" i="3"/>
  <c r="Q47" i="3"/>
  <c r="A48" i="3"/>
  <c r="G53" i="8" l="1"/>
  <c r="E53" i="8" s="1"/>
  <c r="C47" i="3"/>
  <c r="Q48" i="3"/>
  <c r="AE48" i="3"/>
  <c r="B48" i="3"/>
  <c r="J48" i="3"/>
  <c r="X48" i="3"/>
  <c r="A49" i="3"/>
  <c r="H54" i="8" l="1"/>
  <c r="F54" i="8"/>
  <c r="C48" i="3"/>
  <c r="B49" i="3"/>
  <c r="AE49" i="3"/>
  <c r="X49" i="3"/>
  <c r="J49" i="3"/>
  <c r="Q49" i="3"/>
  <c r="A50" i="3"/>
  <c r="G54" i="8" l="1"/>
  <c r="E54" i="8" s="1"/>
  <c r="C49" i="3"/>
  <c r="J50" i="3"/>
  <c r="B50" i="3"/>
  <c r="X50" i="3"/>
  <c r="Q50" i="3"/>
  <c r="AE50" i="3"/>
  <c r="A51" i="3"/>
  <c r="H55" i="8" l="1"/>
  <c r="F55" i="8"/>
  <c r="C50" i="3"/>
  <c r="J51" i="3"/>
  <c r="B51" i="3"/>
  <c r="X51" i="3"/>
  <c r="Q51" i="3"/>
  <c r="AE51" i="3"/>
  <c r="A52" i="3"/>
  <c r="G55" i="8" l="1"/>
  <c r="E55" i="8" s="1"/>
  <c r="F56" i="8" s="1"/>
  <c r="C51" i="3"/>
  <c r="J52" i="3"/>
  <c r="Q52" i="3"/>
  <c r="AE52" i="3"/>
  <c r="B52" i="3"/>
  <c r="X52" i="3"/>
  <c r="A53" i="3"/>
  <c r="H56" i="8" l="1"/>
  <c r="G56" i="8" s="1"/>
  <c r="E56" i="8" s="1"/>
  <c r="H57" i="8" s="1"/>
  <c r="C52" i="3"/>
  <c r="X53" i="3"/>
  <c r="AE53" i="3"/>
  <c r="B53" i="3"/>
  <c r="Q53" i="3"/>
  <c r="J53" i="3"/>
  <c r="A54" i="3"/>
  <c r="F57" i="8" l="1"/>
  <c r="G57" i="8" s="1"/>
  <c r="E57" i="8" s="1"/>
  <c r="H58" i="8" s="1"/>
  <c r="C53" i="3"/>
  <c r="AE54" i="3"/>
  <c r="Q54" i="3"/>
  <c r="J54" i="3"/>
  <c r="B54" i="3"/>
  <c r="X54" i="3"/>
  <c r="A55" i="3"/>
  <c r="F58" i="8" l="1"/>
  <c r="G58" i="8" s="1"/>
  <c r="E58" i="8" s="1"/>
  <c r="F59" i="8" s="1"/>
  <c r="C54" i="3"/>
  <c r="B55" i="3"/>
  <c r="X55" i="3"/>
  <c r="Q55" i="3"/>
  <c r="AE55" i="3"/>
  <c r="J55" i="3"/>
  <c r="A56" i="3"/>
  <c r="H59" i="8" l="1"/>
  <c r="G59" i="8" s="1"/>
  <c r="E59" i="8" s="1"/>
  <c r="C55" i="3"/>
  <c r="Q56" i="3"/>
  <c r="AE56" i="3"/>
  <c r="B56" i="3"/>
  <c r="J56" i="3"/>
  <c r="X56" i="3"/>
  <c r="A57" i="3"/>
  <c r="F60" i="8" l="1"/>
  <c r="H60" i="8"/>
  <c r="G60" i="8" s="1"/>
  <c r="E60" i="8" s="1"/>
  <c r="F61" i="8" s="1"/>
  <c r="C56" i="3"/>
  <c r="A58" i="3"/>
  <c r="AE57" i="3"/>
  <c r="X57" i="3"/>
  <c r="J57" i="3"/>
  <c r="Q57" i="3"/>
  <c r="B57" i="3"/>
  <c r="H61" i="8" l="1"/>
  <c r="G61" i="8" s="1"/>
  <c r="E61" i="8" s="1"/>
  <c r="C57" i="3"/>
  <c r="A59" i="3"/>
  <c r="AE58" i="3"/>
  <c r="J58" i="3"/>
  <c r="X58" i="3"/>
  <c r="B58" i="3"/>
  <c r="Q58" i="3"/>
  <c r="F62" i="8" l="1"/>
  <c r="H62" i="8"/>
  <c r="C58" i="3"/>
  <c r="A60" i="3"/>
  <c r="Q59" i="3"/>
  <c r="AE59" i="3"/>
  <c r="X59" i="3"/>
  <c r="B59" i="3"/>
  <c r="J59" i="3"/>
  <c r="G62" i="8" l="1"/>
  <c r="E62" i="8" s="1"/>
  <c r="H63" i="8" s="1"/>
  <c r="C59" i="3"/>
  <c r="AE60" i="3"/>
  <c r="X60" i="3"/>
  <c r="B60" i="3"/>
  <c r="J60" i="3"/>
  <c r="A61" i="3"/>
  <c r="F63" i="8" l="1"/>
  <c r="G63" i="8" s="1"/>
  <c r="E63" i="8" s="1"/>
  <c r="H64" i="8" s="1"/>
  <c r="C60" i="3"/>
  <c r="Q61" i="3"/>
  <c r="AE61" i="3"/>
  <c r="B61" i="3"/>
  <c r="J61" i="3"/>
  <c r="X61" i="3"/>
  <c r="A62" i="3"/>
  <c r="F64" i="8" l="1"/>
  <c r="G64" i="8" s="1"/>
  <c r="E64" i="8" s="1"/>
  <c r="H65" i="8" s="1"/>
  <c r="C61" i="3"/>
  <c r="AE62" i="3"/>
  <c r="B62" i="3"/>
  <c r="Q62" i="3"/>
  <c r="J62" i="3"/>
  <c r="X62" i="3"/>
  <c r="A63" i="3"/>
  <c r="F65" i="8" l="1"/>
  <c r="G65" i="8" s="1"/>
  <c r="E65" i="8" s="1"/>
  <c r="F66" i="8" s="1"/>
  <c r="C62" i="3"/>
  <c r="X63" i="3"/>
  <c r="B63" i="3"/>
  <c r="AE63" i="3"/>
  <c r="J63" i="3"/>
  <c r="Q63" i="3"/>
  <c r="A64" i="3"/>
  <c r="H66" i="8" l="1"/>
  <c r="G66" i="8" s="1"/>
  <c r="E66" i="8" s="1"/>
  <c r="F67" i="8" s="1"/>
  <c r="C63" i="3"/>
  <c r="B64" i="3"/>
  <c r="Q64" i="3"/>
  <c r="AE64" i="3"/>
  <c r="J64" i="3"/>
  <c r="X64" i="3"/>
  <c r="A65" i="3"/>
  <c r="H67" i="8" l="1"/>
  <c r="G67" i="8" s="1"/>
  <c r="E67" i="8" s="1"/>
  <c r="F68" i="8" s="1"/>
  <c r="C64" i="3"/>
  <c r="AE65" i="3"/>
  <c r="J65" i="3"/>
  <c r="X65" i="3"/>
  <c r="B65" i="3"/>
  <c r="Q65" i="3"/>
  <c r="A66" i="3"/>
  <c r="H68" i="8" l="1"/>
  <c r="G68" i="8" s="1"/>
  <c r="E68" i="8" s="1"/>
  <c r="F69" i="8" s="1"/>
  <c r="C65" i="3"/>
  <c r="J66" i="3"/>
  <c r="X66" i="3"/>
  <c r="AE66" i="3"/>
  <c r="B66" i="3"/>
  <c r="Q66" i="3"/>
  <c r="A67" i="3"/>
  <c r="H69" i="8" l="1"/>
  <c r="G69" i="8" s="1"/>
  <c r="E69" i="8" s="1"/>
  <c r="C66" i="3"/>
  <c r="B67" i="3"/>
  <c r="J67" i="3"/>
  <c r="X67" i="3"/>
  <c r="Q67" i="3"/>
  <c r="AE67" i="3"/>
  <c r="A68" i="3"/>
  <c r="H70" i="8" l="1"/>
  <c r="F70" i="8"/>
  <c r="C67" i="3"/>
  <c r="Q68" i="3"/>
  <c r="J68" i="3"/>
  <c r="AE68" i="3"/>
  <c r="X68" i="3"/>
  <c r="B68" i="3"/>
  <c r="A69" i="3"/>
  <c r="G70" i="8" l="1"/>
  <c r="E70" i="8" s="1"/>
  <c r="F71" i="8" s="1"/>
  <c r="C68" i="3"/>
  <c r="AE69" i="3"/>
  <c r="J69" i="3"/>
  <c r="B69" i="3"/>
  <c r="X69" i="3"/>
  <c r="Q69" i="3"/>
  <c r="A70" i="3"/>
  <c r="H71" i="8" l="1"/>
  <c r="G71" i="8" s="1"/>
  <c r="E71" i="8" s="1"/>
  <c r="H72" i="8" s="1"/>
  <c r="C69" i="3"/>
  <c r="A71" i="3"/>
  <c r="AE70" i="3"/>
  <c r="B70" i="3"/>
  <c r="J70" i="3"/>
  <c r="X70" i="3"/>
  <c r="Q70" i="3"/>
  <c r="F72" i="8" l="1"/>
  <c r="G72" i="8" s="1"/>
  <c r="E72" i="8" s="1"/>
  <c r="C70" i="3"/>
  <c r="A72" i="3"/>
  <c r="Q71" i="3"/>
  <c r="X71" i="3"/>
  <c r="B71" i="3"/>
  <c r="AE71" i="3"/>
  <c r="J71" i="3"/>
  <c r="H73" i="8" l="1"/>
  <c r="F73" i="8"/>
  <c r="C71" i="3"/>
  <c r="A73" i="3"/>
  <c r="AE72" i="3"/>
  <c r="Q72" i="3"/>
  <c r="J72" i="3"/>
  <c r="B72" i="3"/>
  <c r="X72" i="3"/>
  <c r="G73" i="8" l="1"/>
  <c r="E73" i="8" s="1"/>
  <c r="C72" i="3"/>
  <c r="J73" i="3"/>
  <c r="X73" i="3"/>
  <c r="B73" i="3"/>
  <c r="A74" i="3"/>
  <c r="AE73" i="3"/>
  <c r="Q73" i="3"/>
  <c r="H74" i="8" l="1"/>
  <c r="F74" i="8"/>
  <c r="C73" i="3"/>
  <c r="AE74" i="3"/>
  <c r="J74" i="3"/>
  <c r="B74" i="3"/>
  <c r="X74" i="3"/>
  <c r="Q74" i="3"/>
  <c r="A75" i="3"/>
  <c r="G74" i="8" l="1"/>
  <c r="E74" i="8" s="1"/>
  <c r="H75" i="8" s="1"/>
  <c r="C74" i="3"/>
  <c r="B75" i="3"/>
  <c r="X75" i="3"/>
  <c r="J75" i="3"/>
  <c r="Q75" i="3"/>
  <c r="AE75" i="3"/>
  <c r="A76" i="3"/>
  <c r="F75" i="8" l="1"/>
  <c r="G75" i="8" s="1"/>
  <c r="E75" i="8" s="1"/>
  <c r="C75" i="3"/>
  <c r="B76" i="3"/>
  <c r="Q76" i="3"/>
  <c r="J76" i="3"/>
  <c r="AE76" i="3"/>
  <c r="X76" i="3"/>
  <c r="A77" i="3"/>
  <c r="C76" i="3" l="1"/>
  <c r="H76" i="8"/>
  <c r="F76" i="8"/>
  <c r="AE77" i="3"/>
  <c r="J77" i="3"/>
  <c r="X77" i="3"/>
  <c r="Q77" i="3"/>
  <c r="B77" i="3"/>
  <c r="A78" i="3"/>
  <c r="G76" i="8" l="1"/>
  <c r="E76" i="8" s="1"/>
  <c r="F77" i="8" s="1"/>
  <c r="C77" i="3"/>
  <c r="J78" i="3"/>
  <c r="Q78" i="3"/>
  <c r="AE78" i="3"/>
  <c r="X78" i="3"/>
  <c r="B78" i="3"/>
  <c r="A79" i="3"/>
  <c r="H77" i="8" l="1"/>
  <c r="G77" i="8" s="1"/>
  <c r="E77" i="8" s="1"/>
  <c r="F78" i="8" s="1"/>
  <c r="C78" i="3"/>
  <c r="X79" i="3"/>
  <c r="AE79" i="3"/>
  <c r="B79" i="3"/>
  <c r="Q79" i="3"/>
  <c r="J79" i="3"/>
  <c r="A80" i="3"/>
  <c r="H78" i="8" l="1"/>
  <c r="G78" i="8" s="1"/>
  <c r="E78" i="8" s="1"/>
  <c r="C79" i="3"/>
  <c r="B80" i="3"/>
  <c r="X80" i="3"/>
  <c r="Q80" i="3"/>
  <c r="J80" i="3"/>
  <c r="AE80" i="3"/>
  <c r="A81" i="3"/>
  <c r="H79" i="8" l="1"/>
  <c r="F79" i="8"/>
  <c r="C80" i="3"/>
  <c r="Q81" i="3"/>
  <c r="AE81" i="3"/>
  <c r="J81" i="3"/>
  <c r="X81" i="3"/>
  <c r="B81" i="3"/>
  <c r="A82" i="3"/>
  <c r="G79" i="8" l="1"/>
  <c r="E79" i="8" s="1"/>
  <c r="F80" i="8" s="1"/>
  <c r="C81" i="3"/>
  <c r="X82" i="3"/>
  <c r="J82" i="3"/>
  <c r="AE82" i="3"/>
  <c r="Q82" i="3"/>
  <c r="B82" i="3"/>
  <c r="A83" i="3"/>
  <c r="H80" i="8" l="1"/>
  <c r="G80" i="8" s="1"/>
  <c r="E80" i="8" s="1"/>
  <c r="C82" i="3"/>
  <c r="B83" i="3"/>
  <c r="J83" i="3"/>
  <c r="X83" i="3"/>
  <c r="Q83" i="3"/>
  <c r="AE83" i="3"/>
  <c r="A84" i="3"/>
  <c r="F81" i="8" l="1"/>
  <c r="H81" i="8"/>
  <c r="C83" i="3"/>
  <c r="A85" i="3"/>
  <c r="Q84" i="3"/>
  <c r="J84" i="3"/>
  <c r="AE84" i="3"/>
  <c r="B84" i="3"/>
  <c r="X84" i="3"/>
  <c r="G81" i="8" l="1"/>
  <c r="E81" i="8" s="1"/>
  <c r="H82" i="8" s="1"/>
  <c r="C84" i="3"/>
  <c r="A86" i="3"/>
  <c r="AE85" i="3"/>
  <c r="X85" i="3"/>
  <c r="J85" i="3"/>
  <c r="B85" i="3"/>
  <c r="Q85" i="3"/>
  <c r="F82" i="8" l="1"/>
  <c r="G82" i="8" s="1"/>
  <c r="E82" i="8" s="1"/>
  <c r="H83" i="8" s="1"/>
  <c r="C85" i="3"/>
  <c r="A87" i="3"/>
  <c r="X86" i="3"/>
  <c r="AE86" i="3"/>
  <c r="B86" i="3"/>
  <c r="J86" i="3"/>
  <c r="Q86" i="3"/>
  <c r="F83" i="8" l="1"/>
  <c r="G83" i="8" s="1"/>
  <c r="E83" i="8" s="1"/>
  <c r="F84" i="8" s="1"/>
  <c r="C86" i="3"/>
  <c r="X87" i="3"/>
  <c r="Q87" i="3"/>
  <c r="J87" i="3"/>
  <c r="A88" i="3"/>
  <c r="AE87" i="3"/>
  <c r="H84" i="8" l="1"/>
  <c r="G84" i="8" s="1"/>
  <c r="E84" i="8" s="1"/>
  <c r="F85" i="8" s="1"/>
  <c r="C87" i="3"/>
  <c r="X88" i="3"/>
  <c r="J88" i="3"/>
  <c r="Q88" i="3"/>
  <c r="AE88" i="3"/>
  <c r="A89" i="3"/>
  <c r="H85" i="8" l="1"/>
  <c r="G85" i="8" s="1"/>
  <c r="E85" i="8" s="1"/>
  <c r="F86" i="8" s="1"/>
  <c r="C88" i="3"/>
  <c r="J89" i="3"/>
  <c r="X89" i="3"/>
  <c r="Q89" i="3"/>
  <c r="AE89" i="3"/>
  <c r="A90" i="3"/>
  <c r="H86" i="8" l="1"/>
  <c r="G86" i="8" s="1"/>
  <c r="E86" i="8" s="1"/>
  <c r="F87" i="8" s="1"/>
  <c r="C89" i="3"/>
  <c r="X90" i="3"/>
  <c r="J90" i="3"/>
  <c r="Q90" i="3"/>
  <c r="AE90" i="3"/>
  <c r="A91" i="3"/>
  <c r="H87" i="8" l="1"/>
  <c r="G87" i="8" s="1"/>
  <c r="E87" i="8" s="1"/>
  <c r="F88" i="8" s="1"/>
  <c r="C90" i="3"/>
  <c r="Q91" i="3"/>
  <c r="AE91" i="3"/>
  <c r="X91" i="3"/>
  <c r="J91" i="3"/>
  <c r="A92" i="3"/>
  <c r="H88" i="8" l="1"/>
  <c r="G88" i="8" s="1"/>
  <c r="E88" i="8" s="1"/>
  <c r="F89" i="8" s="1"/>
  <c r="C91" i="3"/>
  <c r="J92" i="3"/>
  <c r="X92" i="3"/>
  <c r="Q92" i="3"/>
  <c r="AE92" i="3"/>
  <c r="A93" i="3"/>
  <c r="H89" i="8" l="1"/>
  <c r="G89" i="8" s="1"/>
  <c r="E89" i="8" s="1"/>
  <c r="F90" i="8" s="1"/>
  <c r="C92" i="3"/>
  <c r="B93" i="3"/>
  <c r="AE93" i="3"/>
  <c r="Q93" i="3"/>
  <c r="J93" i="3"/>
  <c r="X93" i="3"/>
  <c r="A94" i="3"/>
  <c r="H90" i="8" l="1"/>
  <c r="G90" i="8" s="1"/>
  <c r="E90" i="8" s="1"/>
  <c r="H91" i="8" s="1"/>
  <c r="C93" i="3"/>
  <c r="J94" i="3"/>
  <c r="Q94" i="3"/>
  <c r="AE94" i="3"/>
  <c r="X94" i="3"/>
  <c r="B94" i="3"/>
  <c r="A95" i="3"/>
  <c r="F91" i="8" l="1"/>
  <c r="G91" i="8" s="1"/>
  <c r="E91" i="8" s="1"/>
  <c r="F92" i="8" s="1"/>
  <c r="C94" i="3"/>
  <c r="X95" i="3"/>
  <c r="AE95" i="3"/>
  <c r="B95" i="3"/>
  <c r="J95" i="3"/>
  <c r="Q95" i="3"/>
  <c r="A96" i="3"/>
  <c r="H92" i="8" l="1"/>
  <c r="G92" i="8" s="1"/>
  <c r="E92" i="8" s="1"/>
  <c r="H93" i="8" s="1"/>
  <c r="C95" i="3"/>
  <c r="A97" i="3"/>
  <c r="AE96" i="3"/>
  <c r="B96" i="3"/>
  <c r="X96" i="3"/>
  <c r="Q96" i="3"/>
  <c r="J96" i="3"/>
  <c r="F93" i="8" l="1"/>
  <c r="G93" i="8" s="1"/>
  <c r="E93" i="8" s="1"/>
  <c r="C96" i="3"/>
  <c r="A98" i="3"/>
  <c r="B97" i="3"/>
  <c r="AE97" i="3"/>
  <c r="J97" i="3"/>
  <c r="X97" i="3"/>
  <c r="Q97" i="3"/>
  <c r="H94" i="8" l="1"/>
  <c r="F94" i="8"/>
  <c r="C97" i="3"/>
  <c r="A99" i="3"/>
  <c r="Q98" i="3"/>
  <c r="X98" i="3"/>
  <c r="AE98" i="3"/>
  <c r="B98" i="3"/>
  <c r="J98" i="3"/>
  <c r="G94" i="8" l="1"/>
  <c r="E94" i="8" s="1"/>
  <c r="F95" i="8" s="1"/>
  <c r="C98" i="3"/>
  <c r="J99" i="3"/>
  <c r="B99" i="3"/>
  <c r="A100" i="3"/>
  <c r="X99" i="3"/>
  <c r="Q99" i="3"/>
  <c r="AE99" i="3"/>
  <c r="H95" i="8" l="1"/>
  <c r="G95" i="8" s="1"/>
  <c r="E95" i="8" s="1"/>
  <c r="H96" i="8" s="1"/>
  <c r="C99" i="3"/>
  <c r="X100" i="3"/>
  <c r="B100" i="3"/>
  <c r="Q100" i="3"/>
  <c r="J100" i="3"/>
  <c r="AE100" i="3"/>
  <c r="A101" i="3"/>
  <c r="F96" i="8" l="1"/>
  <c r="G96" i="8" s="1"/>
  <c r="E96" i="8" s="1"/>
  <c r="C100" i="3"/>
  <c r="AE101" i="3"/>
  <c r="Q101" i="3"/>
  <c r="J101" i="3"/>
  <c r="X101" i="3"/>
  <c r="B101" i="3"/>
  <c r="A102" i="3"/>
  <c r="F97" i="8" l="1"/>
  <c r="H97" i="8"/>
  <c r="C101" i="3"/>
  <c r="B102" i="3"/>
  <c r="AE102" i="3"/>
  <c r="Q102" i="3"/>
  <c r="X102" i="3"/>
  <c r="J102" i="3"/>
  <c r="A103" i="3"/>
  <c r="G97" i="8" l="1"/>
  <c r="E97" i="8" s="1"/>
  <c r="F98" i="8" s="1"/>
  <c r="C102" i="3"/>
  <c r="Q103" i="3"/>
  <c r="B103" i="3"/>
  <c r="X103" i="3"/>
  <c r="J103" i="3"/>
  <c r="AE103" i="3"/>
  <c r="A104" i="3"/>
  <c r="H98" i="8" l="1"/>
  <c r="G98" i="8" s="1"/>
  <c r="E98" i="8" s="1"/>
  <c r="F99" i="8" s="1"/>
  <c r="C103" i="3"/>
  <c r="B104" i="3"/>
  <c r="X104" i="3"/>
  <c r="Q104" i="3"/>
  <c r="J104" i="3"/>
  <c r="AE104" i="3"/>
  <c r="A105" i="3"/>
  <c r="H99" i="8" l="1"/>
  <c r="G99" i="8" s="1"/>
  <c r="E99" i="8" s="1"/>
  <c r="H100" i="8" s="1"/>
  <c r="C104" i="3"/>
  <c r="J105" i="3"/>
  <c r="X105" i="3"/>
  <c r="B105" i="3"/>
  <c r="AE105" i="3"/>
  <c r="Q105" i="3"/>
  <c r="A106" i="3"/>
  <c r="F100" i="8" l="1"/>
  <c r="G100" i="8" s="1"/>
  <c r="E100" i="8" s="1"/>
  <c r="H101" i="8" s="1"/>
  <c r="C105" i="3"/>
  <c r="Q106" i="3"/>
  <c r="B106" i="3"/>
  <c r="AE106" i="3"/>
  <c r="J106" i="3"/>
  <c r="X106" i="3"/>
  <c r="A107" i="3"/>
  <c r="F101" i="8" l="1"/>
  <c r="G101" i="8" s="1"/>
  <c r="E101" i="8" s="1"/>
  <c r="F102" i="8" s="1"/>
  <c r="C106" i="3"/>
  <c r="A108" i="3"/>
  <c r="B107" i="3"/>
  <c r="X107" i="3"/>
  <c r="J107" i="3"/>
  <c r="Q107" i="3"/>
  <c r="AE107" i="3"/>
  <c r="H102" i="8" l="1"/>
  <c r="G102" i="8" s="1"/>
  <c r="E102" i="8" s="1"/>
  <c r="F103" i="8" s="1"/>
  <c r="C107" i="3"/>
  <c r="A109" i="3"/>
  <c r="J108" i="3"/>
  <c r="B108" i="3"/>
  <c r="AE108" i="3"/>
  <c r="X108" i="3"/>
  <c r="Q108" i="3"/>
  <c r="H103" i="8" l="1"/>
  <c r="G103" i="8" s="1"/>
  <c r="E103" i="8" s="1"/>
  <c r="H104" i="8" s="1"/>
  <c r="C108" i="3"/>
  <c r="A110" i="3"/>
  <c r="AE109" i="3"/>
  <c r="B109" i="3"/>
  <c r="J109" i="3"/>
  <c r="X109" i="3"/>
  <c r="Q109" i="3"/>
  <c r="F104" i="8" l="1"/>
  <c r="G104" i="8" s="1"/>
  <c r="E104" i="8" s="1"/>
  <c r="H105" i="8" s="1"/>
  <c r="C109" i="3"/>
  <c r="X110" i="3"/>
  <c r="J110" i="3"/>
  <c r="Q110" i="3"/>
  <c r="B110" i="3"/>
  <c r="AE110" i="3"/>
  <c r="A111" i="3"/>
  <c r="F105" i="8" l="1"/>
  <c r="G105" i="8" s="1"/>
  <c r="E105" i="8" s="1"/>
  <c r="H106" i="8" s="1"/>
  <c r="C110" i="3"/>
  <c r="X111" i="3"/>
  <c r="B111" i="3"/>
  <c r="J111" i="3"/>
  <c r="AE111" i="3"/>
  <c r="Q111" i="3"/>
  <c r="A112" i="3"/>
  <c r="F106" i="8" l="1"/>
  <c r="G106" i="8" s="1"/>
  <c r="E106" i="8" s="1"/>
  <c r="C111" i="3"/>
  <c r="B112" i="3"/>
  <c r="X112" i="3"/>
  <c r="Q112" i="3"/>
  <c r="J112" i="3"/>
  <c r="AE112" i="3"/>
  <c r="A113" i="3"/>
  <c r="F107" i="8" l="1"/>
  <c r="H107" i="8"/>
  <c r="C112" i="3"/>
  <c r="AE113" i="3"/>
  <c r="J113" i="3"/>
  <c r="X113" i="3"/>
  <c r="B113" i="3"/>
  <c r="Q113" i="3"/>
  <c r="G107" i="8" l="1"/>
  <c r="E107" i="8" s="1"/>
  <c r="F108" i="8" s="1"/>
  <c r="C113" i="3"/>
  <c r="E14" i="7" l="1"/>
  <c r="H14" i="7" s="1"/>
  <c r="F14" i="7" s="1"/>
  <c r="I14" i="7" s="1"/>
  <c r="J14" i="7" s="1"/>
  <c r="F18" i="4"/>
  <c r="I18" i="4" s="1"/>
  <c r="E8" i="4" s="1"/>
  <c r="H108" i="8"/>
  <c r="G108" i="8" s="1"/>
  <c r="E108" i="8" s="1"/>
  <c r="H109" i="8" s="1"/>
  <c r="G18" i="4" l="1"/>
  <c r="J18" i="4" s="1"/>
  <c r="A5" i="3"/>
  <c r="F109" i="8"/>
  <c r="G109" i="8" s="1"/>
  <c r="E109" i="8" s="1"/>
  <c r="F110" i="8" s="1"/>
  <c r="I5" i="3" l="1"/>
  <c r="G6" i="4" s="1"/>
  <c r="I6" i="3"/>
  <c r="J7" i="3" s="1"/>
  <c r="D1" i="3"/>
  <c r="J6" i="3"/>
  <c r="K18" i="4"/>
  <c r="F4" i="3"/>
  <c r="C2" i="5"/>
  <c r="E11" i="5" s="1"/>
  <c r="H110" i="8"/>
  <c r="G110" i="8" s="1"/>
  <c r="E110" i="8" s="1"/>
  <c r="F111" i="8" s="1"/>
  <c r="K7" i="3" l="1"/>
  <c r="D17" i="4" s="1"/>
  <c r="E17" i="4" s="1"/>
  <c r="J12" i="3"/>
  <c r="D12" i="5"/>
  <c r="F2" i="5" s="1"/>
  <c r="F12" i="5"/>
  <c r="G15" i="4"/>
  <c r="F11" i="7"/>
  <c r="F6" i="7"/>
  <c r="H111" i="8"/>
  <c r="G111" i="8" s="1"/>
  <c r="E111" i="8" s="1"/>
  <c r="F112" i="8" s="1"/>
  <c r="E18" i="4" l="1"/>
  <c r="C4" i="5" s="1"/>
  <c r="C101" i="5" s="1"/>
  <c r="L17" i="4"/>
  <c r="P17" i="4" s="1"/>
  <c r="C34" i="5"/>
  <c r="C24" i="5"/>
  <c r="C43" i="5"/>
  <c r="C64" i="5"/>
  <c r="C66" i="5"/>
  <c r="C65" i="5"/>
  <c r="C58" i="5"/>
  <c r="C52" i="5"/>
  <c r="C54" i="5"/>
  <c r="C46" i="5"/>
  <c r="C44" i="5"/>
  <c r="C57" i="5"/>
  <c r="C67" i="5"/>
  <c r="C39" i="5"/>
  <c r="C60" i="5"/>
  <c r="C41" i="5"/>
  <c r="C40" i="5"/>
  <c r="C56" i="5"/>
  <c r="C50" i="5"/>
  <c r="C36" i="5"/>
  <c r="C47" i="5"/>
  <c r="C63" i="5"/>
  <c r="C70" i="5"/>
  <c r="C37" i="5"/>
  <c r="C49" i="5"/>
  <c r="C48" i="5"/>
  <c r="C45" i="5"/>
  <c r="C53" i="5"/>
  <c r="C55" i="5"/>
  <c r="C71" i="5"/>
  <c r="C42" i="5"/>
  <c r="C68" i="5"/>
  <c r="C51" i="5"/>
  <c r="C69" i="5"/>
  <c r="C112" i="5"/>
  <c r="C59" i="5"/>
  <c r="C62" i="5"/>
  <c r="C259" i="5"/>
  <c r="C25" i="5"/>
  <c r="C26" i="5"/>
  <c r="C31" i="5"/>
  <c r="C35" i="5"/>
  <c r="C61" i="5"/>
  <c r="C288" i="5"/>
  <c r="C347" i="5"/>
  <c r="C27" i="5"/>
  <c r="C30" i="5"/>
  <c r="C38" i="5"/>
  <c r="G12" i="5"/>
  <c r="E12" i="5" s="1"/>
  <c r="L18" i="4"/>
  <c r="K14" i="7"/>
  <c r="H112" i="8"/>
  <c r="G112" i="8" s="1"/>
  <c r="E112" i="8" s="1"/>
  <c r="F113" i="8" s="1"/>
  <c r="C28" i="5" l="1"/>
  <c r="C32" i="5"/>
  <c r="C29" i="5"/>
  <c r="C33" i="5"/>
  <c r="C323" i="5"/>
  <c r="C165" i="5"/>
  <c r="C139" i="5"/>
  <c r="C145" i="5"/>
  <c r="C206" i="5"/>
  <c r="C275" i="5"/>
  <c r="C218" i="5"/>
  <c r="C102" i="5"/>
  <c r="C269" i="5"/>
  <c r="C136" i="5"/>
  <c r="C72" i="5"/>
  <c r="C179" i="5"/>
  <c r="C313" i="5"/>
  <c r="C280" i="5"/>
  <c r="C126" i="5"/>
  <c r="C235" i="5"/>
  <c r="C210" i="5"/>
  <c r="C204" i="5"/>
  <c r="C141" i="5"/>
  <c r="C260" i="5"/>
  <c r="C296" i="5"/>
  <c r="C187" i="5"/>
  <c r="C220" i="5"/>
  <c r="C278" i="5"/>
  <c r="C361" i="5"/>
  <c r="C268" i="5"/>
  <c r="C224" i="5"/>
  <c r="C197" i="5"/>
  <c r="C178" i="5"/>
  <c r="C168" i="5"/>
  <c r="C327" i="5"/>
  <c r="C250" i="5"/>
  <c r="C196" i="5"/>
  <c r="C300" i="5"/>
  <c r="C252" i="5"/>
  <c r="C211" i="5"/>
  <c r="M17" i="4"/>
  <c r="N18" i="4"/>
  <c r="C233" i="5"/>
  <c r="C239" i="5"/>
  <c r="C114" i="5"/>
  <c r="C91" i="5"/>
  <c r="C162" i="5"/>
  <c r="C254" i="5"/>
  <c r="C79" i="5"/>
  <c r="C86" i="5"/>
  <c r="C151" i="5"/>
  <c r="C292" i="5"/>
  <c r="C76" i="5"/>
  <c r="C97" i="5"/>
  <c r="C92" i="5"/>
  <c r="C205" i="5"/>
  <c r="C298" i="5"/>
  <c r="C99" i="5"/>
  <c r="C221" i="5"/>
  <c r="C367" i="5"/>
  <c r="C241" i="5"/>
  <c r="C256" i="5"/>
  <c r="C191" i="5"/>
  <c r="C181" i="5"/>
  <c r="C286" i="5"/>
  <c r="C332" i="5"/>
  <c r="C93" i="5"/>
  <c r="C153" i="5"/>
  <c r="C200" i="5"/>
  <c r="C336" i="5"/>
  <c r="C130" i="5"/>
  <c r="C134" i="5"/>
  <c r="C155" i="5"/>
  <c r="C167" i="5"/>
  <c r="C132" i="5"/>
  <c r="C119" i="5"/>
  <c r="C314" i="5"/>
  <c r="C98" i="5"/>
  <c r="C295" i="5"/>
  <c r="C195" i="5"/>
  <c r="C89" i="5"/>
  <c r="C258" i="5"/>
  <c r="C354" i="5"/>
  <c r="C352" i="5"/>
  <c r="C343" i="5"/>
  <c r="C231" i="5"/>
  <c r="C163" i="5"/>
  <c r="C109" i="5"/>
  <c r="C127" i="5"/>
  <c r="C216" i="5"/>
  <c r="C284" i="5"/>
  <c r="C108" i="5"/>
  <c r="C194" i="5"/>
  <c r="C322" i="5"/>
  <c r="C317" i="5"/>
  <c r="C170" i="5"/>
  <c r="C285" i="5"/>
  <c r="C344" i="5"/>
  <c r="C149" i="5"/>
  <c r="C312" i="5"/>
  <c r="C351" i="5"/>
  <c r="C152" i="5"/>
  <c r="C175" i="5"/>
  <c r="C222" i="5"/>
  <c r="C140" i="5"/>
  <c r="C346" i="5"/>
  <c r="C368" i="5"/>
  <c r="C353" i="5"/>
  <c r="C329" i="5"/>
  <c r="C158" i="5"/>
  <c r="C228" i="5"/>
  <c r="C333" i="5"/>
  <c r="C84" i="5"/>
  <c r="C360" i="5"/>
  <c r="C328" i="5"/>
  <c r="C270" i="5"/>
  <c r="C159" i="5"/>
  <c r="C88" i="5"/>
  <c r="C82" i="5"/>
  <c r="C319" i="5"/>
  <c r="C160" i="5"/>
  <c r="C176" i="5"/>
  <c r="C240" i="5"/>
  <c r="C315" i="5"/>
  <c r="C219" i="5"/>
  <c r="C103" i="5"/>
  <c r="C94" i="5"/>
  <c r="C243" i="5"/>
  <c r="C264" i="5"/>
  <c r="C337" i="5"/>
  <c r="C85" i="5"/>
  <c r="C215" i="5"/>
  <c r="C320" i="5"/>
  <c r="C236" i="5"/>
  <c r="C238" i="5"/>
  <c r="C105" i="5"/>
  <c r="C263" i="5"/>
  <c r="C142" i="5"/>
  <c r="C177" i="5"/>
  <c r="C262" i="5"/>
  <c r="C117" i="5"/>
  <c r="C154" i="5"/>
  <c r="C248" i="5"/>
  <c r="C291" i="5"/>
  <c r="C363" i="5"/>
  <c r="C190" i="5"/>
  <c r="C345" i="5"/>
  <c r="C123" i="5"/>
  <c r="C371" i="5"/>
  <c r="C307" i="5"/>
  <c r="C299" i="5"/>
  <c r="C201" i="5"/>
  <c r="C349" i="5"/>
  <c r="C234" i="5"/>
  <c r="C244" i="5"/>
  <c r="C227" i="5"/>
  <c r="C100" i="5"/>
  <c r="C223" i="5"/>
  <c r="C365" i="5"/>
  <c r="C135" i="5"/>
  <c r="C370" i="5"/>
  <c r="C185" i="5"/>
  <c r="C242" i="5"/>
  <c r="C274" i="5"/>
  <c r="C83" i="5"/>
  <c r="C232" i="5"/>
  <c r="C273" i="5"/>
  <c r="C104" i="5"/>
  <c r="C316" i="5"/>
  <c r="C225" i="5"/>
  <c r="C287" i="5"/>
  <c r="C281" i="5"/>
  <c r="C189" i="5"/>
  <c r="C172" i="5"/>
  <c r="C193" i="5"/>
  <c r="C318" i="5"/>
  <c r="C106" i="5"/>
  <c r="C277" i="5"/>
  <c r="C113" i="5"/>
  <c r="C331" i="5"/>
  <c r="C356" i="5"/>
  <c r="C247" i="5"/>
  <c r="C182" i="5"/>
  <c r="C325" i="5"/>
  <c r="C229" i="5"/>
  <c r="C309" i="5"/>
  <c r="C340" i="5"/>
  <c r="C77" i="5"/>
  <c r="C137" i="5"/>
  <c r="C87" i="5"/>
  <c r="C173" i="5"/>
  <c r="C118" i="5"/>
  <c r="C364" i="5"/>
  <c r="C272" i="5"/>
  <c r="C116" i="5"/>
  <c r="C120" i="5"/>
  <c r="C186" i="5"/>
  <c r="C78" i="5"/>
  <c r="C310" i="5"/>
  <c r="C115" i="5"/>
  <c r="C166" i="5"/>
  <c r="C357" i="5"/>
  <c r="C257" i="5"/>
  <c r="C125" i="5"/>
  <c r="C267" i="5"/>
  <c r="C111" i="5"/>
  <c r="C208" i="5"/>
  <c r="C144" i="5"/>
  <c r="C266" i="5"/>
  <c r="C184" i="5"/>
  <c r="C276" i="5"/>
  <c r="C355" i="5"/>
  <c r="C362" i="5"/>
  <c r="C283" i="5"/>
  <c r="C271" i="5"/>
  <c r="C265" i="5"/>
  <c r="C306" i="5"/>
  <c r="C121" i="5"/>
  <c r="C183" i="5"/>
  <c r="C302" i="5"/>
  <c r="C133" i="5"/>
  <c r="C311" i="5"/>
  <c r="C324" i="5"/>
  <c r="C326" i="5"/>
  <c r="C107" i="5"/>
  <c r="C192" i="5"/>
  <c r="C146" i="5"/>
  <c r="C128" i="5"/>
  <c r="C294" i="5"/>
  <c r="C131" i="5"/>
  <c r="C305" i="5"/>
  <c r="C303" i="5"/>
  <c r="C338" i="5"/>
  <c r="C212" i="5"/>
  <c r="C75" i="5"/>
  <c r="C122" i="5"/>
  <c r="C249" i="5"/>
  <c r="C156" i="5"/>
  <c r="C289" i="5"/>
  <c r="C161" i="5"/>
  <c r="C74" i="5"/>
  <c r="C245" i="5"/>
  <c r="C359" i="5"/>
  <c r="C330" i="5"/>
  <c r="C279" i="5"/>
  <c r="C341" i="5"/>
  <c r="C366" i="5"/>
  <c r="C95" i="5"/>
  <c r="C188" i="5"/>
  <c r="C293" i="5"/>
  <c r="C110" i="5"/>
  <c r="C207" i="5"/>
  <c r="C253" i="5"/>
  <c r="C308" i="5"/>
  <c r="C358" i="5"/>
  <c r="C282" i="5"/>
  <c r="C96" i="5"/>
  <c r="C171" i="5"/>
  <c r="C147" i="5"/>
  <c r="C213" i="5"/>
  <c r="C369" i="5"/>
  <c r="C237" i="5"/>
  <c r="C339" i="5"/>
  <c r="C138" i="5"/>
  <c r="C199" i="5"/>
  <c r="C251" i="5"/>
  <c r="C334" i="5"/>
  <c r="C73" i="5"/>
  <c r="C321" i="5"/>
  <c r="C209" i="5"/>
  <c r="C143" i="5"/>
  <c r="C226" i="5"/>
  <c r="C148" i="5"/>
  <c r="C255" i="5"/>
  <c r="C198" i="5"/>
  <c r="C301" i="5"/>
  <c r="C80" i="5"/>
  <c r="C124" i="5"/>
  <c r="C217" i="5"/>
  <c r="C202" i="5"/>
  <c r="C348" i="5"/>
  <c r="C290" i="5"/>
  <c r="C150" i="5"/>
  <c r="C81" i="5"/>
  <c r="C372" i="5"/>
  <c r="C342" i="5"/>
  <c r="C174" i="5"/>
  <c r="C129" i="5"/>
  <c r="C157" i="5"/>
  <c r="C164" i="5"/>
  <c r="C203" i="5"/>
  <c r="C90" i="5"/>
  <c r="C261" i="5"/>
  <c r="C214" i="5"/>
  <c r="C335" i="5"/>
  <c r="C304" i="5"/>
  <c r="C180" i="5"/>
  <c r="C297" i="5"/>
  <c r="C169" i="5"/>
  <c r="C246" i="5"/>
  <c r="C350" i="5"/>
  <c r="C230" i="5"/>
  <c r="D13" i="7"/>
  <c r="K13" i="7" s="1"/>
  <c r="L13" i="7" s="1"/>
  <c r="F13" i="5"/>
  <c r="D13" i="5"/>
  <c r="H113" i="8"/>
  <c r="G113" i="8" s="1"/>
  <c r="E113" i="8" s="1"/>
  <c r="F114" i="8" s="1"/>
  <c r="G13" i="5" l="1"/>
  <c r="E13" i="5" s="1"/>
  <c r="F14" i="5" s="1"/>
  <c r="H114" i="8"/>
  <c r="G114" i="8" s="1"/>
  <c r="E114" i="8" s="1"/>
  <c r="F115" i="8" s="1"/>
  <c r="D14" i="5" l="1"/>
  <c r="G14" i="5" s="1"/>
  <c r="E14" i="5" s="1"/>
  <c r="F15" i="5" s="1"/>
  <c r="H115" i="8"/>
  <c r="G115" i="8" s="1"/>
  <c r="E115" i="8" s="1"/>
  <c r="F116" i="8" s="1"/>
  <c r="D15" i="5" l="1"/>
  <c r="G15" i="5" s="1"/>
  <c r="E15" i="5" s="1"/>
  <c r="F16" i="5" s="1"/>
  <c r="H116" i="8"/>
  <c r="G116" i="8" s="1"/>
  <c r="E116" i="8" s="1"/>
  <c r="F117" i="8" s="1"/>
  <c r="D16" i="5" l="1"/>
  <c r="G16" i="5" s="1"/>
  <c r="E16" i="5" s="1"/>
  <c r="F17" i="5" s="1"/>
  <c r="H117" i="8"/>
  <c r="G117" i="8" s="1"/>
  <c r="E117" i="8" s="1"/>
  <c r="H118" i="8" s="1"/>
  <c r="D17" i="5" l="1"/>
  <c r="G17" i="5" s="1"/>
  <c r="E17" i="5" s="1"/>
  <c r="D18" i="5" s="1"/>
  <c r="F118" i="8"/>
  <c r="G118" i="8" s="1"/>
  <c r="E118" i="8" s="1"/>
  <c r="F119" i="8" s="1"/>
  <c r="F18" i="5" l="1"/>
  <c r="G18" i="5" s="1"/>
  <c r="E18" i="5" s="1"/>
  <c r="F19" i="5" s="1"/>
  <c r="H119" i="8"/>
  <c r="G119" i="8" s="1"/>
  <c r="E119" i="8" s="1"/>
  <c r="F120" i="8" s="1"/>
  <c r="D19" i="5" l="1"/>
  <c r="G19" i="5" s="1"/>
  <c r="E19" i="5" s="1"/>
  <c r="F20" i="5" s="1"/>
  <c r="H120" i="8"/>
  <c r="G120" i="8" s="1"/>
  <c r="E120" i="8" s="1"/>
  <c r="F121" i="8" s="1"/>
  <c r="D20" i="5" l="1"/>
  <c r="G20" i="5" s="1"/>
  <c r="E20" i="5" s="1"/>
  <c r="F21" i="5" s="1"/>
  <c r="H121" i="8"/>
  <c r="G121" i="8" s="1"/>
  <c r="E121" i="8" s="1"/>
  <c r="F122" i="8" s="1"/>
  <c r="D21" i="5" l="1"/>
  <c r="G21" i="5" s="1"/>
  <c r="E21" i="5" s="1"/>
  <c r="F22" i="5" s="1"/>
  <c r="H122" i="8"/>
  <c r="G122" i="8" s="1"/>
  <c r="E122" i="8" s="1"/>
  <c r="H123" i="8" s="1"/>
  <c r="F123" i="8" l="1"/>
  <c r="G123" i="8" s="1"/>
  <c r="E123" i="8" s="1"/>
  <c r="D22" i="5"/>
  <c r="G22" i="5" s="1"/>
  <c r="E22" i="5" s="1"/>
  <c r="F23" i="5" s="1"/>
  <c r="H124" i="8" l="1"/>
  <c r="F124" i="8"/>
  <c r="D23" i="5"/>
  <c r="G23" i="5" s="1"/>
  <c r="E23" i="5" s="1"/>
  <c r="G124" i="8" l="1"/>
  <c r="E124" i="8" s="1"/>
  <c r="H125" i="8" s="1"/>
  <c r="F24" i="5"/>
  <c r="D24" i="5"/>
  <c r="F125" i="8" l="1"/>
  <c r="G125" i="8" s="1"/>
  <c r="E125" i="8" s="1"/>
  <c r="F126" i="8" s="1"/>
  <c r="G24" i="5"/>
  <c r="E24" i="5" s="1"/>
  <c r="D25" i="5" s="1"/>
  <c r="H126" i="8" l="1"/>
  <c r="G126" i="8" s="1"/>
  <c r="E126" i="8" s="1"/>
  <c r="F25" i="5"/>
  <c r="G25" i="5" s="1"/>
  <c r="E25" i="5" s="1"/>
  <c r="F26" i="5" s="1"/>
  <c r="H127" i="8" l="1"/>
  <c r="F127" i="8"/>
  <c r="D26" i="5"/>
  <c r="G26" i="5" s="1"/>
  <c r="E26" i="5" s="1"/>
  <c r="G127" i="8" l="1"/>
  <c r="E127" i="8" s="1"/>
  <c r="D27" i="5"/>
  <c r="F27" i="5"/>
  <c r="H128" i="8" l="1"/>
  <c r="F128" i="8"/>
  <c r="G27" i="5"/>
  <c r="E27" i="5" s="1"/>
  <c r="G128" i="8" l="1"/>
  <c r="E128" i="8" s="1"/>
  <c r="F129" i="8" s="1"/>
  <c r="F28" i="5"/>
  <c r="D28" i="5"/>
  <c r="H129" i="8" l="1"/>
  <c r="G129" i="8" s="1"/>
  <c r="E129" i="8" s="1"/>
  <c r="F130" i="8" s="1"/>
  <c r="G28" i="5"/>
  <c r="E28" i="5" s="1"/>
  <c r="F29" i="5" s="1"/>
  <c r="H130" i="8" l="1"/>
  <c r="G130" i="8" s="1"/>
  <c r="E130" i="8" s="1"/>
  <c r="H131" i="8" s="1"/>
  <c r="D29" i="5"/>
  <c r="G29" i="5" s="1"/>
  <c r="E29" i="5" s="1"/>
  <c r="D30" i="5" s="1"/>
  <c r="F131" i="8" l="1"/>
  <c r="G131" i="8" s="1"/>
  <c r="E131" i="8" s="1"/>
  <c r="H132" i="8" s="1"/>
  <c r="F30" i="5"/>
  <c r="G30" i="5" s="1"/>
  <c r="E30" i="5" s="1"/>
  <c r="F132" i="8" l="1"/>
  <c r="G132" i="8" s="1"/>
  <c r="E132" i="8" s="1"/>
  <c r="F31" i="5"/>
  <c r="D31" i="5"/>
  <c r="F133" i="8" l="1"/>
  <c r="H133" i="8"/>
  <c r="G31" i="5"/>
  <c r="E31" i="5" s="1"/>
  <c r="D32" i="5" s="1"/>
  <c r="G133" i="8" l="1"/>
  <c r="E133" i="8" s="1"/>
  <c r="F134" i="8" s="1"/>
  <c r="F32" i="5"/>
  <c r="G32" i="5" s="1"/>
  <c r="E32" i="5" s="1"/>
  <c r="H134" i="8" l="1"/>
  <c r="G134" i="8" s="1"/>
  <c r="E134" i="8" s="1"/>
  <c r="F135" i="8" s="1"/>
  <c r="F33" i="5"/>
  <c r="D33" i="5"/>
  <c r="H135" i="8" l="1"/>
  <c r="G135" i="8" s="1"/>
  <c r="E135" i="8" s="1"/>
  <c r="H136" i="8" s="1"/>
  <c r="G33" i="5"/>
  <c r="E33" i="5" s="1"/>
  <c r="D34" i="5" s="1"/>
  <c r="F136" i="8" l="1"/>
  <c r="G136" i="8" s="1"/>
  <c r="E136" i="8" s="1"/>
  <c r="F34" i="5"/>
  <c r="G34" i="5" s="1"/>
  <c r="E34" i="5" s="1"/>
  <c r="F137" i="8" l="1"/>
  <c r="H137" i="8"/>
  <c r="F35" i="5"/>
  <c r="D35" i="5"/>
  <c r="G137" i="8" l="1"/>
  <c r="E137" i="8" s="1"/>
  <c r="F138" i="8" s="1"/>
  <c r="G35" i="5"/>
  <c r="E35" i="5" s="1"/>
  <c r="F36" i="5" s="1"/>
  <c r="H138" i="8" l="1"/>
  <c r="G138" i="8" s="1"/>
  <c r="E138" i="8" s="1"/>
  <c r="H139" i="8" s="1"/>
  <c r="D36" i="5"/>
  <c r="G36" i="5" s="1"/>
  <c r="E36" i="5" s="1"/>
  <c r="F37" i="5" s="1"/>
  <c r="F139" i="8" l="1"/>
  <c r="G139" i="8" s="1"/>
  <c r="E139" i="8" s="1"/>
  <c r="D37" i="5"/>
  <c r="G37" i="5" s="1"/>
  <c r="E37" i="5" s="1"/>
  <c r="F38" i="5" s="1"/>
  <c r="F140" i="8" l="1"/>
  <c r="H140" i="8"/>
  <c r="D38" i="5"/>
  <c r="G38" i="5" s="1"/>
  <c r="E38" i="5" s="1"/>
  <c r="F39" i="5" s="1"/>
  <c r="G140" i="8" l="1"/>
  <c r="E140" i="8" s="1"/>
  <c r="D39" i="5"/>
  <c r="G39" i="5" s="1"/>
  <c r="E39" i="5" s="1"/>
  <c r="F40" i="5" s="1"/>
  <c r="F141" i="8" l="1"/>
  <c r="H141" i="8"/>
  <c r="D40" i="5"/>
  <c r="G40" i="5" s="1"/>
  <c r="E40" i="5" s="1"/>
  <c r="D41" i="5" s="1"/>
  <c r="G141" i="8" l="1"/>
  <c r="E141" i="8" s="1"/>
  <c r="H142" i="8" s="1"/>
  <c r="F41" i="5"/>
  <c r="G41" i="5" s="1"/>
  <c r="E41" i="5" s="1"/>
  <c r="F142" i="8" l="1"/>
  <c r="G142" i="8" s="1"/>
  <c r="E142" i="8" s="1"/>
  <c r="D42" i="5"/>
  <c r="F42" i="5"/>
  <c r="H143" i="8" l="1"/>
  <c r="F143" i="8"/>
  <c r="G42" i="5"/>
  <c r="E42" i="5" s="1"/>
  <c r="G143" i="8" l="1"/>
  <c r="E143" i="8" s="1"/>
  <c r="H144" i="8" s="1"/>
  <c r="D43" i="5"/>
  <c r="F43" i="5"/>
  <c r="F144" i="8" l="1"/>
  <c r="G144" i="8" s="1"/>
  <c r="E144" i="8" s="1"/>
  <c r="G43" i="5"/>
  <c r="E43" i="5" s="1"/>
  <c r="F145" i="8" l="1"/>
  <c r="H145" i="8"/>
  <c r="F44" i="5"/>
  <c r="D44" i="5"/>
  <c r="G145" i="8" l="1"/>
  <c r="E145" i="8" s="1"/>
  <c r="H146" i="8" s="1"/>
  <c r="G44" i="5"/>
  <c r="E44" i="5" s="1"/>
  <c r="F45" i="5" s="1"/>
  <c r="F146" i="8" l="1"/>
  <c r="G146" i="8" s="1"/>
  <c r="E146" i="8" s="1"/>
  <c r="D45" i="5"/>
  <c r="G45" i="5" s="1"/>
  <c r="E45" i="5" s="1"/>
  <c r="F46" i="5" s="1"/>
  <c r="F147" i="8" l="1"/>
  <c r="H147" i="8"/>
  <c r="D46" i="5"/>
  <c r="G46" i="5" s="1"/>
  <c r="E46" i="5" s="1"/>
  <c r="F47" i="5" s="1"/>
  <c r="G147" i="8" l="1"/>
  <c r="E147" i="8" s="1"/>
  <c r="H148" i="8" s="1"/>
  <c r="D47" i="5"/>
  <c r="G47" i="5" s="1"/>
  <c r="E47" i="5" s="1"/>
  <c r="F48" i="5" s="1"/>
  <c r="F148" i="8" l="1"/>
  <c r="G148" i="8" s="1"/>
  <c r="E148" i="8" s="1"/>
  <c r="F149" i="8" s="1"/>
  <c r="D48" i="5"/>
  <c r="G48" i="5" s="1"/>
  <c r="E48" i="5" s="1"/>
  <c r="H149" i="8" l="1"/>
  <c r="G149" i="8" s="1"/>
  <c r="E149" i="8" s="1"/>
  <c r="D49" i="5"/>
  <c r="F49" i="5"/>
  <c r="H150" i="8" l="1"/>
  <c r="F150" i="8"/>
  <c r="G49" i="5"/>
  <c r="E49" i="5" s="1"/>
  <c r="F50" i="5" s="1"/>
  <c r="G150" i="8" l="1"/>
  <c r="E150" i="8" s="1"/>
  <c r="H151" i="8" s="1"/>
  <c r="D50" i="5"/>
  <c r="G50" i="5" s="1"/>
  <c r="E50" i="5" s="1"/>
  <c r="F51" i="5" s="1"/>
  <c r="F151" i="8" l="1"/>
  <c r="G151" i="8" s="1"/>
  <c r="E151" i="8" s="1"/>
  <c r="F152" i="8" s="1"/>
  <c r="D51" i="5"/>
  <c r="G51" i="5" s="1"/>
  <c r="E51" i="5" s="1"/>
  <c r="H152" i="8" l="1"/>
  <c r="G152" i="8" s="1"/>
  <c r="E152" i="8" s="1"/>
  <c r="F52" i="5"/>
  <c r="D52" i="5"/>
  <c r="H153" i="8" l="1"/>
  <c r="F153" i="8"/>
  <c r="G52" i="5"/>
  <c r="E52" i="5" s="1"/>
  <c r="D53" i="5" s="1"/>
  <c r="G153" i="8" l="1"/>
  <c r="E153" i="8" s="1"/>
  <c r="H154" i="8" s="1"/>
  <c r="F53" i="5"/>
  <c r="G53" i="5" s="1"/>
  <c r="E53" i="5" s="1"/>
  <c r="F154" i="8" l="1"/>
  <c r="G154" i="8" s="1"/>
  <c r="E154" i="8" s="1"/>
  <c r="H155" i="8" s="1"/>
  <c r="D54" i="5"/>
  <c r="F54" i="5"/>
  <c r="F155" i="8" l="1"/>
  <c r="G155" i="8" s="1"/>
  <c r="E155" i="8" s="1"/>
  <c r="F156" i="8" s="1"/>
  <c r="G54" i="5"/>
  <c r="E54" i="5" s="1"/>
  <c r="F55" i="5" s="1"/>
  <c r="H156" i="8" l="1"/>
  <c r="G156" i="8" s="1"/>
  <c r="E156" i="8" s="1"/>
  <c r="F157" i="8" s="1"/>
  <c r="D55" i="5"/>
  <c r="G55" i="5" s="1"/>
  <c r="E55" i="5" s="1"/>
  <c r="D56" i="5" s="1"/>
  <c r="H157" i="8" l="1"/>
  <c r="G157" i="8" s="1"/>
  <c r="E157" i="8" s="1"/>
  <c r="F158" i="8" s="1"/>
  <c r="F56" i="5"/>
  <c r="G56" i="5" s="1"/>
  <c r="E56" i="5" s="1"/>
  <c r="F57" i="5" s="1"/>
  <c r="H158" i="8" l="1"/>
  <c r="G158" i="8" s="1"/>
  <c r="E158" i="8" s="1"/>
  <c r="H159" i="8" s="1"/>
  <c r="D57" i="5"/>
  <c r="G57" i="5" s="1"/>
  <c r="E57" i="5" s="1"/>
  <c r="D58" i="5" s="1"/>
  <c r="F159" i="8" l="1"/>
  <c r="G159" i="8" s="1"/>
  <c r="E159" i="8" s="1"/>
  <c r="F160" i="8" s="1"/>
  <c r="F58" i="5"/>
  <c r="G58" i="5" s="1"/>
  <c r="E58" i="5" s="1"/>
  <c r="H160" i="8" l="1"/>
  <c r="G160" i="8" s="1"/>
  <c r="E160" i="8" s="1"/>
  <c r="H161" i="8" s="1"/>
  <c r="F59" i="5"/>
  <c r="D59" i="5"/>
  <c r="F161" i="8" l="1"/>
  <c r="G161" i="8" s="1"/>
  <c r="E161" i="8" s="1"/>
  <c r="F162" i="8" s="1"/>
  <c r="G59" i="5"/>
  <c r="E59" i="5" s="1"/>
  <c r="F60" i="5" s="1"/>
  <c r="H162" i="8" l="1"/>
  <c r="G162" i="8" s="1"/>
  <c r="E162" i="8" s="1"/>
  <c r="F163" i="8" s="1"/>
  <c r="D60" i="5"/>
  <c r="G60" i="5" s="1"/>
  <c r="E60" i="5" s="1"/>
  <c r="D61" i="5" s="1"/>
  <c r="H163" i="8" l="1"/>
  <c r="G163" i="8" s="1"/>
  <c r="E163" i="8" s="1"/>
  <c r="F61" i="5"/>
  <c r="G61" i="5" s="1"/>
  <c r="E61" i="5" s="1"/>
  <c r="D62" i="5" s="1"/>
  <c r="H164" i="8" l="1"/>
  <c r="F164" i="8"/>
  <c r="F62" i="5"/>
  <c r="G62" i="5" s="1"/>
  <c r="E62" i="5" s="1"/>
  <c r="G164" i="8" l="1"/>
  <c r="E164" i="8" s="1"/>
  <c r="F63" i="5"/>
  <c r="D63" i="5"/>
  <c r="H165" i="8" l="1"/>
  <c r="F165" i="8"/>
  <c r="G63" i="5"/>
  <c r="E63" i="5" s="1"/>
  <c r="G165" i="8" l="1"/>
  <c r="E165" i="8" s="1"/>
  <c r="D64" i="5"/>
  <c r="F64" i="5"/>
  <c r="H166" i="8" l="1"/>
  <c r="F166" i="8"/>
  <c r="G64" i="5"/>
  <c r="E64" i="5" s="1"/>
  <c r="G166" i="8" l="1"/>
  <c r="E166" i="8" s="1"/>
  <c r="D65" i="5"/>
  <c r="F65" i="5"/>
  <c r="H167" i="8" l="1"/>
  <c r="F167" i="8"/>
  <c r="G65" i="5"/>
  <c r="E65" i="5" s="1"/>
  <c r="G167" i="8" l="1"/>
  <c r="E167" i="8" s="1"/>
  <c r="F168" i="8" s="1"/>
  <c r="F66" i="5"/>
  <c r="D66" i="5"/>
  <c r="H168" i="8" l="1"/>
  <c r="G168" i="8" s="1"/>
  <c r="E168" i="8" s="1"/>
  <c r="G66" i="5"/>
  <c r="E66" i="5" s="1"/>
  <c r="D67" i="5" s="1"/>
  <c r="H169" i="8" l="1"/>
  <c r="F169" i="8"/>
  <c r="F67" i="5"/>
  <c r="G67" i="5" s="1"/>
  <c r="E67" i="5" s="1"/>
  <c r="G169" i="8" l="1"/>
  <c r="E169" i="8" s="1"/>
  <c r="H170" i="8" s="1"/>
  <c r="D68" i="5"/>
  <c r="F68" i="5"/>
  <c r="F170" i="8" l="1"/>
  <c r="G170" i="8" s="1"/>
  <c r="E170" i="8" s="1"/>
  <c r="G68" i="5"/>
  <c r="E68" i="5" s="1"/>
  <c r="F171" i="8" l="1"/>
  <c r="H171" i="8"/>
  <c r="D69" i="5"/>
  <c r="F69" i="5"/>
  <c r="G171" i="8" l="1"/>
  <c r="E171" i="8" s="1"/>
  <c r="H172" i="8" s="1"/>
  <c r="G69" i="5"/>
  <c r="E69" i="5" s="1"/>
  <c r="D70" i="5" s="1"/>
  <c r="F172" i="8" l="1"/>
  <c r="G172" i="8" s="1"/>
  <c r="E172" i="8" s="1"/>
  <c r="F70" i="5"/>
  <c r="G70" i="5" s="1"/>
  <c r="E70" i="5" s="1"/>
  <c r="H173" i="8" l="1"/>
  <c r="F173" i="8"/>
  <c r="D71" i="5"/>
  <c r="F71" i="5"/>
  <c r="G173" i="8" l="1"/>
  <c r="E173" i="8" s="1"/>
  <c r="F174" i="8" s="1"/>
  <c r="G71" i="5"/>
  <c r="E71" i="5" s="1"/>
  <c r="D72" i="5" s="1"/>
  <c r="H174" i="8" l="1"/>
  <c r="G174" i="8" s="1"/>
  <c r="E174" i="8" s="1"/>
  <c r="F72" i="5"/>
  <c r="G72" i="5" s="1"/>
  <c r="E72" i="5" s="1"/>
  <c r="F3" i="5"/>
  <c r="H175" i="8" l="1"/>
  <c r="F175" i="8"/>
  <c r="M18" i="4"/>
  <c r="O18" i="4" s="1"/>
  <c r="F73" i="5"/>
  <c r="D73" i="5"/>
  <c r="G175" i="8" l="1"/>
  <c r="E175" i="8" s="1"/>
  <c r="G73" i="5"/>
  <c r="E73" i="5" s="1"/>
  <c r="F74" i="5" s="1"/>
  <c r="H176" i="8" l="1"/>
  <c r="F176" i="8"/>
  <c r="D74" i="5"/>
  <c r="G74" i="5" s="1"/>
  <c r="E74" i="5" s="1"/>
  <c r="D75" i="5" s="1"/>
  <c r="G176" i="8" l="1"/>
  <c r="E176" i="8" s="1"/>
  <c r="F75" i="5"/>
  <c r="G75" i="5" s="1"/>
  <c r="E75" i="5" s="1"/>
  <c r="H177" i="8" l="1"/>
  <c r="F177" i="8"/>
  <c r="D76" i="5"/>
  <c r="F76" i="5"/>
  <c r="G177" i="8" l="1"/>
  <c r="E177" i="8" s="1"/>
  <c r="F178" i="8" s="1"/>
  <c r="G76" i="5"/>
  <c r="E76" i="5" s="1"/>
  <c r="H178" i="8" l="1"/>
  <c r="G178" i="8" s="1"/>
  <c r="E178" i="8" s="1"/>
  <c r="F179" i="8" s="1"/>
  <c r="F77" i="5"/>
  <c r="D77" i="5"/>
  <c r="H179" i="8" l="1"/>
  <c r="G179" i="8" s="1"/>
  <c r="E179" i="8" s="1"/>
  <c r="G77" i="5"/>
  <c r="E77" i="5" s="1"/>
  <c r="D78" i="5" s="1"/>
  <c r="H180" i="8" l="1"/>
  <c r="F180" i="8"/>
  <c r="F78" i="5"/>
  <c r="G78" i="5" s="1"/>
  <c r="E78" i="5" s="1"/>
  <c r="G180" i="8" l="1"/>
  <c r="E180" i="8" s="1"/>
  <c r="F181" i="8" s="1"/>
  <c r="F79" i="5"/>
  <c r="D79" i="5"/>
  <c r="H181" i="8" l="1"/>
  <c r="G181" i="8" s="1"/>
  <c r="E181" i="8" s="1"/>
  <c r="G79" i="5"/>
  <c r="E79" i="5" s="1"/>
  <c r="F80" i="5" s="1"/>
  <c r="H182" i="8" l="1"/>
  <c r="F182" i="8"/>
  <c r="D80" i="5"/>
  <c r="G80" i="5" s="1"/>
  <c r="E80" i="5" s="1"/>
  <c r="F81" i="5" s="1"/>
  <c r="G182" i="8" l="1"/>
  <c r="E182" i="8" s="1"/>
  <c r="D81" i="5"/>
  <c r="G81" i="5" s="1"/>
  <c r="E81" i="5" s="1"/>
  <c r="D82" i="5" s="1"/>
  <c r="H183" i="8" l="1"/>
  <c r="F183" i="8"/>
  <c r="F82" i="5"/>
  <c r="G82" i="5" s="1"/>
  <c r="E82" i="5" s="1"/>
  <c r="G183" i="8" l="1"/>
  <c r="E183" i="8" s="1"/>
  <c r="F83" i="5"/>
  <c r="D83" i="5"/>
  <c r="H184" i="8" l="1"/>
  <c r="F184" i="8"/>
  <c r="G83" i="5"/>
  <c r="E83" i="5" s="1"/>
  <c r="F84" i="5" s="1"/>
  <c r="G184" i="8" l="1"/>
  <c r="E184" i="8" s="1"/>
  <c r="D84" i="5"/>
  <c r="G84" i="5" s="1"/>
  <c r="E84" i="5" s="1"/>
  <c r="F85" i="5" s="1"/>
  <c r="H185" i="8" l="1"/>
  <c r="F185" i="8"/>
  <c r="D85" i="5"/>
  <c r="G85" i="5" s="1"/>
  <c r="E85" i="5" s="1"/>
  <c r="F86" i="5" s="1"/>
  <c r="G185" i="8" l="1"/>
  <c r="E185" i="8" s="1"/>
  <c r="H186" i="8" s="1"/>
  <c r="D86" i="5"/>
  <c r="G86" i="5" s="1"/>
  <c r="E86" i="5" s="1"/>
  <c r="D87" i="5" s="1"/>
  <c r="F186" i="8" l="1"/>
  <c r="G186" i="8" s="1"/>
  <c r="E186" i="8" s="1"/>
  <c r="F187" i="8" s="1"/>
  <c r="F87" i="5"/>
  <c r="G87" i="5" s="1"/>
  <c r="E87" i="5" s="1"/>
  <c r="H187" i="8" l="1"/>
  <c r="G187" i="8" s="1"/>
  <c r="E187" i="8" s="1"/>
  <c r="F88" i="5"/>
  <c r="D88" i="5"/>
  <c r="H188" i="8" l="1"/>
  <c r="F188" i="8"/>
  <c r="G88" i="5"/>
  <c r="E88" i="5" s="1"/>
  <c r="D89" i="5" s="1"/>
  <c r="G188" i="8" l="1"/>
  <c r="E188" i="8" s="1"/>
  <c r="F89" i="5"/>
  <c r="G89" i="5" s="1"/>
  <c r="E89" i="5" s="1"/>
  <c r="H189" i="8" l="1"/>
  <c r="F189" i="8"/>
  <c r="F90" i="5"/>
  <c r="D90" i="5"/>
  <c r="G189" i="8" l="1"/>
  <c r="E189" i="8" s="1"/>
  <c r="H190" i="8" s="1"/>
  <c r="G90" i="5"/>
  <c r="E90" i="5" s="1"/>
  <c r="F91" i="5" s="1"/>
  <c r="F190" i="8" l="1"/>
  <c r="G190" i="8" s="1"/>
  <c r="E190" i="8" s="1"/>
  <c r="D91" i="5"/>
  <c r="G91" i="5" s="1"/>
  <c r="E91" i="5" s="1"/>
  <c r="F92" i="5" s="1"/>
  <c r="H191" i="8" l="1"/>
  <c r="F191" i="8"/>
  <c r="D92" i="5"/>
  <c r="G92" i="5" s="1"/>
  <c r="E92" i="5" s="1"/>
  <c r="F93" i="5" s="1"/>
  <c r="G191" i="8" l="1"/>
  <c r="E191" i="8" s="1"/>
  <c r="F192" i="8" s="1"/>
  <c r="D93" i="5"/>
  <c r="G93" i="5" s="1"/>
  <c r="E93" i="5" s="1"/>
  <c r="H192" i="8" l="1"/>
  <c r="G192" i="8" s="1"/>
  <c r="E192" i="8" s="1"/>
  <c r="F193" i="8" s="1"/>
  <c r="F94" i="5"/>
  <c r="D94" i="5"/>
  <c r="H193" i="8" l="1"/>
  <c r="G193" i="8" s="1"/>
  <c r="E193" i="8" s="1"/>
  <c r="F194" i="8" s="1"/>
  <c r="G94" i="5"/>
  <c r="E94" i="5" s="1"/>
  <c r="F95" i="5" s="1"/>
  <c r="H194" i="8" l="1"/>
  <c r="G194" i="8" s="1"/>
  <c r="E194" i="8" s="1"/>
  <c r="H195" i="8" s="1"/>
  <c r="D95" i="5"/>
  <c r="G95" i="5" s="1"/>
  <c r="E95" i="5" s="1"/>
  <c r="F195" i="8" l="1"/>
  <c r="G195" i="8" s="1"/>
  <c r="E195" i="8" s="1"/>
  <c r="F196" i="8" s="1"/>
  <c r="F96" i="5"/>
  <c r="D96" i="5"/>
  <c r="H196" i="8" l="1"/>
  <c r="G196" i="8" s="1"/>
  <c r="E196" i="8" s="1"/>
  <c r="G96" i="5"/>
  <c r="E96" i="5" s="1"/>
  <c r="H197" i="8" l="1"/>
  <c r="F197" i="8"/>
  <c r="D97" i="5"/>
  <c r="F97" i="5"/>
  <c r="G197" i="8" l="1"/>
  <c r="E197" i="8" s="1"/>
  <c r="H198" i="8" s="1"/>
  <c r="G97" i="5"/>
  <c r="E97" i="5" s="1"/>
  <c r="F98" i="5" s="1"/>
  <c r="F198" i="8" l="1"/>
  <c r="G198" i="8" s="1"/>
  <c r="E198" i="8" s="1"/>
  <c r="H199" i="8" s="1"/>
  <c r="D98" i="5"/>
  <c r="G98" i="5" s="1"/>
  <c r="E98" i="5" s="1"/>
  <c r="F99" i="5" s="1"/>
  <c r="F199" i="8" l="1"/>
  <c r="G199" i="8" s="1"/>
  <c r="E199" i="8" s="1"/>
  <c r="D99" i="5"/>
  <c r="G99" i="5" s="1"/>
  <c r="E99" i="5" s="1"/>
  <c r="F100" i="5" s="1"/>
  <c r="F200" i="8" l="1"/>
  <c r="H200" i="8"/>
  <c r="D100" i="5"/>
  <c r="G100" i="5" s="1"/>
  <c r="E100" i="5" s="1"/>
  <c r="F101" i="5" s="1"/>
  <c r="G200" i="8" l="1"/>
  <c r="E200" i="8" s="1"/>
  <c r="H201" i="8" s="1"/>
  <c r="D101" i="5"/>
  <c r="G101" i="5" s="1"/>
  <c r="E101" i="5" s="1"/>
  <c r="F102" i="5" s="1"/>
  <c r="F201" i="8" l="1"/>
  <c r="G201" i="8" s="1"/>
  <c r="E201" i="8" s="1"/>
  <c r="H202" i="8" s="1"/>
  <c r="D102" i="5"/>
  <c r="G102" i="5" s="1"/>
  <c r="E102" i="5" s="1"/>
  <c r="D103" i="5" s="1"/>
  <c r="F202" i="8" l="1"/>
  <c r="G202" i="8" s="1"/>
  <c r="E202" i="8" s="1"/>
  <c r="H203" i="8" s="1"/>
  <c r="F103" i="5"/>
  <c r="G103" i="5" s="1"/>
  <c r="E103" i="5" s="1"/>
  <c r="D104" i="5" s="1"/>
  <c r="F203" i="8" l="1"/>
  <c r="G203" i="8" s="1"/>
  <c r="E203" i="8" s="1"/>
  <c r="F204" i="8" s="1"/>
  <c r="F104" i="5"/>
  <c r="G104" i="5" s="1"/>
  <c r="E104" i="5" s="1"/>
  <c r="F105" i="5" s="1"/>
  <c r="H204" i="8" l="1"/>
  <c r="G204" i="8" s="1"/>
  <c r="E204" i="8" s="1"/>
  <c r="F205" i="8" s="1"/>
  <c r="D105" i="5"/>
  <c r="G105" i="5" s="1"/>
  <c r="E105" i="5" s="1"/>
  <c r="F106" i="5" s="1"/>
  <c r="H205" i="8" l="1"/>
  <c r="G205" i="8" s="1"/>
  <c r="E205" i="8" s="1"/>
  <c r="F206" i="8" s="1"/>
  <c r="D106" i="5"/>
  <c r="G106" i="5" s="1"/>
  <c r="E106" i="5" s="1"/>
  <c r="F107" i="5" s="1"/>
  <c r="H206" i="8" l="1"/>
  <c r="G206" i="8" s="1"/>
  <c r="E206" i="8" s="1"/>
  <c r="H207" i="8" s="1"/>
  <c r="D107" i="5"/>
  <c r="G107" i="5" s="1"/>
  <c r="E107" i="5" s="1"/>
  <c r="F108" i="5" s="1"/>
  <c r="F207" i="8" l="1"/>
  <c r="G207" i="8" s="1"/>
  <c r="E207" i="8" s="1"/>
  <c r="H208" i="8" s="1"/>
  <c r="D108" i="5"/>
  <c r="G108" i="5" s="1"/>
  <c r="E108" i="5" s="1"/>
  <c r="F109" i="5" s="1"/>
  <c r="F208" i="8" l="1"/>
  <c r="G208" i="8" s="1"/>
  <c r="E208" i="8" s="1"/>
  <c r="F209" i="8" s="1"/>
  <c r="D109" i="5"/>
  <c r="G109" i="5" s="1"/>
  <c r="E109" i="5" s="1"/>
  <c r="H209" i="8" l="1"/>
  <c r="G209" i="8" s="1"/>
  <c r="E209" i="8" s="1"/>
  <c r="H210" i="8" s="1"/>
  <c r="D110" i="5"/>
  <c r="F110" i="5"/>
  <c r="F210" i="8" l="1"/>
  <c r="G210" i="8" s="1"/>
  <c r="E210" i="8" s="1"/>
  <c r="F211" i="8" s="1"/>
  <c r="G110" i="5"/>
  <c r="E110" i="5" s="1"/>
  <c r="H211" i="8" l="1"/>
  <c r="G211" i="8" s="1"/>
  <c r="E211" i="8" s="1"/>
  <c r="H212" i="8" s="1"/>
  <c r="D111" i="5"/>
  <c r="F111" i="5"/>
  <c r="F212" i="8" l="1"/>
  <c r="G212" i="8" s="1"/>
  <c r="E212" i="8" s="1"/>
  <c r="G111" i="5"/>
  <c r="E111" i="5" s="1"/>
  <c r="H213" i="8" l="1"/>
  <c r="F213" i="8"/>
  <c r="D112" i="5"/>
  <c r="F112" i="5"/>
  <c r="G213" i="8" l="1"/>
  <c r="E213" i="8" s="1"/>
  <c r="G112" i="5"/>
  <c r="E112" i="5" s="1"/>
  <c r="F113" i="5" s="1"/>
  <c r="H214" i="8" l="1"/>
  <c r="F214" i="8"/>
  <c r="D113" i="5"/>
  <c r="G113" i="5" s="1"/>
  <c r="E113" i="5" s="1"/>
  <c r="F114" i="5" s="1"/>
  <c r="G214" i="8" l="1"/>
  <c r="E214" i="8" s="1"/>
  <c r="D114" i="5"/>
  <c r="G114" i="5" s="1"/>
  <c r="E114" i="5" s="1"/>
  <c r="F115" i="5" s="1"/>
  <c r="F215" i="8" l="1"/>
  <c r="H215" i="8"/>
  <c r="D115" i="5"/>
  <c r="G115" i="5" s="1"/>
  <c r="E115" i="5" s="1"/>
  <c r="F116" i="5" s="1"/>
  <c r="G215" i="8" l="1"/>
  <c r="E215" i="8" s="1"/>
  <c r="D116" i="5"/>
  <c r="G116" i="5" s="1"/>
  <c r="E116" i="5" s="1"/>
  <c r="F117" i="5" s="1"/>
  <c r="F216" i="8" l="1"/>
  <c r="H216" i="8"/>
  <c r="D117" i="5"/>
  <c r="G117" i="5" s="1"/>
  <c r="E117" i="5" s="1"/>
  <c r="G216" i="8" l="1"/>
  <c r="E216" i="8" s="1"/>
  <c r="F217" i="8" s="1"/>
  <c r="D118" i="5"/>
  <c r="F118" i="5"/>
  <c r="H217" i="8" l="1"/>
  <c r="G217" i="8" s="1"/>
  <c r="E217" i="8" s="1"/>
  <c r="F218" i="8" s="1"/>
  <c r="G118" i="5"/>
  <c r="E118" i="5" s="1"/>
  <c r="H218" i="8" l="1"/>
  <c r="G218" i="8" s="1"/>
  <c r="E218" i="8" s="1"/>
  <c r="F219" i="8" s="1"/>
  <c r="F119" i="5"/>
  <c r="D119" i="5"/>
  <c r="H219" i="8" l="1"/>
  <c r="G219" i="8" s="1"/>
  <c r="E219" i="8" s="1"/>
  <c r="F220" i="8" s="1"/>
  <c r="G119" i="5"/>
  <c r="E119" i="5" s="1"/>
  <c r="D120" i="5" s="1"/>
  <c r="H220" i="8" l="1"/>
  <c r="G220" i="8" s="1"/>
  <c r="E220" i="8" s="1"/>
  <c r="F221" i="8" s="1"/>
  <c r="F120" i="5"/>
  <c r="G120" i="5" s="1"/>
  <c r="E120" i="5" s="1"/>
  <c r="H221" i="8" l="1"/>
  <c r="G221" i="8" s="1"/>
  <c r="E221" i="8" s="1"/>
  <c r="H222" i="8" s="1"/>
  <c r="F121" i="5"/>
  <c r="D121" i="5"/>
  <c r="F222" i="8" l="1"/>
  <c r="G222" i="8" s="1"/>
  <c r="E222" i="8" s="1"/>
  <c r="F223" i="8" s="1"/>
  <c r="G121" i="5"/>
  <c r="E121" i="5" s="1"/>
  <c r="F122" i="5" s="1"/>
  <c r="H223" i="8" l="1"/>
  <c r="G223" i="8" s="1"/>
  <c r="E223" i="8" s="1"/>
  <c r="F224" i="8" s="1"/>
  <c r="D122" i="5"/>
  <c r="G122" i="5" s="1"/>
  <c r="E122" i="5" s="1"/>
  <c r="F123" i="5" s="1"/>
  <c r="H224" i="8" l="1"/>
  <c r="G224" i="8" s="1"/>
  <c r="E224" i="8" s="1"/>
  <c r="D123" i="5"/>
  <c r="G123" i="5" s="1"/>
  <c r="E123" i="5" s="1"/>
  <c r="F124" i="5" s="1"/>
  <c r="H225" i="8" l="1"/>
  <c r="F225" i="8"/>
  <c r="D124" i="5"/>
  <c r="G124" i="5" s="1"/>
  <c r="E124" i="5" s="1"/>
  <c r="F125" i="5" s="1"/>
  <c r="G225" i="8" l="1"/>
  <c r="E225" i="8" s="1"/>
  <c r="D125" i="5"/>
  <c r="G125" i="5" s="1"/>
  <c r="E125" i="5" s="1"/>
  <c r="H226" i="8" l="1"/>
  <c r="F226" i="8"/>
  <c r="F126" i="5"/>
  <c r="D126" i="5"/>
  <c r="G226" i="8" l="1"/>
  <c r="E226" i="8" s="1"/>
  <c r="G126" i="5"/>
  <c r="E126" i="5" s="1"/>
  <c r="D127" i="5" s="1"/>
  <c r="H227" i="8" l="1"/>
  <c r="F227" i="8"/>
  <c r="F127" i="5"/>
  <c r="G127" i="5" s="1"/>
  <c r="E127" i="5" s="1"/>
  <c r="G227" i="8" l="1"/>
  <c r="E227" i="8" s="1"/>
  <c r="F228" i="8" s="1"/>
  <c r="F128" i="5"/>
  <c r="D128" i="5"/>
  <c r="H228" i="8" l="1"/>
  <c r="G228" i="8" s="1"/>
  <c r="E228" i="8" s="1"/>
  <c r="F229" i="8" s="1"/>
  <c r="G128" i="5"/>
  <c r="E128" i="5" s="1"/>
  <c r="D129" i="5" s="1"/>
  <c r="H229" i="8" l="1"/>
  <c r="G229" i="8" s="1"/>
  <c r="E229" i="8" s="1"/>
  <c r="F129" i="5"/>
  <c r="G129" i="5" s="1"/>
  <c r="E129" i="5" s="1"/>
  <c r="D130" i="5" s="1"/>
  <c r="H230" i="8" l="1"/>
  <c r="F230" i="8"/>
  <c r="F130" i="5"/>
  <c r="G130" i="5" s="1"/>
  <c r="E130" i="5" s="1"/>
  <c r="F131" i="5" s="1"/>
  <c r="G230" i="8" l="1"/>
  <c r="E230" i="8" s="1"/>
  <c r="D131" i="5"/>
  <c r="G131" i="5" s="1"/>
  <c r="E131" i="5" s="1"/>
  <c r="F132" i="5" s="1"/>
  <c r="H231" i="8" l="1"/>
  <c r="F231" i="8"/>
  <c r="D132" i="5"/>
  <c r="G132" i="5" s="1"/>
  <c r="E132" i="5" s="1"/>
  <c r="F133" i="5" s="1"/>
  <c r="G231" i="8" l="1"/>
  <c r="E231" i="8" s="1"/>
  <c r="D133" i="5"/>
  <c r="G133" i="5" s="1"/>
  <c r="E133" i="5" s="1"/>
  <c r="D134" i="5" s="1"/>
  <c r="H232" i="8" l="1"/>
  <c r="F232" i="8"/>
  <c r="F134" i="5"/>
  <c r="G134" i="5" s="1"/>
  <c r="E134" i="5" s="1"/>
  <c r="F135" i="5" s="1"/>
  <c r="G232" i="8" l="1"/>
  <c r="E232" i="8" s="1"/>
  <c r="D135" i="5"/>
  <c r="G135" i="5" s="1"/>
  <c r="E135" i="5" s="1"/>
  <c r="D136" i="5" s="1"/>
  <c r="H233" i="8" l="1"/>
  <c r="F233" i="8"/>
  <c r="F136" i="5"/>
  <c r="G136" i="5" s="1"/>
  <c r="E136" i="5" s="1"/>
  <c r="D137" i="5" s="1"/>
  <c r="G233" i="8" l="1"/>
  <c r="E233" i="8" s="1"/>
  <c r="H234" i="8" s="1"/>
  <c r="F137" i="5"/>
  <c r="G137" i="5" s="1"/>
  <c r="E137" i="5" s="1"/>
  <c r="F234" i="8" l="1"/>
  <c r="G234" i="8" s="1"/>
  <c r="E234" i="8" s="1"/>
  <c r="H235" i="8" s="1"/>
  <c r="F138" i="5"/>
  <c r="D138" i="5"/>
  <c r="F235" i="8" l="1"/>
  <c r="G235" i="8" s="1"/>
  <c r="E235" i="8" s="1"/>
  <c r="G138" i="5"/>
  <c r="E138" i="5" s="1"/>
  <c r="D139" i="5" s="1"/>
  <c r="H236" i="8" l="1"/>
  <c r="F236" i="8"/>
  <c r="F139" i="5"/>
  <c r="G139" i="5" s="1"/>
  <c r="E139" i="5" s="1"/>
  <c r="G236" i="8" l="1"/>
  <c r="E236" i="8" s="1"/>
  <c r="H237" i="8" s="1"/>
  <c r="D140" i="5"/>
  <c r="F140" i="5"/>
  <c r="F237" i="8" l="1"/>
  <c r="G237" i="8" s="1"/>
  <c r="E237" i="8" s="1"/>
  <c r="G140" i="5"/>
  <c r="E140" i="5" s="1"/>
  <c r="H238" i="8" l="1"/>
  <c r="F238" i="8"/>
  <c r="D141" i="5"/>
  <c r="F141" i="5"/>
  <c r="G238" i="8" l="1"/>
  <c r="E238" i="8" s="1"/>
  <c r="G141" i="5"/>
  <c r="E141" i="5" s="1"/>
  <c r="H239" i="8" l="1"/>
  <c r="F239" i="8"/>
  <c r="F142" i="5"/>
  <c r="D142" i="5"/>
  <c r="G239" i="8" l="1"/>
  <c r="E239" i="8" s="1"/>
  <c r="F240" i="8" s="1"/>
  <c r="G142" i="5"/>
  <c r="E142" i="5" s="1"/>
  <c r="F143" i="5" s="1"/>
  <c r="H240" i="8" l="1"/>
  <c r="G240" i="8" s="1"/>
  <c r="E240" i="8" s="1"/>
  <c r="D143" i="5"/>
  <c r="G143" i="5" s="1"/>
  <c r="E143" i="5" s="1"/>
  <c r="H241" i="8" l="1"/>
  <c r="F241" i="8"/>
  <c r="D144" i="5"/>
  <c r="F144" i="5"/>
  <c r="G241" i="8" l="1"/>
  <c r="E241" i="8" s="1"/>
  <c r="H242" i="8" s="1"/>
  <c r="G144" i="5"/>
  <c r="E144" i="5" s="1"/>
  <c r="F145" i="5" s="1"/>
  <c r="F242" i="8" l="1"/>
  <c r="G242" i="8" s="1"/>
  <c r="E242" i="8" s="1"/>
  <c r="D145" i="5"/>
  <c r="G145" i="5" s="1"/>
  <c r="E145" i="5" s="1"/>
  <c r="F146" i="5" s="1"/>
  <c r="H243" i="8" l="1"/>
  <c r="F243" i="8"/>
  <c r="D146" i="5"/>
  <c r="G146" i="5" s="1"/>
  <c r="E146" i="5" s="1"/>
  <c r="G243" i="8" l="1"/>
  <c r="E243" i="8" s="1"/>
  <c r="F147" i="5"/>
  <c r="D147" i="5"/>
  <c r="H244" i="8" l="1"/>
  <c r="F244" i="8"/>
  <c r="G147" i="5"/>
  <c r="E147" i="5" s="1"/>
  <c r="F148" i="5" s="1"/>
  <c r="G244" i="8" l="1"/>
  <c r="E244" i="8" s="1"/>
  <c r="H245" i="8" s="1"/>
  <c r="D148" i="5"/>
  <c r="G148" i="5" s="1"/>
  <c r="E148" i="5" s="1"/>
  <c r="F149" i="5" s="1"/>
  <c r="F245" i="8" l="1"/>
  <c r="G245" i="8" s="1"/>
  <c r="E245" i="8" s="1"/>
  <c r="D149" i="5"/>
  <c r="G149" i="5" s="1"/>
  <c r="E149" i="5" s="1"/>
  <c r="F150" i="5" s="1"/>
  <c r="H246" i="8" l="1"/>
  <c r="F246" i="8"/>
  <c r="D150" i="5"/>
  <c r="G150" i="5" s="1"/>
  <c r="E150" i="5" s="1"/>
  <c r="F151" i="5" s="1"/>
  <c r="G246" i="8" l="1"/>
  <c r="E246" i="8" s="1"/>
  <c r="H247" i="8" s="1"/>
  <c r="D151" i="5"/>
  <c r="G151" i="5" s="1"/>
  <c r="E151" i="5" s="1"/>
  <c r="F152" i="5" s="1"/>
  <c r="F247" i="8" l="1"/>
  <c r="G247" i="8" s="1"/>
  <c r="E247" i="8" s="1"/>
  <c r="D152" i="5"/>
  <c r="G152" i="5" s="1"/>
  <c r="E152" i="5" s="1"/>
  <c r="D153" i="5" s="1"/>
  <c r="H248" i="8" l="1"/>
  <c r="F248" i="8"/>
  <c r="F153" i="5"/>
  <c r="G153" i="5" s="1"/>
  <c r="E153" i="5" s="1"/>
  <c r="F154" i="5" s="1"/>
  <c r="G248" i="8" l="1"/>
  <c r="E248" i="8" s="1"/>
  <c r="D154" i="5"/>
  <c r="G154" i="5" s="1"/>
  <c r="E154" i="5" s="1"/>
  <c r="H249" i="8" l="1"/>
  <c r="F249" i="8"/>
  <c r="D155" i="5"/>
  <c r="F155" i="5"/>
  <c r="G249" i="8" l="1"/>
  <c r="E249" i="8" s="1"/>
  <c r="G155" i="5"/>
  <c r="E155" i="5" s="1"/>
  <c r="D156" i="5" s="1"/>
  <c r="H250" i="8" l="1"/>
  <c r="F250" i="8"/>
  <c r="F156" i="5"/>
  <c r="G156" i="5" s="1"/>
  <c r="E156" i="5" s="1"/>
  <c r="F157" i="5" s="1"/>
  <c r="G250" i="8" l="1"/>
  <c r="E250" i="8" s="1"/>
  <c r="F251" i="8" s="1"/>
  <c r="D157" i="5"/>
  <c r="G157" i="5" s="1"/>
  <c r="E157" i="5" s="1"/>
  <c r="H251" i="8" l="1"/>
  <c r="G251" i="8" s="1"/>
  <c r="E251" i="8" s="1"/>
  <c r="F252" i="8" s="1"/>
  <c r="D158" i="5"/>
  <c r="F158" i="5"/>
  <c r="H252" i="8" l="1"/>
  <c r="G252" i="8" s="1"/>
  <c r="E252" i="8" s="1"/>
  <c r="G158" i="5"/>
  <c r="E158" i="5" s="1"/>
  <c r="F159" i="5" s="1"/>
  <c r="H253" i="8" l="1"/>
  <c r="F253" i="8"/>
  <c r="D159" i="5"/>
  <c r="G159" i="5" s="1"/>
  <c r="E159" i="5" s="1"/>
  <c r="F160" i="5" s="1"/>
  <c r="G253" i="8" l="1"/>
  <c r="E253" i="8" s="1"/>
  <c r="D160" i="5"/>
  <c r="H254" i="8" l="1"/>
  <c r="F254" i="8"/>
  <c r="G160" i="5"/>
  <c r="E160" i="5" s="1"/>
  <c r="F161" i="5" s="1"/>
  <c r="G254" i="8" l="1"/>
  <c r="E254" i="8" s="1"/>
  <c r="F255" i="8" s="1"/>
  <c r="D161" i="5"/>
  <c r="G161" i="5" s="1"/>
  <c r="E161" i="5" s="1"/>
  <c r="F162" i="5" s="1"/>
  <c r="H255" i="8" l="1"/>
  <c r="G255" i="8" s="1"/>
  <c r="E255" i="8" s="1"/>
  <c r="D162" i="5"/>
  <c r="H256" i="8" l="1"/>
  <c r="F256" i="8"/>
  <c r="G162" i="5"/>
  <c r="E162" i="5" s="1"/>
  <c r="F163" i="5" s="1"/>
  <c r="G256" i="8" l="1"/>
  <c r="E256" i="8" s="1"/>
  <c r="D163" i="5"/>
  <c r="H257" i="8" l="1"/>
  <c r="F257" i="8"/>
  <c r="G163" i="5"/>
  <c r="E163" i="5" s="1"/>
  <c r="F164" i="5" s="1"/>
  <c r="G257" i="8" l="1"/>
  <c r="E257" i="8" s="1"/>
  <c r="D164" i="5"/>
  <c r="H258" i="8" l="1"/>
  <c r="F258" i="8"/>
  <c r="G164" i="5"/>
  <c r="E164" i="5" s="1"/>
  <c r="G258" i="8" l="1"/>
  <c r="E258" i="8" s="1"/>
  <c r="D165" i="5"/>
  <c r="F165" i="5"/>
  <c r="H259" i="8" l="1"/>
  <c r="F259" i="8"/>
  <c r="G165" i="5"/>
  <c r="E165" i="5" s="1"/>
  <c r="F166" i="5" s="1"/>
  <c r="G259" i="8" l="1"/>
  <c r="E259" i="8" s="1"/>
  <c r="D166" i="5"/>
  <c r="G166" i="5" s="1"/>
  <c r="E166" i="5" s="1"/>
  <c r="F167" i="5" s="1"/>
  <c r="H260" i="8" l="1"/>
  <c r="F260" i="8"/>
  <c r="D167" i="5"/>
  <c r="G260" i="8" l="1"/>
  <c r="E260" i="8" s="1"/>
  <c r="F261" i="8" s="1"/>
  <c r="G167" i="5"/>
  <c r="E167" i="5" s="1"/>
  <c r="H261" i="8" l="1"/>
  <c r="G261" i="8" s="1"/>
  <c r="E261" i="8" s="1"/>
  <c r="H262" i="8" s="1"/>
  <c r="D168" i="5"/>
  <c r="F168" i="5"/>
  <c r="F262" i="8" l="1"/>
  <c r="G262" i="8" s="1"/>
  <c r="E262" i="8" s="1"/>
  <c r="G168" i="5"/>
  <c r="E168" i="5" s="1"/>
  <c r="D169" i="5" s="1"/>
  <c r="H263" i="8" l="1"/>
  <c r="F263" i="8"/>
  <c r="F169" i="5"/>
  <c r="G169" i="5" s="1"/>
  <c r="E169" i="5" s="1"/>
  <c r="G263" i="8" l="1"/>
  <c r="E263" i="8" s="1"/>
  <c r="F264" i="8" s="1"/>
  <c r="D170" i="5"/>
  <c r="F170" i="5"/>
  <c r="H264" i="8" l="1"/>
  <c r="G264" i="8" s="1"/>
  <c r="E264" i="8" s="1"/>
  <c r="H265" i="8" s="1"/>
  <c r="G170" i="5"/>
  <c r="E170" i="5" s="1"/>
  <c r="D171" i="5" s="1"/>
  <c r="F265" i="8" l="1"/>
  <c r="G265" i="8" s="1"/>
  <c r="E265" i="8" s="1"/>
  <c r="F171" i="5"/>
  <c r="G171" i="5" s="1"/>
  <c r="E171" i="5" s="1"/>
  <c r="F172" i="5" s="1"/>
  <c r="H266" i="8" l="1"/>
  <c r="F266" i="8"/>
  <c r="D172" i="5"/>
  <c r="G172" i="5" s="1"/>
  <c r="E172" i="5" s="1"/>
  <c r="F173" i="5" s="1"/>
  <c r="G266" i="8" l="1"/>
  <c r="E266" i="8" s="1"/>
  <c r="F267" i="8" s="1"/>
  <c r="D173" i="5"/>
  <c r="G173" i="5" s="1"/>
  <c r="E173" i="5" s="1"/>
  <c r="D174" i="5" s="1"/>
  <c r="H267" i="8" l="1"/>
  <c r="G267" i="8" s="1"/>
  <c r="E267" i="8" s="1"/>
  <c r="F174" i="5"/>
  <c r="G174" i="5" s="1"/>
  <c r="E174" i="5" s="1"/>
  <c r="F268" i="8" l="1"/>
  <c r="H268" i="8"/>
  <c r="D175" i="5"/>
  <c r="F175" i="5"/>
  <c r="G268" i="8" l="1"/>
  <c r="E268" i="8" s="1"/>
  <c r="G175" i="5"/>
  <c r="E175" i="5" s="1"/>
  <c r="F176" i="5" s="1"/>
  <c r="F269" i="8" l="1"/>
  <c r="H269" i="8"/>
  <c r="D176" i="5"/>
  <c r="G176" i="5" s="1"/>
  <c r="E176" i="5" s="1"/>
  <c r="F177" i="5" s="1"/>
  <c r="G269" i="8" l="1"/>
  <c r="E269" i="8" s="1"/>
  <c r="D177" i="5"/>
  <c r="G177" i="5" s="1"/>
  <c r="E177" i="5" s="1"/>
  <c r="F270" i="8" l="1"/>
  <c r="H270" i="8"/>
  <c r="D178" i="5"/>
  <c r="F178" i="5"/>
  <c r="G270" i="8" l="1"/>
  <c r="E270" i="8" s="1"/>
  <c r="G178" i="5"/>
  <c r="E178" i="5" s="1"/>
  <c r="D179" i="5" s="1"/>
  <c r="F271" i="8" l="1"/>
  <c r="H271" i="8"/>
  <c r="F179" i="5"/>
  <c r="G179" i="5" s="1"/>
  <c r="E179" i="5" s="1"/>
  <c r="F180" i="5" s="1"/>
  <c r="G271" i="8" l="1"/>
  <c r="E271" i="8" s="1"/>
  <c r="D180" i="5"/>
  <c r="G180" i="5" s="1"/>
  <c r="E180" i="5" s="1"/>
  <c r="F272" i="8" l="1"/>
  <c r="H272" i="8"/>
  <c r="D181" i="5"/>
  <c r="F181" i="5"/>
  <c r="G272" i="8" l="1"/>
  <c r="E272" i="8" s="1"/>
  <c r="G181" i="5"/>
  <c r="E181" i="5" s="1"/>
  <c r="D182" i="5" s="1"/>
  <c r="F273" i="8" l="1"/>
  <c r="H273" i="8"/>
  <c r="F182" i="5"/>
  <c r="G182" i="5" s="1"/>
  <c r="E182" i="5" s="1"/>
  <c r="G273" i="8" l="1"/>
  <c r="E273" i="8" s="1"/>
  <c r="D183" i="5"/>
  <c r="F183" i="5"/>
  <c r="F274" i="8" l="1"/>
  <c r="H274" i="8"/>
  <c r="G183" i="5"/>
  <c r="E183" i="5" s="1"/>
  <c r="D184" i="5" s="1"/>
  <c r="G274" i="8" l="1"/>
  <c r="E274" i="8" s="1"/>
  <c r="F184" i="5"/>
  <c r="G184" i="5" s="1"/>
  <c r="E184" i="5" s="1"/>
  <c r="F185" i="5" s="1"/>
  <c r="F275" i="8" l="1"/>
  <c r="H275" i="8"/>
  <c r="D185" i="5"/>
  <c r="G185" i="5" s="1"/>
  <c r="E185" i="5" s="1"/>
  <c r="F186" i="5" s="1"/>
  <c r="G275" i="8" l="1"/>
  <c r="E275" i="8" s="1"/>
  <c r="D186" i="5"/>
  <c r="G186" i="5" s="1"/>
  <c r="E186" i="5" s="1"/>
  <c r="F276" i="8" l="1"/>
  <c r="H276" i="8"/>
  <c r="F187" i="5"/>
  <c r="D187" i="5"/>
  <c r="G276" i="8" l="1"/>
  <c r="E276" i="8" s="1"/>
  <c r="G187" i="5"/>
  <c r="E187" i="5" s="1"/>
  <c r="F188" i="5" s="1"/>
  <c r="F277" i="8" l="1"/>
  <c r="H277" i="8"/>
  <c r="D188" i="5"/>
  <c r="G188" i="5" s="1"/>
  <c r="E188" i="5" s="1"/>
  <c r="D189" i="5" s="1"/>
  <c r="G277" i="8" l="1"/>
  <c r="E277" i="8" s="1"/>
  <c r="F189" i="5"/>
  <c r="G189" i="5" s="1"/>
  <c r="E189" i="5" s="1"/>
  <c r="F190" i="5" s="1"/>
  <c r="F278" i="8" l="1"/>
  <c r="H278" i="8"/>
  <c r="D190" i="5"/>
  <c r="G190" i="5" s="1"/>
  <c r="E190" i="5" s="1"/>
  <c r="D191" i="5" s="1"/>
  <c r="G278" i="8" l="1"/>
  <c r="E278" i="8" s="1"/>
  <c r="F191" i="5"/>
  <c r="G191" i="5" s="1"/>
  <c r="E191" i="5" s="1"/>
  <c r="F279" i="8" l="1"/>
  <c r="H279" i="8"/>
  <c r="F192" i="5"/>
  <c r="D192" i="5"/>
  <c r="G279" i="8" l="1"/>
  <c r="E279" i="8" s="1"/>
  <c r="G192" i="5"/>
  <c r="E192" i="5" s="1"/>
  <c r="F193" i="5" s="1"/>
  <c r="F280" i="8" l="1"/>
  <c r="H280" i="8"/>
  <c r="D193" i="5"/>
  <c r="G193" i="5" s="1"/>
  <c r="E193" i="5" s="1"/>
  <c r="G280" i="8" l="1"/>
  <c r="E280" i="8" s="1"/>
  <c r="F194" i="5"/>
  <c r="D194" i="5"/>
  <c r="F281" i="8" l="1"/>
  <c r="H281" i="8"/>
  <c r="G194" i="5"/>
  <c r="E194" i="5" s="1"/>
  <c r="D195" i="5" s="1"/>
  <c r="G281" i="8" l="1"/>
  <c r="E281" i="8" s="1"/>
  <c r="F195" i="5"/>
  <c r="G195" i="5" s="1"/>
  <c r="E195" i="5" s="1"/>
  <c r="F282" i="8" l="1"/>
  <c r="H282" i="8"/>
  <c r="F196" i="5"/>
  <c r="D196" i="5"/>
  <c r="G282" i="8" l="1"/>
  <c r="E282" i="8" s="1"/>
  <c r="G196" i="5"/>
  <c r="E196" i="5" s="1"/>
  <c r="F197" i="5" s="1"/>
  <c r="F283" i="8" l="1"/>
  <c r="H283" i="8"/>
  <c r="D197" i="5"/>
  <c r="G197" i="5" s="1"/>
  <c r="E197" i="5" s="1"/>
  <c r="G283" i="8" l="1"/>
  <c r="E283" i="8" s="1"/>
  <c r="F198" i="5"/>
  <c r="D198" i="5"/>
  <c r="G198" i="5" l="1"/>
  <c r="E198" i="5" s="1"/>
  <c r="F284" i="8"/>
  <c r="H284" i="8"/>
  <c r="F199" i="5"/>
  <c r="D199" i="5"/>
  <c r="D200" i="5"/>
  <c r="G199" i="5" l="1"/>
  <c r="E199" i="5" s="1"/>
  <c r="F200" i="5" s="1"/>
  <c r="G200" i="5" s="1"/>
  <c r="E200" i="5" s="1"/>
  <c r="G284" i="8"/>
  <c r="E284" i="8" s="1"/>
  <c r="F285" i="8" l="1"/>
  <c r="H285" i="8"/>
  <c r="D201" i="5"/>
  <c r="F201" i="5"/>
  <c r="G285" i="8" l="1"/>
  <c r="E285" i="8" s="1"/>
  <c r="G201" i="5"/>
  <c r="E201" i="5" s="1"/>
  <c r="D202" i="5" s="1"/>
  <c r="F286" i="8" l="1"/>
  <c r="H286" i="8"/>
  <c r="F202" i="5"/>
  <c r="G202" i="5" s="1"/>
  <c r="E202" i="5" s="1"/>
  <c r="G286" i="8" l="1"/>
  <c r="E286" i="8" s="1"/>
  <c r="F203" i="5"/>
  <c r="D203" i="5"/>
  <c r="F287" i="8" l="1"/>
  <c r="H287" i="8"/>
  <c r="G203" i="5"/>
  <c r="E203" i="5" s="1"/>
  <c r="D204" i="5" s="1"/>
  <c r="F204" i="5"/>
  <c r="G287" i="8" l="1"/>
  <c r="E287" i="8" s="1"/>
  <c r="G204" i="5"/>
  <c r="E204" i="5" s="1"/>
  <c r="D205" i="5" s="1"/>
  <c r="F205" i="5"/>
  <c r="F288" i="8" l="1"/>
  <c r="H288" i="8"/>
  <c r="G205" i="5"/>
  <c r="E205" i="5" s="1"/>
  <c r="F206" i="5" s="1"/>
  <c r="G288" i="8" l="1"/>
  <c r="E288" i="8" s="1"/>
  <c r="D206" i="5"/>
  <c r="G206" i="5" s="1"/>
  <c r="E206" i="5" s="1"/>
  <c r="F289" i="8" l="1"/>
  <c r="H289" i="8"/>
  <c r="D207" i="5"/>
  <c r="F207" i="5"/>
  <c r="G207" i="5" l="1"/>
  <c r="E207" i="5" s="1"/>
  <c r="G289" i="8"/>
  <c r="E289" i="8" s="1"/>
  <c r="F208" i="5"/>
  <c r="D208" i="5"/>
  <c r="H290" i="8" l="1"/>
  <c r="F290" i="8"/>
  <c r="G208" i="5"/>
  <c r="E208" i="5" s="1"/>
  <c r="F209" i="5"/>
  <c r="D209" i="5"/>
  <c r="G290" i="8" l="1"/>
  <c r="E290" i="8" s="1"/>
  <c r="F291" i="8" s="1"/>
  <c r="H291" i="8"/>
  <c r="G209" i="5"/>
  <c r="E209" i="5" s="1"/>
  <c r="F210" i="5"/>
  <c r="D210" i="5"/>
  <c r="G291" i="8" l="1"/>
  <c r="E291" i="8" s="1"/>
  <c r="G210" i="5"/>
  <c r="E210" i="5" s="1"/>
  <c r="D211" i="5"/>
  <c r="F211" i="5"/>
  <c r="F292" i="8" l="1"/>
  <c r="H292" i="8"/>
  <c r="G211" i="5"/>
  <c r="E211" i="5" s="1"/>
  <c r="G292" i="8" l="1"/>
  <c r="E292" i="8" s="1"/>
  <c r="D212" i="5"/>
  <c r="F212" i="5"/>
  <c r="F293" i="8" l="1"/>
  <c r="H293" i="8"/>
  <c r="G212" i="5"/>
  <c r="E212" i="5" s="1"/>
  <c r="G293" i="8" l="1"/>
  <c r="E293" i="8" s="1"/>
  <c r="F213" i="5"/>
  <c r="D213" i="5"/>
  <c r="H294" i="8" l="1"/>
  <c r="F294" i="8"/>
  <c r="G294" i="8" s="1"/>
  <c r="E294" i="8" s="1"/>
  <c r="G213" i="5"/>
  <c r="E213" i="5" s="1"/>
  <c r="D214" i="5"/>
  <c r="F214" i="5"/>
  <c r="F295" i="8" l="1"/>
  <c r="H295" i="8"/>
  <c r="G214" i="5"/>
  <c r="E214" i="5" s="1"/>
  <c r="D215" i="5"/>
  <c r="F215" i="5"/>
  <c r="G295" i="8" l="1"/>
  <c r="E295" i="8" s="1"/>
  <c r="G215" i="5"/>
  <c r="E215" i="5" s="1"/>
  <c r="D216" i="5"/>
  <c r="F216" i="5"/>
  <c r="F296" i="8" l="1"/>
  <c r="H296" i="8"/>
  <c r="G216" i="5"/>
  <c r="E216" i="5" s="1"/>
  <c r="G296" i="8" l="1"/>
  <c r="E296" i="8" s="1"/>
  <c r="F297" i="8" s="1"/>
  <c r="H297" i="8"/>
  <c r="F217" i="5"/>
  <c r="D217" i="5"/>
  <c r="G297" i="8" l="1"/>
  <c r="E297" i="8" s="1"/>
  <c r="G217" i="5"/>
  <c r="E217" i="5" s="1"/>
  <c r="D218" i="5"/>
  <c r="F218" i="5"/>
  <c r="H298" i="8" l="1"/>
  <c r="F298" i="8"/>
  <c r="G218" i="5"/>
  <c r="E218" i="5" s="1"/>
  <c r="F219" i="5"/>
  <c r="D219" i="5"/>
  <c r="G298" i="8" l="1"/>
  <c r="E298" i="8" s="1"/>
  <c r="F299" i="8" s="1"/>
  <c r="H299" i="8"/>
  <c r="G219" i="5"/>
  <c r="E219" i="5" s="1"/>
  <c r="F220" i="5"/>
  <c r="D220" i="5"/>
  <c r="G299" i="8" l="1"/>
  <c r="E299" i="8" s="1"/>
  <c r="G220" i="5"/>
  <c r="E220" i="5" s="1"/>
  <c r="D221" i="5"/>
  <c r="F221" i="5"/>
  <c r="F300" i="8" l="1"/>
  <c r="H300" i="8"/>
  <c r="G221" i="5"/>
  <c r="E221" i="5" s="1"/>
  <c r="G300" i="8" l="1"/>
  <c r="E300" i="8" s="1"/>
  <c r="F222" i="5"/>
  <c r="D222" i="5"/>
  <c r="F301" i="8" l="1"/>
  <c r="H301" i="8"/>
  <c r="G222" i="5"/>
  <c r="E222" i="5" s="1"/>
  <c r="D223" i="5"/>
  <c r="F223" i="5"/>
  <c r="G301" i="8" l="1"/>
  <c r="E301" i="8" s="1"/>
  <c r="G223" i="5"/>
  <c r="E223" i="5" s="1"/>
  <c r="F302" i="8" l="1"/>
  <c r="H302" i="8"/>
  <c r="D224" i="5"/>
  <c r="F224" i="5"/>
  <c r="G302" i="8" l="1"/>
  <c r="E302" i="8" s="1"/>
  <c r="G224" i="5"/>
  <c r="E224" i="5" s="1"/>
  <c r="F303" i="8" l="1"/>
  <c r="H303" i="8"/>
  <c r="F225" i="5"/>
  <c r="D225" i="5"/>
  <c r="G303" i="8" l="1"/>
  <c r="E303" i="8" s="1"/>
  <c r="G225" i="5"/>
  <c r="E225" i="5" s="1"/>
  <c r="F226" i="5"/>
  <c r="D226" i="5"/>
  <c r="F304" i="8" l="1"/>
  <c r="H304" i="8"/>
  <c r="G226" i="5"/>
  <c r="E226" i="5" s="1"/>
  <c r="D227" i="5"/>
  <c r="F227" i="5"/>
  <c r="G304" i="8" l="1"/>
  <c r="E304" i="8" s="1"/>
  <c r="G227" i="5"/>
  <c r="E227" i="5" s="1"/>
  <c r="F305" i="8" l="1"/>
  <c r="H305" i="8"/>
  <c r="F228" i="5"/>
  <c r="D228" i="5"/>
  <c r="G305" i="8" l="1"/>
  <c r="E305" i="8" s="1"/>
  <c r="G228" i="5"/>
  <c r="E228" i="5" s="1"/>
  <c r="D229" i="5"/>
  <c r="F229" i="5"/>
  <c r="F306" i="8" l="1"/>
  <c r="H306" i="8"/>
  <c r="G229" i="5"/>
  <c r="E229" i="5" s="1"/>
  <c r="G306" i="8" l="1"/>
  <c r="E306" i="8" s="1"/>
  <c r="F230" i="5"/>
  <c r="D230" i="5"/>
  <c r="F307" i="8" l="1"/>
  <c r="H307" i="8"/>
  <c r="G230" i="5"/>
  <c r="E230" i="5" s="1"/>
  <c r="F231" i="5" s="1"/>
  <c r="G307" i="8" l="1"/>
  <c r="E307" i="8" s="1"/>
  <c r="D231" i="5"/>
  <c r="G231" i="5" s="1"/>
  <c r="E231" i="5" s="1"/>
  <c r="F308" i="8" l="1"/>
  <c r="H308" i="8"/>
  <c r="F232" i="5"/>
  <c r="D232" i="5"/>
  <c r="G308" i="8" l="1"/>
  <c r="E308" i="8" s="1"/>
  <c r="G232" i="5"/>
  <c r="E232" i="5" s="1"/>
  <c r="F233" i="5" s="1"/>
  <c r="H309" i="8" l="1"/>
  <c r="F309" i="8"/>
  <c r="D233" i="5"/>
  <c r="G233" i="5" s="1"/>
  <c r="E233" i="5" s="1"/>
  <c r="G309" i="8" l="1"/>
  <c r="E309" i="8" s="1"/>
  <c r="F310" i="8" s="1"/>
  <c r="H310" i="8"/>
  <c r="D234" i="5"/>
  <c r="F234" i="5"/>
  <c r="G234" i="5" l="1"/>
  <c r="E234" i="5" s="1"/>
  <c r="G310" i="8"/>
  <c r="E310" i="8" s="1"/>
  <c r="F311" i="8" s="1"/>
  <c r="H311" i="8"/>
  <c r="F235" i="5"/>
  <c r="D235" i="5"/>
  <c r="G235" i="5" l="1"/>
  <c r="E235" i="5" s="1"/>
  <c r="G311" i="8"/>
  <c r="E311" i="8" s="1"/>
  <c r="F236" i="5"/>
  <c r="D236" i="5"/>
  <c r="G236" i="5" l="1"/>
  <c r="E236" i="5" s="1"/>
  <c r="F312" i="8"/>
  <c r="H312" i="8"/>
  <c r="F237" i="5"/>
  <c r="D237" i="5"/>
  <c r="G312" i="8" l="1"/>
  <c r="E312" i="8" s="1"/>
  <c r="G237" i="5"/>
  <c r="E237" i="5" s="1"/>
  <c r="F238" i="5" s="1"/>
  <c r="D238" i="5"/>
  <c r="F313" i="8" l="1"/>
  <c r="H313" i="8"/>
  <c r="G238" i="5"/>
  <c r="E238" i="5" s="1"/>
  <c r="F239" i="5" s="1"/>
  <c r="D239" i="5"/>
  <c r="G313" i="8" l="1"/>
  <c r="E313" i="8" s="1"/>
  <c r="G239" i="5"/>
  <c r="E239" i="5" s="1"/>
  <c r="F240" i="5"/>
  <c r="D240" i="5"/>
  <c r="F314" i="8" l="1"/>
  <c r="H314" i="8"/>
  <c r="G240" i="5"/>
  <c r="E240" i="5" s="1"/>
  <c r="D241" i="5" s="1"/>
  <c r="G314" i="8" l="1"/>
  <c r="E314" i="8" s="1"/>
  <c r="F241" i="5"/>
  <c r="G241" i="5" s="1"/>
  <c r="E241" i="5" s="1"/>
  <c r="F315" i="8" l="1"/>
  <c r="H315" i="8"/>
  <c r="F242" i="5"/>
  <c r="D242" i="5"/>
  <c r="G315" i="8" l="1"/>
  <c r="E315" i="8" s="1"/>
  <c r="G242" i="5"/>
  <c r="E242" i="5" s="1"/>
  <c r="D243" i="5"/>
  <c r="F243" i="5"/>
  <c r="F316" i="8" l="1"/>
  <c r="H316" i="8"/>
  <c r="G243" i="5"/>
  <c r="E243" i="5" s="1"/>
  <c r="D244" i="5"/>
  <c r="F244" i="5"/>
  <c r="G316" i="8" l="1"/>
  <c r="E316" i="8" s="1"/>
  <c r="G244" i="5"/>
  <c r="E244" i="5" s="1"/>
  <c r="D245" i="5" s="1"/>
  <c r="F317" i="8" l="1"/>
  <c r="H317" i="8"/>
  <c r="F245" i="5"/>
  <c r="G245" i="5" s="1"/>
  <c r="E245" i="5" s="1"/>
  <c r="G317" i="8" l="1"/>
  <c r="E317" i="8" s="1"/>
  <c r="F246" i="5"/>
  <c r="D246" i="5"/>
  <c r="F318" i="8" l="1"/>
  <c r="H318" i="8"/>
  <c r="G246" i="5"/>
  <c r="E246" i="5" s="1"/>
  <c r="D247" i="5" s="1"/>
  <c r="G318" i="8" l="1"/>
  <c r="E318" i="8" s="1"/>
  <c r="F247" i="5"/>
  <c r="G247" i="5" s="1"/>
  <c r="E247" i="5" s="1"/>
  <c r="F319" i="8" l="1"/>
  <c r="H319" i="8"/>
  <c r="F248" i="5"/>
  <c r="D248" i="5"/>
  <c r="G319" i="8" l="1"/>
  <c r="E319" i="8" s="1"/>
  <c r="G248" i="5"/>
  <c r="E248" i="5" s="1"/>
  <c r="F249" i="5"/>
  <c r="D249" i="5"/>
  <c r="F320" i="8" l="1"/>
  <c r="H320" i="8"/>
  <c r="G249" i="5"/>
  <c r="E249" i="5" s="1"/>
  <c r="D250" i="5"/>
  <c r="F250" i="5"/>
  <c r="G320" i="8" l="1"/>
  <c r="E320" i="8" s="1"/>
  <c r="G250" i="5"/>
  <c r="E250" i="5" s="1"/>
  <c r="F251" i="5"/>
  <c r="D251" i="5"/>
  <c r="F321" i="8" l="1"/>
  <c r="H321" i="8"/>
  <c r="G251" i="5"/>
  <c r="E251" i="5" s="1"/>
  <c r="F252" i="5" s="1"/>
  <c r="G321" i="8" l="1"/>
  <c r="E321" i="8" s="1"/>
  <c r="D252" i="5"/>
  <c r="G252" i="5" s="1"/>
  <c r="E252" i="5" s="1"/>
  <c r="D253" i="5" s="1"/>
  <c r="H322" i="8" l="1"/>
  <c r="F322" i="8"/>
  <c r="F253" i="5"/>
  <c r="G253" i="5" s="1"/>
  <c r="E253" i="5" s="1"/>
  <c r="G322" i="8" l="1"/>
  <c r="E322" i="8" s="1"/>
  <c r="F323" i="8" s="1"/>
  <c r="H323" i="8"/>
  <c r="F254" i="5"/>
  <c r="D254" i="5"/>
  <c r="G323" i="8" l="1"/>
  <c r="E323" i="8" s="1"/>
  <c r="G254" i="5"/>
  <c r="E254" i="5" s="1"/>
  <c r="F255" i="5" s="1"/>
  <c r="F324" i="8" l="1"/>
  <c r="H324" i="8"/>
  <c r="D255" i="5"/>
  <c r="G255" i="5" s="1"/>
  <c r="E255" i="5" s="1"/>
  <c r="D256" i="5"/>
  <c r="F256" i="5"/>
  <c r="G324" i="8" l="1"/>
  <c r="E324" i="8" s="1"/>
  <c r="G256" i="5"/>
  <c r="E256" i="5" s="1"/>
  <c r="F325" i="8" l="1"/>
  <c r="H325" i="8"/>
  <c r="F257" i="5"/>
  <c r="D257" i="5"/>
  <c r="G325" i="8" l="1"/>
  <c r="E325" i="8" s="1"/>
  <c r="G257" i="5"/>
  <c r="E257" i="5" s="1"/>
  <c r="F258" i="5" s="1"/>
  <c r="F326" i="8" l="1"/>
  <c r="H326" i="8"/>
  <c r="D258" i="5"/>
  <c r="G258" i="5" s="1"/>
  <c r="E258" i="5" s="1"/>
  <c r="G326" i="8" l="1"/>
  <c r="E326" i="8" s="1"/>
  <c r="F259" i="5"/>
  <c r="D259" i="5"/>
  <c r="H327" i="8" l="1"/>
  <c r="F327" i="8"/>
  <c r="G259" i="5"/>
  <c r="E259" i="5" s="1"/>
  <c r="F260" i="5"/>
  <c r="D260" i="5"/>
  <c r="G327" i="8" l="1"/>
  <c r="E327" i="8" s="1"/>
  <c r="F328" i="8" s="1"/>
  <c r="H328" i="8"/>
  <c r="G260" i="5"/>
  <c r="E260" i="5" s="1"/>
  <c r="F261" i="5"/>
  <c r="D261" i="5"/>
  <c r="G328" i="8" l="1"/>
  <c r="E328" i="8" s="1"/>
  <c r="G261" i="5"/>
  <c r="E261" i="5" s="1"/>
  <c r="D262" i="5"/>
  <c r="F262" i="5"/>
  <c r="F329" i="8" l="1"/>
  <c r="H329" i="8"/>
  <c r="G262" i="5"/>
  <c r="E262" i="5" s="1"/>
  <c r="F263" i="5"/>
  <c r="D263" i="5"/>
  <c r="G329" i="8" l="1"/>
  <c r="E329" i="8" s="1"/>
  <c r="G263" i="5"/>
  <c r="E263" i="5" s="1"/>
  <c r="F264" i="5" s="1"/>
  <c r="D264" i="5"/>
  <c r="F330" i="8" l="1"/>
  <c r="H330" i="8"/>
  <c r="G264" i="5"/>
  <c r="E264" i="5" s="1"/>
  <c r="F265" i="5"/>
  <c r="D265" i="5"/>
  <c r="G330" i="8" l="1"/>
  <c r="E330" i="8" s="1"/>
  <c r="G265" i="5"/>
  <c r="E265" i="5" s="1"/>
  <c r="F266" i="5"/>
  <c r="D266" i="5"/>
  <c r="F331" i="8" l="1"/>
  <c r="H331" i="8"/>
  <c r="G266" i="5"/>
  <c r="E266" i="5" s="1"/>
  <c r="D267" i="5"/>
  <c r="F267" i="5"/>
  <c r="G331" i="8" l="1"/>
  <c r="E331" i="8" s="1"/>
  <c r="G267" i="5"/>
  <c r="E267" i="5" s="1"/>
  <c r="F332" i="8" l="1"/>
  <c r="H332" i="8"/>
  <c r="F268" i="5"/>
  <c r="D268" i="5"/>
  <c r="G332" i="8" l="1"/>
  <c r="E332" i="8" s="1"/>
  <c r="G268" i="5"/>
  <c r="E268" i="5" s="1"/>
  <c r="D269" i="5" s="1"/>
  <c r="F269" i="5"/>
  <c r="F333" i="8" l="1"/>
  <c r="H333" i="8"/>
  <c r="G269" i="5"/>
  <c r="E269" i="5" s="1"/>
  <c r="G333" i="8" l="1"/>
  <c r="E333" i="8" s="1"/>
  <c r="F270" i="5"/>
  <c r="D270" i="5"/>
  <c r="F334" i="8" l="1"/>
  <c r="H334" i="8"/>
  <c r="G270" i="5"/>
  <c r="E270" i="5" s="1"/>
  <c r="F271" i="5"/>
  <c r="D271" i="5"/>
  <c r="G334" i="8" l="1"/>
  <c r="E334" i="8" s="1"/>
  <c r="G271" i="5"/>
  <c r="E271" i="5" s="1"/>
  <c r="D272" i="5"/>
  <c r="F272" i="5"/>
  <c r="F335" i="8" l="1"/>
  <c r="H335" i="8"/>
  <c r="G272" i="5"/>
  <c r="E272" i="5" s="1"/>
  <c r="G335" i="8" l="1"/>
  <c r="E335" i="8" s="1"/>
  <c r="D273" i="5"/>
  <c r="F273" i="5"/>
  <c r="F336" i="8" l="1"/>
  <c r="H336" i="8"/>
  <c r="G273" i="5"/>
  <c r="E273" i="5" s="1"/>
  <c r="F274" i="5"/>
  <c r="D274" i="5"/>
  <c r="G336" i="8" l="1"/>
  <c r="E336" i="8" s="1"/>
  <c r="G274" i="5"/>
  <c r="E274" i="5" s="1"/>
  <c r="F275" i="5"/>
  <c r="D275" i="5"/>
  <c r="H337" i="8" l="1"/>
  <c r="F337" i="8"/>
  <c r="G275" i="5"/>
  <c r="E275" i="5" s="1"/>
  <c r="F276" i="5"/>
  <c r="D276" i="5"/>
  <c r="G337" i="8" l="1"/>
  <c r="E337" i="8" s="1"/>
  <c r="F338" i="8" s="1"/>
  <c r="H338" i="8"/>
  <c r="G276" i="5"/>
  <c r="E276" i="5" s="1"/>
  <c r="F277" i="5"/>
  <c r="D277" i="5"/>
  <c r="G338" i="8" l="1"/>
  <c r="E338" i="8" s="1"/>
  <c r="G277" i="5"/>
  <c r="E277" i="5" s="1"/>
  <c r="F278" i="5"/>
  <c r="D278" i="5"/>
  <c r="F339" i="8" l="1"/>
  <c r="H339" i="8"/>
  <c r="G278" i="5"/>
  <c r="E278" i="5" s="1"/>
  <c r="F279" i="5"/>
  <c r="D279" i="5"/>
  <c r="G339" i="8" l="1"/>
  <c r="E339" i="8" s="1"/>
  <c r="G279" i="5"/>
  <c r="E279" i="5" s="1"/>
  <c r="F280" i="5" s="1"/>
  <c r="D280" i="5"/>
  <c r="F340" i="8" l="1"/>
  <c r="H340" i="8"/>
  <c r="G280" i="5"/>
  <c r="E280" i="5" s="1"/>
  <c r="F281" i="5"/>
  <c r="D281" i="5"/>
  <c r="G340" i="8" l="1"/>
  <c r="E340" i="8" s="1"/>
  <c r="G281" i="5"/>
  <c r="E281" i="5" s="1"/>
  <c r="D282" i="5"/>
  <c r="F282" i="5"/>
  <c r="F341" i="8" l="1"/>
  <c r="H341" i="8"/>
  <c r="G282" i="5"/>
  <c r="E282" i="5" s="1"/>
  <c r="D283" i="5" s="1"/>
  <c r="F283" i="5"/>
  <c r="G341" i="8" l="1"/>
  <c r="E341" i="8" s="1"/>
  <c r="G283" i="5"/>
  <c r="E283" i="5" s="1"/>
  <c r="F284" i="5"/>
  <c r="D284" i="5"/>
  <c r="F342" i="8" l="1"/>
  <c r="H342" i="8"/>
  <c r="G284" i="5"/>
  <c r="E284" i="5" s="1"/>
  <c r="D285" i="5"/>
  <c r="F285" i="5"/>
  <c r="G342" i="8" l="1"/>
  <c r="E342" i="8" s="1"/>
  <c r="G285" i="5"/>
  <c r="E285" i="5" s="1"/>
  <c r="D286" i="5"/>
  <c r="F286" i="5"/>
  <c r="H343" i="8" l="1"/>
  <c r="F343" i="8"/>
  <c r="G286" i="5"/>
  <c r="E286" i="5" s="1"/>
  <c r="G343" i="8" l="1"/>
  <c r="E343" i="8" s="1"/>
  <c r="F287" i="5"/>
  <c r="D287" i="5"/>
  <c r="H344" i="8" l="1"/>
  <c r="F344" i="8"/>
  <c r="G344" i="8" s="1"/>
  <c r="E344" i="8" s="1"/>
  <c r="G287" i="5"/>
  <c r="E287" i="5" s="1"/>
  <c r="D288" i="5" s="1"/>
  <c r="F288" i="5"/>
  <c r="F345" i="8" l="1"/>
  <c r="H345" i="8"/>
  <c r="G288" i="5"/>
  <c r="E288" i="5" s="1"/>
  <c r="G345" i="8" l="1"/>
  <c r="E345" i="8" s="1"/>
  <c r="F289" i="5"/>
  <c r="D289" i="5"/>
  <c r="F346" i="8" l="1"/>
  <c r="H346" i="8"/>
  <c r="G289" i="5"/>
  <c r="E289" i="5" s="1"/>
  <c r="D290" i="5"/>
  <c r="F290" i="5"/>
  <c r="G346" i="8" l="1"/>
  <c r="E346" i="8" s="1"/>
  <c r="G290" i="5"/>
  <c r="E290" i="5" s="1"/>
  <c r="H347" i="8" l="1"/>
  <c r="F347" i="8"/>
  <c r="F291" i="5"/>
  <c r="D291" i="5"/>
  <c r="G347" i="8" l="1"/>
  <c r="E347" i="8" s="1"/>
  <c r="F348" i="8" s="1"/>
  <c r="H348" i="8"/>
  <c r="G291" i="5"/>
  <c r="E291" i="5" s="1"/>
  <c r="F292" i="5"/>
  <c r="D292" i="5"/>
  <c r="G348" i="8" l="1"/>
  <c r="E348" i="8" s="1"/>
  <c r="G292" i="5"/>
  <c r="E292" i="5" s="1"/>
  <c r="D293" i="5"/>
  <c r="F293" i="5"/>
  <c r="F349" i="8" l="1"/>
  <c r="H349" i="8"/>
  <c r="G293" i="5"/>
  <c r="E293" i="5" s="1"/>
  <c r="G349" i="8" l="1"/>
  <c r="E349" i="8" s="1"/>
  <c r="F294" i="5"/>
  <c r="D294" i="5"/>
  <c r="F350" i="8" l="1"/>
  <c r="H350" i="8"/>
  <c r="G294" i="5"/>
  <c r="E294" i="5" s="1"/>
  <c r="F295" i="5"/>
  <c r="D295" i="5"/>
  <c r="G350" i="8" l="1"/>
  <c r="E350" i="8" s="1"/>
  <c r="G295" i="5"/>
  <c r="E295" i="5" s="1"/>
  <c r="F296" i="5" s="1"/>
  <c r="H351" i="8" l="1"/>
  <c r="F351" i="8"/>
  <c r="G351" i="8" s="1"/>
  <c r="E351" i="8" s="1"/>
  <c r="D296" i="5"/>
  <c r="G296" i="5" s="1"/>
  <c r="E296" i="5" s="1"/>
  <c r="F297" i="5"/>
  <c r="D297" i="5"/>
  <c r="F352" i="8" l="1"/>
  <c r="H352" i="8"/>
  <c r="G297" i="5"/>
  <c r="E297" i="5" s="1"/>
  <c r="F298" i="5"/>
  <c r="D298" i="5"/>
  <c r="G352" i="8" l="1"/>
  <c r="E352" i="8" s="1"/>
  <c r="G298" i="5"/>
  <c r="E298" i="5" s="1"/>
  <c r="D299" i="5"/>
  <c r="F299" i="5"/>
  <c r="F353" i="8" l="1"/>
  <c r="H353" i="8"/>
  <c r="G299" i="5"/>
  <c r="E299" i="5" s="1"/>
  <c r="G353" i="8" l="1"/>
  <c r="E353" i="8" s="1"/>
  <c r="F300" i="5"/>
  <c r="D300" i="5"/>
  <c r="F354" i="8" l="1"/>
  <c r="H354" i="8"/>
  <c r="G300" i="5"/>
  <c r="E300" i="5" s="1"/>
  <c r="F301" i="5" s="1"/>
  <c r="G354" i="8" l="1"/>
  <c r="E354" i="8" s="1"/>
  <c r="D301" i="5"/>
  <c r="G301" i="5" s="1"/>
  <c r="E301" i="5" s="1"/>
  <c r="F355" i="8" l="1"/>
  <c r="H355" i="8"/>
  <c r="F302" i="5"/>
  <c r="D302" i="5"/>
  <c r="G355" i="8" l="1"/>
  <c r="E355" i="8" s="1"/>
  <c r="G302" i="5"/>
  <c r="E302" i="5" s="1"/>
  <c r="F303" i="5"/>
  <c r="D303" i="5"/>
  <c r="F356" i="8" l="1"/>
  <c r="H356" i="8"/>
  <c r="G303" i="5"/>
  <c r="E303" i="5" s="1"/>
  <c r="D304" i="5"/>
  <c r="F304" i="5"/>
  <c r="G356" i="8" l="1"/>
  <c r="E356" i="8" s="1"/>
  <c r="G304" i="5"/>
  <c r="E304" i="5" s="1"/>
  <c r="F357" i="8" l="1"/>
  <c r="H357" i="8"/>
  <c r="F305" i="5"/>
  <c r="D305" i="5"/>
  <c r="G357" i="8" l="1"/>
  <c r="E357" i="8" s="1"/>
  <c r="G305" i="5"/>
  <c r="E305" i="5" s="1"/>
  <c r="F306" i="5"/>
  <c r="D306" i="5"/>
  <c r="F358" i="8" l="1"/>
  <c r="H358" i="8"/>
  <c r="G306" i="5"/>
  <c r="E306" i="5" s="1"/>
  <c r="F307" i="5"/>
  <c r="D307" i="5"/>
  <c r="G358" i="8" l="1"/>
  <c r="E358" i="8" s="1"/>
  <c r="G307" i="5"/>
  <c r="E307" i="5" s="1"/>
  <c r="F308" i="5"/>
  <c r="D308" i="5"/>
  <c r="F359" i="8" l="1"/>
  <c r="H359" i="8"/>
  <c r="G308" i="5"/>
  <c r="E308" i="5" s="1"/>
  <c r="F309" i="5" s="1"/>
  <c r="D309" i="5"/>
  <c r="G359" i="8" l="1"/>
  <c r="E359" i="8" s="1"/>
  <c r="G309" i="5"/>
  <c r="E309" i="5" s="1"/>
  <c r="F310" i="5" s="1"/>
  <c r="F360" i="8" l="1"/>
  <c r="H360" i="8"/>
  <c r="D310" i="5"/>
  <c r="G310" i="5" s="1"/>
  <c r="E310" i="5" s="1"/>
  <c r="G360" i="8" l="1"/>
  <c r="E360" i="8" s="1"/>
  <c r="F311" i="5"/>
  <c r="D311" i="5"/>
  <c r="F361" i="8" l="1"/>
  <c r="H361" i="8"/>
  <c r="G311" i="5"/>
  <c r="E311" i="5" s="1"/>
  <c r="D312" i="5"/>
  <c r="F312" i="5"/>
  <c r="G361" i="8" l="1"/>
  <c r="E361" i="8" s="1"/>
  <c r="G312" i="5"/>
  <c r="E312" i="5" s="1"/>
  <c r="F313" i="5"/>
  <c r="D313" i="5"/>
  <c r="F362" i="8" l="1"/>
  <c r="H362" i="8"/>
  <c r="G313" i="5"/>
  <c r="E313" i="5" s="1"/>
  <c r="D314" i="5"/>
  <c r="F314" i="5"/>
  <c r="G362" i="8" l="1"/>
  <c r="E362" i="8" s="1"/>
  <c r="G314" i="5"/>
  <c r="E314" i="5" s="1"/>
  <c r="F363" i="8" l="1"/>
  <c r="H363" i="8"/>
  <c r="D315" i="5"/>
  <c r="F315" i="5"/>
  <c r="G363" i="8" l="1"/>
  <c r="E363" i="8" s="1"/>
  <c r="G315" i="5"/>
  <c r="E315" i="5" s="1"/>
  <c r="F364" i="8" l="1"/>
  <c r="H364" i="8"/>
  <c r="F316" i="5"/>
  <c r="D316" i="5"/>
  <c r="G364" i="8" l="1"/>
  <c r="E364" i="8" s="1"/>
  <c r="G316" i="5"/>
  <c r="E316" i="5" s="1"/>
  <c r="F317" i="5" s="1"/>
  <c r="D317" i="5"/>
  <c r="F365" i="8" l="1"/>
  <c r="H365" i="8"/>
  <c r="G317" i="5"/>
  <c r="E317" i="5" s="1"/>
  <c r="F318" i="5"/>
  <c r="D318" i="5"/>
  <c r="G365" i="8" l="1"/>
  <c r="E365" i="8" s="1"/>
  <c r="G318" i="5"/>
  <c r="E318" i="5" s="1"/>
  <c r="F319" i="5"/>
  <c r="D319" i="5"/>
  <c r="F366" i="8" l="1"/>
  <c r="H366" i="8"/>
  <c r="G319" i="5"/>
  <c r="E319" i="5" s="1"/>
  <c r="D320" i="5"/>
  <c r="F320" i="5"/>
  <c r="G366" i="8" l="1"/>
  <c r="E366" i="8" s="1"/>
  <c r="G320" i="5"/>
  <c r="E320" i="5" s="1"/>
  <c r="F367" i="8" l="1"/>
  <c r="H367" i="8"/>
  <c r="F321" i="5"/>
  <c r="D321" i="5"/>
  <c r="G367" i="8" l="1"/>
  <c r="E367" i="8" s="1"/>
  <c r="G321" i="5"/>
  <c r="E321" i="5" s="1"/>
  <c r="F368" i="8" l="1"/>
  <c r="H368" i="8"/>
  <c r="F322" i="5"/>
  <c r="D322" i="5"/>
  <c r="G368" i="8" l="1"/>
  <c r="E368" i="8" s="1"/>
  <c r="G322" i="5"/>
  <c r="E322" i="5" s="1"/>
  <c r="F323" i="5"/>
  <c r="D323" i="5"/>
  <c r="F369" i="8" l="1"/>
  <c r="H369" i="8"/>
  <c r="G323" i="5"/>
  <c r="E323" i="5" s="1"/>
  <c r="F324" i="5"/>
  <c r="D324" i="5"/>
  <c r="G369" i="8" l="1"/>
  <c r="E369" i="8" s="1"/>
  <c r="G324" i="5"/>
  <c r="E324" i="5" s="1"/>
  <c r="F325" i="5"/>
  <c r="D325" i="5"/>
  <c r="F370" i="8" l="1"/>
  <c r="H370" i="8"/>
  <c r="G325" i="5"/>
  <c r="E325" i="5" s="1"/>
  <c r="D326" i="5"/>
  <c r="F326" i="5"/>
  <c r="G370" i="8" l="1"/>
  <c r="E370" i="8" s="1"/>
  <c r="G326" i="5"/>
  <c r="E326" i="5" s="1"/>
  <c r="F371" i="8" l="1"/>
  <c r="H371" i="8"/>
  <c r="F327" i="5"/>
  <c r="D327" i="5"/>
  <c r="G371" i="8" l="1"/>
  <c r="E371" i="8" s="1"/>
  <c r="G327" i="5"/>
  <c r="E327" i="5" s="1"/>
  <c r="F328" i="5"/>
  <c r="D328" i="5"/>
  <c r="F372" i="8" l="1"/>
  <c r="H372" i="8"/>
  <c r="G328" i="5"/>
  <c r="E328" i="5" s="1"/>
  <c r="F329" i="5"/>
  <c r="D329" i="5"/>
  <c r="G372" i="8" l="1"/>
  <c r="E372" i="8" s="1"/>
  <c r="G329" i="5"/>
  <c r="E329" i="5" s="1"/>
  <c r="F330" i="5"/>
  <c r="D330" i="5"/>
  <c r="F373" i="8" l="1"/>
  <c r="H373" i="8"/>
  <c r="G330" i="5"/>
  <c r="E330" i="5" s="1"/>
  <c r="D331" i="5" s="1"/>
  <c r="G373" i="8" l="1"/>
  <c r="E373" i="8" s="1"/>
  <c r="F331" i="5"/>
  <c r="G331" i="5" s="1"/>
  <c r="E331" i="5" s="1"/>
  <c r="F374" i="8" l="1"/>
  <c r="H374" i="8"/>
  <c r="F332" i="5"/>
  <c r="D332" i="5"/>
  <c r="G374" i="8" l="1"/>
  <c r="E374" i="8" s="1"/>
  <c r="G332" i="5"/>
  <c r="E332" i="5" s="1"/>
  <c r="D333" i="5"/>
  <c r="F333" i="5"/>
  <c r="F375" i="8" l="1"/>
  <c r="H375" i="8"/>
  <c r="G333" i="5"/>
  <c r="E333" i="5" s="1"/>
  <c r="G375" i="8" l="1"/>
  <c r="E375" i="8" s="1"/>
  <c r="F334" i="5"/>
  <c r="D334" i="5"/>
  <c r="F376" i="8" l="1"/>
  <c r="H376" i="8"/>
  <c r="G334" i="5"/>
  <c r="E334" i="5" s="1"/>
  <c r="F335" i="5" s="1"/>
  <c r="D335" i="5"/>
  <c r="G376" i="8" l="1"/>
  <c r="E376" i="8" s="1"/>
  <c r="G335" i="5"/>
  <c r="E335" i="5" s="1"/>
  <c r="D336" i="5"/>
  <c r="F336" i="5"/>
  <c r="F377" i="8" l="1"/>
  <c r="H377" i="8"/>
  <c r="G336" i="5"/>
  <c r="E336" i="5" s="1"/>
  <c r="F337" i="5"/>
  <c r="D337" i="5"/>
  <c r="G377" i="8" l="1"/>
  <c r="E377" i="8" s="1"/>
  <c r="G337" i="5"/>
  <c r="E337" i="5" s="1"/>
  <c r="F338" i="5"/>
  <c r="D338" i="5"/>
  <c r="F378" i="8" l="1"/>
  <c r="H378" i="8"/>
  <c r="G338" i="5"/>
  <c r="E338" i="5" s="1"/>
  <c r="F339" i="5"/>
  <c r="D339" i="5"/>
  <c r="G378" i="8" l="1"/>
  <c r="E378" i="8" s="1"/>
  <c r="G339" i="5"/>
  <c r="E339" i="5" s="1"/>
  <c r="F340" i="5"/>
  <c r="D340" i="5"/>
  <c r="F379" i="8" l="1"/>
  <c r="H379" i="8"/>
  <c r="G340" i="5"/>
  <c r="E340" i="5" s="1"/>
  <c r="F341" i="5"/>
  <c r="D341" i="5"/>
  <c r="G379" i="8" l="1"/>
  <c r="E379" i="8" s="1"/>
  <c r="G341" i="5"/>
  <c r="E341" i="5" s="1"/>
  <c r="F342" i="5" s="1"/>
  <c r="F380" i="8" l="1"/>
  <c r="H380" i="8"/>
  <c r="D342" i="5"/>
  <c r="G342" i="5" s="1"/>
  <c r="E342" i="5" s="1"/>
  <c r="F343" i="5"/>
  <c r="D343" i="5"/>
  <c r="G380" i="8" l="1"/>
  <c r="E380" i="8" s="1"/>
  <c r="G343" i="5"/>
  <c r="E343" i="5" s="1"/>
  <c r="F344" i="5" s="1"/>
  <c r="D344" i="5"/>
  <c r="F381" i="8" l="1"/>
  <c r="H381" i="8"/>
  <c r="G344" i="5"/>
  <c r="E344" i="5" s="1"/>
  <c r="D345" i="5" s="1"/>
  <c r="F345" i="5"/>
  <c r="G381" i="8" l="1"/>
  <c r="E381" i="8" s="1"/>
  <c r="G345" i="5"/>
  <c r="E345" i="5" s="1"/>
  <c r="D346" i="5"/>
  <c r="F346" i="5"/>
  <c r="F382" i="8" l="1"/>
  <c r="H382" i="8"/>
  <c r="G346" i="5"/>
  <c r="E346" i="5" s="1"/>
  <c r="G382" i="8" l="1"/>
  <c r="E382" i="8" s="1"/>
  <c r="D347" i="5"/>
  <c r="F347" i="5"/>
  <c r="F383" i="8" l="1"/>
  <c r="H383" i="8"/>
  <c r="G347" i="5"/>
  <c r="E347" i="5" s="1"/>
  <c r="G383" i="8" l="1"/>
  <c r="E383" i="8" s="1"/>
  <c r="F348" i="5"/>
  <c r="D348" i="5"/>
  <c r="F384" i="8" l="1"/>
  <c r="H384" i="8"/>
  <c r="G348" i="5"/>
  <c r="E348" i="5" s="1"/>
  <c r="F349" i="5" s="1"/>
  <c r="D349" i="5"/>
  <c r="G384" i="8" l="1"/>
  <c r="E384" i="8" s="1"/>
  <c r="G349" i="5"/>
  <c r="E349" i="5" s="1"/>
  <c r="D350" i="5"/>
  <c r="F350" i="5"/>
  <c r="F385" i="8" l="1"/>
  <c r="H385" i="8"/>
  <c r="G350" i="5"/>
  <c r="E350" i="5" s="1"/>
  <c r="G385" i="8" l="1"/>
  <c r="E385" i="8" s="1"/>
  <c r="F351" i="5"/>
  <c r="D351" i="5"/>
  <c r="F386" i="8" l="1"/>
  <c r="H386" i="8"/>
  <c r="G351" i="5"/>
  <c r="E351" i="5" s="1"/>
  <c r="D352" i="5" s="1"/>
  <c r="F352" i="5"/>
  <c r="G386" i="8" l="1"/>
  <c r="E386" i="8" s="1"/>
  <c r="G352" i="5"/>
  <c r="E352" i="5" s="1"/>
  <c r="F387" i="8" l="1"/>
  <c r="H387" i="8"/>
  <c r="D353" i="5"/>
  <c r="F353" i="5"/>
  <c r="G387" i="8" l="1"/>
  <c r="E387" i="8" s="1"/>
  <c r="G353" i="5"/>
  <c r="E353" i="5" s="1"/>
  <c r="F354" i="5" l="1"/>
  <c r="D354" i="5"/>
  <c r="G354" i="5" l="1"/>
  <c r="E354" i="5" s="1"/>
  <c r="F355" i="5"/>
  <c r="D355" i="5"/>
  <c r="G355" i="5" l="1"/>
  <c r="E355" i="5" s="1"/>
  <c r="F356" i="5"/>
  <c r="D356" i="5"/>
  <c r="G356" i="5" l="1"/>
  <c r="E356" i="5" s="1"/>
  <c r="F357" i="5" s="1"/>
  <c r="D357" i="5"/>
  <c r="G357" i="5" l="1"/>
  <c r="E357" i="5" s="1"/>
  <c r="D358" i="5" s="1"/>
  <c r="F358" i="5"/>
  <c r="G358" i="5" l="1"/>
  <c r="E358" i="5" s="1"/>
  <c r="F359" i="5" l="1"/>
  <c r="D359" i="5"/>
  <c r="G359" i="5" l="1"/>
  <c r="E359" i="5" s="1"/>
  <c r="F360" i="5" s="1"/>
  <c r="D360" i="5" l="1"/>
  <c r="G360" i="5" s="1"/>
  <c r="E360" i="5" s="1"/>
  <c r="D361" i="5" l="1"/>
  <c r="F361" i="5"/>
  <c r="G361" i="5" l="1"/>
  <c r="E361" i="5" s="1"/>
  <c r="D362" i="5"/>
  <c r="F362" i="5"/>
  <c r="G362" i="5" l="1"/>
  <c r="E362" i="5" s="1"/>
  <c r="F363" i="5" l="1"/>
  <c r="D363" i="5"/>
  <c r="G363" i="5" l="1"/>
  <c r="E363" i="5" s="1"/>
  <c r="D364" i="5" l="1"/>
  <c r="F364" i="5"/>
  <c r="G364" i="5" l="1"/>
  <c r="E364" i="5" s="1"/>
  <c r="F365" i="5" l="1"/>
  <c r="D365" i="5"/>
  <c r="G365" i="5" l="1"/>
  <c r="E365" i="5" s="1"/>
  <c r="D366" i="5"/>
  <c r="F366" i="5"/>
  <c r="G366" i="5" l="1"/>
  <c r="E366" i="5" s="1"/>
  <c r="D367" i="5" l="1"/>
  <c r="F367" i="5"/>
  <c r="G367" i="5" l="1"/>
  <c r="E367" i="5" s="1"/>
  <c r="D368" i="5" s="1"/>
  <c r="F368" i="5"/>
  <c r="F369" i="5"/>
  <c r="D369" i="5"/>
  <c r="G368" i="5" l="1"/>
  <c r="E368" i="5" s="1"/>
  <c r="G369" i="5"/>
  <c r="F370" i="5"/>
  <c r="D370" i="5"/>
  <c r="E369" i="5" l="1"/>
  <c r="G370" i="5"/>
  <c r="F371" i="5"/>
  <c r="D371" i="5"/>
  <c r="E370" i="5" l="1"/>
  <c r="G371" i="5"/>
  <c r="F372" i="5"/>
  <c r="F9" i="5" s="1"/>
  <c r="D372" i="5"/>
  <c r="E371" i="5" l="1"/>
  <c r="P18" i="4"/>
  <c r="L14" i="7"/>
  <c r="G372" i="5"/>
  <c r="E372" i="5" l="1"/>
  <c r="Q18" i="4"/>
  <c r="E15" i="7"/>
  <c r="H15" i="7" l="1"/>
  <c r="D7" i="7" s="1"/>
  <c r="E1" i="6" s="1"/>
  <c r="F1" i="6" s="1"/>
  <c r="G7" i="4" s="1"/>
  <c r="F15" i="7" l="1"/>
  <c r="I15" i="7" s="1"/>
  <c r="F7" i="7"/>
  <c r="C17" i="6" l="1"/>
  <c r="C14" i="6" s="1"/>
  <c r="J15" i="7"/>
  <c r="C18" i="6" l="1"/>
  <c r="D15" i="7"/>
  <c r="C13" i="6"/>
  <c r="F16" i="7" s="1"/>
  <c r="C19" i="6"/>
  <c r="K15" i="7" s="1"/>
  <c r="L15" i="7" s="1"/>
  <c r="G19" i="4" l="1"/>
</calcChain>
</file>

<file path=xl/sharedStrings.xml><?xml version="1.0" encoding="utf-8"?>
<sst xmlns="http://schemas.openxmlformats.org/spreadsheetml/2006/main" count="611" uniqueCount="166">
  <si>
    <t>Дисконт к ставке</t>
  </si>
  <si>
    <t>Срок действия дисконта, мес.</t>
  </si>
  <si>
    <t>Итоговая ставка для клиента</t>
  </si>
  <si>
    <t>КВ, %</t>
  </si>
  <si>
    <t>на весь срок</t>
  </si>
  <si>
    <t>12 мес</t>
  </si>
  <si>
    <t>24 мес</t>
  </si>
  <si>
    <t>60 мес</t>
  </si>
  <si>
    <t>Стоимость объекта исходная, руб.</t>
  </si>
  <si>
    <t xml:space="preserve"> - редактируемое поле</t>
  </si>
  <si>
    <t>Месторасположение объекта</t>
  </si>
  <si>
    <t>Программа кредитования</t>
  </si>
  <si>
    <t>Господдержка 2020</t>
  </si>
  <si>
    <t>Срок действия дисконта, лет</t>
  </si>
  <si>
    <t>1 год</t>
  </si>
  <si>
    <t>Электронная регистрация сделки (ЭРС)</t>
  </si>
  <si>
    <t>нет</t>
  </si>
  <si>
    <t>Есть зарплатная карта АББ?</t>
  </si>
  <si>
    <t>Страхование</t>
  </si>
  <si>
    <t>Без страхования</t>
  </si>
  <si>
    <t>Ставка клиенту на льготный период</t>
  </si>
  <si>
    <t>Ставка клиенту после льготного периода</t>
  </si>
  <si>
    <t>Комиссия с партнера за предоставление дисконта, % от суммы кредита</t>
  </si>
  <si>
    <t>Кредитные средства, руб.</t>
  </si>
  <si>
    <t>ПВ по договору</t>
  </si>
  <si>
    <t>Стоимость объекта по договору</t>
  </si>
  <si>
    <t>Возмещение, руб.</t>
  </si>
  <si>
    <t>% от первоначальной стоимости объекта</t>
  </si>
  <si>
    <t>Ежемесячный платеж во время льготного периода*, руб.</t>
  </si>
  <si>
    <t>Ежемесячный платеж после льготного периода*, руб.</t>
  </si>
  <si>
    <t>Ежемесячная экономия во время льготного периода, руб.</t>
  </si>
  <si>
    <t>Ежемесячная экономия после льготного периода, руб.</t>
  </si>
  <si>
    <t>Переплата за весь срок, руб.</t>
  </si>
  <si>
    <t>Общая экономия</t>
  </si>
  <si>
    <t>ПВ до 20%</t>
  </si>
  <si>
    <t>ПВ от 20,01%</t>
  </si>
  <si>
    <t>БПС</t>
  </si>
  <si>
    <t>Господдержка Семейная</t>
  </si>
  <si>
    <t>Мегаполис (готовая квартира)</t>
  </si>
  <si>
    <t>Перспектива (строящаяся квартира)</t>
  </si>
  <si>
    <t>Комфорт (индивидуальный дом)</t>
  </si>
  <si>
    <t>2 года</t>
  </si>
  <si>
    <t>5 лет</t>
  </si>
  <si>
    <t>весь срок кредита</t>
  </si>
  <si>
    <t>Первоначальный взнос (ПВ), %</t>
  </si>
  <si>
    <t>Первоначальный взнос (ПВ), руб.</t>
  </si>
  <si>
    <t>ЭРС</t>
  </si>
  <si>
    <t>ЖК «Luciano Vita Club»</t>
  </si>
  <si>
    <t>отказ от страх</t>
  </si>
  <si>
    <t>з/п</t>
  </si>
  <si>
    <t>скидки/ надбавки</t>
  </si>
  <si>
    <t>мин ПВ</t>
  </si>
  <si>
    <t>Срок кредита, мес.</t>
  </si>
  <si>
    <t>лет максимальный срок ипотеки</t>
  </si>
  <si>
    <t>да</t>
  </si>
  <si>
    <t>ставка</t>
  </si>
  <si>
    <t>за ЭРС</t>
  </si>
  <si>
    <t>за з/п</t>
  </si>
  <si>
    <t>Со страхованием</t>
  </si>
  <si>
    <t>страх</t>
  </si>
  <si>
    <t>Ставка для клиента, % годовых</t>
  </si>
  <si>
    <t>Ставка в калк</t>
  </si>
  <si>
    <t>Возмещение от партнера на весь срок</t>
  </si>
  <si>
    <t>Возмещение от партнера на 1 год</t>
  </si>
  <si>
    <t>Возмещение от партнера на 2 года</t>
  </si>
  <si>
    <t>Возмещение от партнера на 5 лет</t>
  </si>
  <si>
    <t>КВ в калк</t>
  </si>
  <si>
    <t>платеж</t>
  </si>
  <si>
    <t>оод</t>
  </si>
  <si>
    <t>сумма кредита</t>
  </si>
  <si>
    <t>ставка на льготный период</t>
  </si>
  <si>
    <t>ставка после льготного периода</t>
  </si>
  <si>
    <t>пл по %</t>
  </si>
  <si>
    <t>пл по ОД</t>
  </si>
  <si>
    <t>плт 1</t>
  </si>
  <si>
    <t>плт2</t>
  </si>
  <si>
    <t>* - расчет ежемесячного платежа и переплаты является предварительным, точные данные и полную стоимость кредита можно получить в подразделении Банка.</t>
  </si>
  <si>
    <t>КВ,%</t>
  </si>
  <si>
    <t>Комфорт
ПВ от 20%</t>
  </si>
  <si>
    <t>ПВ</t>
  </si>
  <si>
    <t>макс</t>
  </si>
  <si>
    <t>мин</t>
  </si>
  <si>
    <t>ставка ФЛ</t>
  </si>
  <si>
    <t>регион</t>
  </si>
  <si>
    <t>комиссия с партнера</t>
  </si>
  <si>
    <t>мак сумма кредита по госкам</t>
  </si>
  <si>
    <t>мак сумма кредита по комбо</t>
  </si>
  <si>
    <t>скидка за ЭРС</t>
  </si>
  <si>
    <t>отказ от страхования</t>
  </si>
  <si>
    <t>Справочно:</t>
  </si>
  <si>
    <t>Минимальный ПВ</t>
  </si>
  <si>
    <t>Ежемесячный платеж*, руб.</t>
  </si>
  <si>
    <t>Срок кредита не может быть более 30 лет (360 мес.)</t>
  </si>
  <si>
    <t>min ПВ:</t>
  </si>
  <si>
    <t>Сумма кредита, руб.</t>
  </si>
  <si>
    <t>макс. сумма кредита:</t>
  </si>
  <si>
    <t>Срок кредита, лет</t>
  </si>
  <si>
    <t>Стоимость объекта недвижимости, руб.</t>
  </si>
  <si>
    <t>Выбор пользователя:</t>
  </si>
  <si>
    <t>сумма кредита по госке</t>
  </si>
  <si>
    <t>макс сумма кредита</t>
  </si>
  <si>
    <t>Субсидируемая часть кредита, руб.</t>
  </si>
  <si>
    <t>Часть кредита свыше субсидируемой, руб.</t>
  </si>
  <si>
    <t>Ставка на сумму превышения, % годовых</t>
  </si>
  <si>
    <t>Ставка по субсидируемой части кредита, % годовых</t>
  </si>
  <si>
    <t>Итого ставка по договору,%</t>
  </si>
  <si>
    <t>Ставка</t>
  </si>
  <si>
    <t>Максимальная сумма кредита, руб.</t>
  </si>
  <si>
    <t>Программа кредитования на сумму превышения</t>
  </si>
  <si>
    <t>Перспектива</t>
  </si>
  <si>
    <t>Комфорт</t>
  </si>
  <si>
    <t>Мегаполис</t>
  </si>
  <si>
    <t>Отказ от страхования</t>
  </si>
  <si>
    <t>Наличие з/п карты ПАО "АК БАРС" Банк</t>
  </si>
  <si>
    <t>з/п карта</t>
  </si>
  <si>
    <t>эрс</t>
  </si>
  <si>
    <t>итого</t>
  </si>
  <si>
    <t>макс. срок кредита:</t>
  </si>
  <si>
    <t>360 мес.</t>
  </si>
  <si>
    <t>Регион:</t>
  </si>
  <si>
    <t>Процентная ставка, годовых (БПС)</t>
  </si>
  <si>
    <t>Сумма кредита (рубли) до</t>
  </si>
  <si>
    <t>Размер возмещения Застройщиком</t>
  </si>
  <si>
    <t xml:space="preserve"> * - При выборе IT-ипотеки выбор "в Москве, Моск.обл., Санкт-Петербурге, Лен.обл." соответствует субъектам РФ с численностью 1 млн. чел.и более, выбор "в др.городах" сответствует субъектам РФ с численностью до 1 млн.чел.</t>
  </si>
  <si>
    <t>Москва, Моск.обл., Санкт-Петербург, Лен.обл.</t>
  </si>
  <si>
    <t>др.города</t>
  </si>
  <si>
    <t>Примерный график платежей</t>
  </si>
  <si>
    <t>Месяц</t>
  </si>
  <si>
    <t xml:space="preserve">Остаток </t>
  </si>
  <si>
    <t>Сумма</t>
  </si>
  <si>
    <t>начисленных</t>
  </si>
  <si>
    <t>процентов</t>
  </si>
  <si>
    <t>Погашение</t>
  </si>
  <si>
    <t>основного</t>
  </si>
  <si>
    <t>долга</t>
  </si>
  <si>
    <t>Общая</t>
  </si>
  <si>
    <t>сумма</t>
  </si>
  <si>
    <t>платежа</t>
  </si>
  <si>
    <t>после платежа</t>
  </si>
  <si>
    <t>основного долга</t>
  </si>
  <si>
    <t>Госка 2020
ПВ от 30%</t>
  </si>
  <si>
    <t>Семейка
ПВ от 20%</t>
  </si>
  <si>
    <t>Перспектива
ПВ от 20%</t>
  </si>
  <si>
    <t>Мегаполис
ПВ от 20%</t>
  </si>
  <si>
    <t>Ставка клиенту в кальк</t>
  </si>
  <si>
    <t>Ставку надо обновлять при каждом выборе программы и изменении срока действия дисконта!!!</t>
  </si>
  <si>
    <t>Господдержка ИТ ипотека</t>
  </si>
  <si>
    <t>IT-ипотека</t>
  </si>
  <si>
    <t>Базовая ставка</t>
  </si>
  <si>
    <t>на 12 мес.</t>
  </si>
  <si>
    <t>на 24 мес.</t>
  </si>
  <si>
    <t>на 60 мес.</t>
  </si>
  <si>
    <t>размер возмещения, %</t>
  </si>
  <si>
    <t>субъект РФ, с численностью населения 1 млн. человек или более</t>
  </si>
  <si>
    <t>субъект РФ с численностью населения до 1 млн. человек</t>
  </si>
  <si>
    <t>Месторасположение объекта надо обновлять при каждом выборе программы!!!</t>
  </si>
  <si>
    <t>ПВ  от исходной стоимости объекта, %</t>
  </si>
  <si>
    <t>ПВ  от стоимости объекта по договору, %</t>
  </si>
  <si>
    <t>ПВ от стоимости по договору, %</t>
  </si>
  <si>
    <t>с 10.06.2024</t>
  </si>
  <si>
    <t>Срок кредита не может быть менее 4 лет (48 мес.)</t>
  </si>
  <si>
    <t>года минимальный срок ипотеки</t>
  </si>
  <si>
    <t xml:space="preserve"> мес.)</t>
  </si>
  <si>
    <t xml:space="preserve"> лет (</t>
  </si>
  <si>
    <t>Срок кредита на может быть менее</t>
  </si>
  <si>
    <t xml:space="preserve">Срок кредита на может быть более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</si>
</sst>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₽&quot;;[Red]\-#,##0.00\ &quot;₽&quot;"/>
    <numFmt numFmtId="43" formatCode="_-* #,##0.00\ _₽_-;\-* #,##0.00\ _₽_-;_-* &quot;-&quot;??\ _₽_-;_-@_-"/>
    <numFmt numFmtId="164" formatCode="_-* #,##0\ _₽_-;\-* #,##0\ _₽_-;_-* &quot;-&quot;??\ _₽_-;_-@_-"/>
    <numFmt numFmtId="165" formatCode="0.0%"/>
    <numFmt numFmtId="166" formatCode="#,##0_ ;\-#,##0\ "/>
    <numFmt numFmtId="167" formatCode="0.0"/>
    <numFmt numFmtId="168" formatCode="_-* #,##0.0000\ _₽_-;\-* #,##0.0000\ _₽_-;_-* &quot;-&quot;??\ _₽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rgb="FF0033CC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charset val="204"/>
      <scheme val="minor"/>
    </font>
    <font>
      <i/>
      <sz val="11"/>
      <color rgb="FF0033CC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33CC"/>
      <name val="Calibri"/>
      <family val="2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2"/>
      <color theme="1"/>
      <name val="Calibri"/>
      <family val="2"/>
      <charset val="204"/>
      <scheme val="minor"/>
    </font>
    <font>
      <b/>
      <i/>
      <sz val="10"/>
      <color rgb="FF0033CC"/>
      <name val="Calibri"/>
      <family val="2"/>
      <charset val="204"/>
      <scheme val="minor"/>
    </font>
    <font>
      <b/>
      <sz val="9"/>
      <color rgb="FF000000"/>
      <name val="Calibri Light"/>
      <family val="2"/>
      <charset val="204"/>
    </font>
    <font>
      <sz val="9"/>
      <color theme="1"/>
      <name val="Calibri Light"/>
      <family val="2"/>
      <charset val="204"/>
    </font>
    <font>
      <b/>
      <sz val="9"/>
      <color rgb="FFFF0000"/>
      <name val="Calibri Light"/>
      <family val="2"/>
      <charset val="204"/>
    </font>
    <font>
      <sz val="9"/>
      <name val="Calibri Light"/>
      <family val="2"/>
      <charset val="204"/>
    </font>
    <font>
      <sz val="9"/>
      <color rgb="FF0033CC"/>
      <name val="Calibri Light"/>
      <family val="2"/>
      <charset val="204"/>
    </font>
    <font>
      <sz val="11"/>
      <color theme="1"/>
      <name val="Century Gothic"/>
      <family val="2"/>
      <charset val="204"/>
    </font>
    <font>
      <sz val="10"/>
      <color theme="1"/>
      <name val="Century Gothic"/>
      <family val="2"/>
      <charset val="204"/>
    </font>
    <font>
      <b/>
      <i/>
      <sz val="11"/>
      <color theme="0"/>
      <name val="Century Gothic"/>
      <family val="2"/>
      <charset val="204"/>
    </font>
    <font>
      <b/>
      <i/>
      <sz val="10"/>
      <color theme="0"/>
      <name val="Century Gothic"/>
      <family val="2"/>
      <charset val="204"/>
    </font>
    <font>
      <b/>
      <i/>
      <sz val="11"/>
      <color rgb="FFFF0000"/>
      <name val="Century Gothic"/>
      <family val="2"/>
      <charset val="204"/>
    </font>
    <font>
      <i/>
      <sz val="11"/>
      <color theme="1"/>
      <name val="Century Gothic"/>
      <family val="2"/>
      <charset val="204"/>
    </font>
    <font>
      <i/>
      <sz val="10"/>
      <color theme="1"/>
      <name val="Century Gothic"/>
      <family val="2"/>
      <charset val="204"/>
    </font>
    <font>
      <b/>
      <i/>
      <sz val="10"/>
      <color rgb="FFFF0000"/>
      <name val="Century Gothic"/>
      <family val="2"/>
      <charset val="204"/>
    </font>
    <font>
      <b/>
      <i/>
      <sz val="10"/>
      <color rgb="FF00B050"/>
      <name val="Century Gothic"/>
      <family val="2"/>
      <charset val="204"/>
    </font>
    <font>
      <b/>
      <i/>
      <sz val="11"/>
      <color rgb="FF0033CC"/>
      <name val="Century Gothic"/>
      <family val="2"/>
      <charset val="204"/>
    </font>
    <font>
      <b/>
      <i/>
      <u/>
      <sz val="12"/>
      <color theme="1"/>
      <name val="Century Gothic"/>
      <family val="2"/>
      <charset val="204"/>
    </font>
    <font>
      <b/>
      <i/>
      <u/>
      <sz val="10"/>
      <color theme="1"/>
      <name val="Century Gothic"/>
      <family val="2"/>
      <charset val="204"/>
    </font>
    <font>
      <b/>
      <i/>
      <sz val="10"/>
      <color theme="1"/>
      <name val="Century Gothic"/>
      <family val="2"/>
      <charset val="204"/>
    </font>
    <font>
      <sz val="11"/>
      <name val="Century Gothic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5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vertical="center" wrapText="1"/>
    </xf>
    <xf numFmtId="10" fontId="4" fillId="2" borderId="15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4" fillId="6" borderId="22" xfId="0" applyFont="1" applyFill="1" applyBorder="1" applyAlignment="1">
      <alignment horizontal="center" vertical="center" wrapText="1"/>
    </xf>
    <xf numFmtId="10" fontId="5" fillId="0" borderId="18" xfId="2" applyNumberFormat="1" applyFont="1" applyFill="1" applyBorder="1" applyAlignment="1">
      <alignment horizontal="center" vertical="center"/>
    </xf>
    <xf numFmtId="10" fontId="5" fillId="0" borderId="18" xfId="0" applyNumberFormat="1" applyFont="1" applyFill="1" applyBorder="1" applyAlignment="1">
      <alignment horizontal="center" vertical="center"/>
    </xf>
    <xf numFmtId="10" fontId="0" fillId="0" borderId="18" xfId="0" applyNumberForma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center"/>
    </xf>
    <xf numFmtId="0" fontId="0" fillId="0" borderId="0" xfId="0" applyBorder="1"/>
    <xf numFmtId="10" fontId="0" fillId="0" borderId="0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7" borderId="0" xfId="0" applyFill="1" applyBorder="1" applyAlignment="1" applyProtection="1">
      <alignment horizontal="right"/>
      <protection locked="0"/>
    </xf>
    <xf numFmtId="0" fontId="0" fillId="7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7" borderId="0" xfId="0" applyFill="1" applyBorder="1" applyProtection="1">
      <protection hidden="1"/>
    </xf>
    <xf numFmtId="43" fontId="7" fillId="9" borderId="0" xfId="1" applyFont="1" applyFill="1" applyBorder="1" applyAlignment="1" applyProtection="1">
      <protection locked="0"/>
    </xf>
    <xf numFmtId="43" fontId="0" fillId="0" borderId="30" xfId="0" applyNumberFormat="1" applyBorder="1" applyProtection="1">
      <protection hidden="1"/>
    </xf>
    <xf numFmtId="43" fontId="0" fillId="0" borderId="37" xfId="0" applyNumberFormat="1" applyBorder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0" fontId="0" fillId="8" borderId="33" xfId="0" applyFill="1" applyBorder="1" applyProtection="1">
      <protection hidden="1"/>
    </xf>
    <xf numFmtId="10" fontId="0" fillId="0" borderId="0" xfId="0" applyNumberForma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10" fontId="0" fillId="8" borderId="33" xfId="0" applyNumberFormat="1" applyFill="1" applyBorder="1" applyProtection="1">
      <protection hidden="1"/>
    </xf>
    <xf numFmtId="43" fontId="0" fillId="8" borderId="33" xfId="0" applyNumberFormat="1" applyFill="1" applyBorder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Fill="1" applyBorder="1" applyAlignment="1">
      <alignment vertical="center"/>
    </xf>
    <xf numFmtId="0" fontId="0" fillId="7" borderId="27" xfId="0" applyFill="1" applyBorder="1" applyProtection="1">
      <protection locked="0"/>
    </xf>
    <xf numFmtId="0" fontId="8" fillId="0" borderId="0" xfId="0" applyFont="1" applyAlignment="1" applyProtection="1">
      <alignment vertical="top" wrapText="1"/>
      <protection hidden="1"/>
    </xf>
    <xf numFmtId="0" fontId="8" fillId="10" borderId="0" xfId="0" applyFont="1" applyFill="1" applyAlignment="1" applyProtection="1">
      <alignment vertical="top" wrapText="1"/>
      <protection hidden="1"/>
    </xf>
    <xf numFmtId="10" fontId="0" fillId="0" borderId="0" xfId="0" applyNumberFormat="1" applyProtection="1">
      <protection locked="0"/>
    </xf>
    <xf numFmtId="0" fontId="0" fillId="0" borderId="0" xfId="0" applyProtection="1"/>
    <xf numFmtId="43" fontId="0" fillId="0" borderId="0" xfId="0" applyNumberFormat="1" applyProtection="1"/>
    <xf numFmtId="10" fontId="0" fillId="0" borderId="0" xfId="0" applyNumberFormat="1" applyProtection="1"/>
    <xf numFmtId="164" fontId="0" fillId="0" borderId="0" xfId="0" applyNumberFormat="1" applyProtection="1"/>
    <xf numFmtId="0" fontId="0" fillId="0" borderId="18" xfId="0" applyBorder="1" applyProtection="1"/>
    <xf numFmtId="10" fontId="0" fillId="0" borderId="0" xfId="2" applyNumberFormat="1" applyFont="1" applyProtection="1"/>
    <xf numFmtId="43" fontId="0" fillId="0" borderId="0" xfId="1" applyFont="1" applyProtection="1"/>
    <xf numFmtId="0" fontId="10" fillId="0" borderId="0" xfId="0" applyFont="1" applyAlignment="1" applyProtection="1">
      <alignment horizontal="left"/>
      <protection locked="0"/>
    </xf>
    <xf numFmtId="0" fontId="0" fillId="7" borderId="0" xfId="0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0" fillId="10" borderId="13" xfId="0" applyFill="1" applyBorder="1" applyAlignment="1" applyProtection="1">
      <alignment horizontal="center"/>
      <protection hidden="1"/>
    </xf>
    <xf numFmtId="0" fontId="0" fillId="10" borderId="13" xfId="0" applyFill="1" applyBorder="1" applyAlignment="1" applyProtection="1">
      <alignment horizontal="left"/>
      <protection hidden="1"/>
    </xf>
    <xf numFmtId="10" fontId="0" fillId="10" borderId="0" xfId="0" applyNumberFormat="1" applyFill="1" applyProtection="1">
      <protection hidden="1"/>
    </xf>
    <xf numFmtId="0" fontId="0" fillId="10" borderId="0" xfId="0" applyFill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10" fontId="9" fillId="0" borderId="0" xfId="2" applyNumberFormat="1" applyFont="1" applyProtection="1">
      <protection hidden="1"/>
    </xf>
    <xf numFmtId="0" fontId="0" fillId="10" borderId="0" xfId="0" applyFill="1" applyAlignment="1" applyProtection="1">
      <alignment vertical="center"/>
      <protection hidden="1"/>
    </xf>
    <xf numFmtId="0" fontId="9" fillId="0" borderId="11" xfId="0" applyFont="1" applyBorder="1" applyAlignment="1" applyProtection="1">
      <alignment horizontal="right"/>
      <protection hidden="1"/>
    </xf>
    <xf numFmtId="10" fontId="9" fillId="0" borderId="11" xfId="2" applyNumberFormat="1" applyFont="1" applyBorder="1" applyProtection="1">
      <protection hidden="1"/>
    </xf>
    <xf numFmtId="10" fontId="9" fillId="0" borderId="0" xfId="0" applyNumberFormat="1" applyFont="1" applyProtection="1">
      <protection hidden="1"/>
    </xf>
    <xf numFmtId="10" fontId="0" fillId="10" borderId="0" xfId="2" applyNumberFormat="1" applyFont="1" applyFill="1" applyProtection="1">
      <protection hidden="1"/>
    </xf>
    <xf numFmtId="10" fontId="0" fillId="0" borderId="0" xfId="2" applyNumberFormat="1" applyFont="1" applyProtection="1">
      <protection hidden="1"/>
    </xf>
    <xf numFmtId="0" fontId="0" fillId="7" borderId="2" xfId="0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7" borderId="11" xfId="0" applyFill="1" applyBorder="1" applyProtection="1">
      <protection locked="0"/>
    </xf>
    <xf numFmtId="0" fontId="0" fillId="7" borderId="26" xfId="0" applyFill="1" applyBorder="1" applyProtection="1">
      <protection locked="0"/>
    </xf>
    <xf numFmtId="0" fontId="9" fillId="7" borderId="0" xfId="0" applyFont="1" applyFill="1" applyBorder="1" applyAlignment="1" applyProtection="1">
      <alignment horizontal="left" indent="2"/>
      <protection hidden="1"/>
    </xf>
    <xf numFmtId="0" fontId="9" fillId="7" borderId="0" xfId="0" applyFont="1" applyFill="1" applyBorder="1" applyProtection="1">
      <protection hidden="1"/>
    </xf>
    <xf numFmtId="0" fontId="4" fillId="3" borderId="9" xfId="0" applyFont="1" applyFill="1" applyBorder="1" applyAlignment="1">
      <alignment horizontal="center" vertical="center" wrapText="1"/>
    </xf>
    <xf numFmtId="10" fontId="9" fillId="7" borderId="0" xfId="0" applyNumberFormat="1" applyFont="1" applyFill="1" applyBorder="1" applyAlignment="1" applyProtection="1">
      <alignment horizontal="left"/>
      <protection hidden="1"/>
    </xf>
    <xf numFmtId="10" fontId="0" fillId="0" borderId="0" xfId="2" applyNumberFormat="1" applyFont="1"/>
    <xf numFmtId="10" fontId="4" fillId="0" borderId="0" xfId="0" applyNumberFormat="1" applyFont="1" applyFill="1" applyBorder="1" applyAlignment="1">
      <alignment horizontal="center" vertical="center" wrapText="1"/>
    </xf>
    <xf numFmtId="10" fontId="0" fillId="0" borderId="0" xfId="0" applyNumberFormat="1" applyFill="1" applyBorder="1"/>
    <xf numFmtId="0" fontId="4" fillId="4" borderId="27" xfId="0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10" fontId="3" fillId="0" borderId="0" xfId="2" applyNumberFormat="1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0" fontId="0" fillId="0" borderId="0" xfId="0" applyNumberFormat="1" applyBorder="1"/>
    <xf numFmtId="0" fontId="4" fillId="6" borderId="2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9" fontId="0" fillId="0" borderId="0" xfId="0" applyNumberFormat="1" applyBorder="1"/>
    <xf numFmtId="43" fontId="0" fillId="0" borderId="0" xfId="0" applyNumberFormat="1" applyProtection="1">
      <protection locked="0"/>
    </xf>
    <xf numFmtId="0" fontId="4" fillId="5" borderId="1" xfId="0" applyFont="1" applyFill="1" applyBorder="1" applyAlignment="1">
      <alignment horizontal="center" vertical="center" wrapText="1"/>
    </xf>
    <xf numFmtId="10" fontId="5" fillId="0" borderId="23" xfId="0" applyNumberFormat="1" applyFont="1" applyFill="1" applyBorder="1" applyAlignment="1">
      <alignment horizontal="center" vertical="center"/>
    </xf>
    <xf numFmtId="10" fontId="5" fillId="0" borderId="24" xfId="0" applyNumberFormat="1" applyFont="1" applyFill="1" applyBorder="1" applyAlignment="1">
      <alignment horizontal="center" vertical="center"/>
    </xf>
    <xf numFmtId="10" fontId="5" fillId="0" borderId="21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10" fontId="0" fillId="0" borderId="0" xfId="2" applyNumberFormat="1" applyFont="1" applyProtection="1">
      <protection locked="0"/>
    </xf>
    <xf numFmtId="9" fontId="0" fillId="0" borderId="0" xfId="0" applyNumberFormat="1"/>
    <xf numFmtId="0" fontId="0" fillId="0" borderId="0" xfId="0" applyAlignment="1">
      <alignment horizontal="right"/>
    </xf>
    <xf numFmtId="0" fontId="8" fillId="8" borderId="0" xfId="0" applyFont="1" applyFill="1"/>
    <xf numFmtId="0" fontId="8" fillId="8" borderId="0" xfId="0" applyFont="1" applyFill="1" applyAlignment="1">
      <alignment horizontal="right"/>
    </xf>
    <xf numFmtId="165" fontId="0" fillId="0" borderId="0" xfId="0" applyNumberFormat="1"/>
    <xf numFmtId="0" fontId="8" fillId="8" borderId="0" xfId="0" applyFont="1" applyFill="1" applyAlignment="1">
      <alignment horizontal="center" vertical="center" wrapText="1"/>
    </xf>
    <xf numFmtId="0" fontId="0" fillId="0" borderId="0" xfId="0" applyAlignment="1" applyProtection="1">
      <alignment horizontal="left" indent="1"/>
      <protection hidden="1"/>
    </xf>
    <xf numFmtId="10" fontId="13" fillId="0" borderId="0" xfId="0" applyNumberFormat="1" applyFont="1" applyProtection="1">
      <protection hidden="1"/>
    </xf>
    <xf numFmtId="43" fontId="13" fillId="0" borderId="0" xfId="1" applyFont="1"/>
    <xf numFmtId="165" fontId="13" fillId="0" borderId="0" xfId="0" applyNumberFormat="1" applyFont="1"/>
    <xf numFmtId="43" fontId="0" fillId="0" borderId="0" xfId="0" applyNumberFormat="1"/>
    <xf numFmtId="0" fontId="14" fillId="0" borderId="0" xfId="0" applyFont="1"/>
    <xf numFmtId="164" fontId="15" fillId="0" borderId="0" xfId="1" applyNumberFormat="1" applyFont="1" applyProtection="1"/>
    <xf numFmtId="0" fontId="15" fillId="0" borderId="0" xfId="0" applyFont="1"/>
    <xf numFmtId="43" fontId="15" fillId="0" borderId="0" xfId="0" applyNumberFormat="1" applyFont="1"/>
    <xf numFmtId="10" fontId="15" fillId="0" borderId="0" xfId="2" applyNumberFormat="1" applyFont="1"/>
    <xf numFmtId="164" fontId="15" fillId="0" borderId="0" xfId="0" applyNumberFormat="1" applyFont="1" applyProtection="1"/>
    <xf numFmtId="0" fontId="15" fillId="0" borderId="0" xfId="0" applyFont="1" applyAlignment="1">
      <alignment horizontal="right"/>
    </xf>
    <xf numFmtId="10" fontId="15" fillId="0" borderId="0" xfId="0" applyNumberFormat="1" applyFont="1" applyProtection="1"/>
    <xf numFmtId="0" fontId="15" fillId="0" borderId="0" xfId="0" applyFont="1" applyAlignment="1" applyProtection="1">
      <alignment horizontal="right"/>
    </xf>
    <xf numFmtId="164" fontId="13" fillId="0" borderId="0" xfId="1" applyNumberFormat="1" applyFont="1" applyProtection="1">
      <protection hidden="1"/>
    </xf>
    <xf numFmtId="43" fontId="16" fillId="0" borderId="0" xfId="1" applyFont="1"/>
    <xf numFmtId="165" fontId="16" fillId="0" borderId="0" xfId="0" applyNumberFormat="1" applyFont="1"/>
    <xf numFmtId="10" fontId="15" fillId="0" borderId="0" xfId="2" applyNumberFormat="1" applyFont="1" applyAlignment="1">
      <alignment horizontal="left"/>
    </xf>
    <xf numFmtId="43" fontId="8" fillId="0" borderId="0" xfId="0" applyNumberFormat="1" applyFont="1" applyAlignment="1">
      <alignment horizontal="right"/>
    </xf>
    <xf numFmtId="0" fontId="0" fillId="7" borderId="7" xfId="0" applyFill="1" applyBorder="1" applyAlignment="1" applyProtection="1">
      <alignment horizontal="right"/>
      <protection locked="0"/>
    </xf>
    <xf numFmtId="166" fontId="15" fillId="0" borderId="0" xfId="1" applyNumberFormat="1" applyFont="1" applyAlignment="1" applyProtection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/>
    </xf>
    <xf numFmtId="10" fontId="0" fillId="0" borderId="18" xfId="0" applyNumberFormat="1" applyBorder="1"/>
    <xf numFmtId="10" fontId="5" fillId="0" borderId="17" xfId="0" applyNumberFormat="1" applyFont="1" applyFill="1" applyBorder="1" applyAlignment="1">
      <alignment horizontal="center" vertical="center"/>
    </xf>
    <xf numFmtId="10" fontId="5" fillId="0" borderId="45" xfId="0" applyNumberFormat="1" applyFont="1" applyFill="1" applyBorder="1" applyAlignment="1">
      <alignment horizontal="center" vertical="center"/>
    </xf>
    <xf numFmtId="10" fontId="0" fillId="0" borderId="45" xfId="0" applyNumberFormat="1" applyBorder="1" applyAlignment="1">
      <alignment horizontal="center" vertical="center"/>
    </xf>
    <xf numFmtId="10" fontId="0" fillId="0" borderId="45" xfId="0" applyNumberFormat="1" applyFill="1" applyBorder="1" applyAlignment="1">
      <alignment horizontal="center" vertical="center"/>
    </xf>
    <xf numFmtId="10" fontId="0" fillId="0" borderId="18" xfId="0" applyNumberFormat="1" applyFill="1" applyBorder="1"/>
    <xf numFmtId="10" fontId="1" fillId="0" borderId="18" xfId="2" applyNumberFormat="1" applyFont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 wrapText="1"/>
    </xf>
    <xf numFmtId="10" fontId="13" fillId="0" borderId="0" xfId="0" applyNumberFormat="1" applyFont="1"/>
    <xf numFmtId="0" fontId="8" fillId="0" borderId="0" xfId="0" applyFont="1" applyAlignment="1">
      <alignment wrapText="1"/>
    </xf>
    <xf numFmtId="0" fontId="8" fillId="0" borderId="13" xfId="0" applyFont="1" applyBorder="1" applyAlignment="1">
      <alignment wrapText="1"/>
    </xf>
    <xf numFmtId="0" fontId="0" fillId="0" borderId="11" xfId="0" applyBorder="1" applyProtection="1">
      <protection locked="0"/>
    </xf>
    <xf numFmtId="0" fontId="0" fillId="8" borderId="0" xfId="0" applyFill="1" applyProtection="1">
      <protection hidden="1"/>
    </xf>
    <xf numFmtId="0" fontId="8" fillId="10" borderId="0" xfId="0" applyFont="1" applyFill="1" applyProtection="1">
      <protection hidden="1"/>
    </xf>
    <xf numFmtId="0" fontId="8" fillId="7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8" fillId="8" borderId="13" xfId="0" applyFont="1" applyFill="1" applyBorder="1" applyAlignment="1" applyProtection="1">
      <alignment wrapText="1"/>
      <protection hidden="1"/>
    </xf>
    <xf numFmtId="0" fontId="8" fillId="10" borderId="13" xfId="0" applyFont="1" applyFill="1" applyBorder="1" applyAlignment="1" applyProtection="1">
      <alignment wrapText="1"/>
      <protection hidden="1"/>
    </xf>
    <xf numFmtId="0" fontId="18" fillId="7" borderId="13" xfId="0" applyFont="1" applyFill="1" applyBorder="1" applyAlignment="1" applyProtection="1">
      <alignment vertical="center" wrapText="1"/>
      <protection hidden="1"/>
    </xf>
    <xf numFmtId="9" fontId="7" fillId="7" borderId="0" xfId="2" applyFont="1" applyFill="1" applyProtection="1">
      <protection hidden="1"/>
    </xf>
    <xf numFmtId="10" fontId="7" fillId="7" borderId="0" xfId="2" applyNumberFormat="1" applyFont="1" applyFill="1" applyProtection="1">
      <protection hidden="1"/>
    </xf>
    <xf numFmtId="0" fontId="0" fillId="0" borderId="13" xfId="0" applyBorder="1" applyProtection="1">
      <protection hidden="1"/>
    </xf>
    <xf numFmtId="0" fontId="8" fillId="0" borderId="13" xfId="0" applyFont="1" applyBorder="1" applyAlignment="1" applyProtection="1">
      <alignment wrapText="1"/>
      <protection hidden="1"/>
    </xf>
    <xf numFmtId="9" fontId="0" fillId="0" borderId="0" xfId="0" applyNumberFormat="1" applyProtection="1">
      <protection hidden="1"/>
    </xf>
    <xf numFmtId="0" fontId="17" fillId="0" borderId="0" xfId="0" applyFont="1" applyProtection="1">
      <protection hidden="1"/>
    </xf>
    <xf numFmtId="4" fontId="22" fillId="0" borderId="0" xfId="0" applyNumberFormat="1" applyFont="1" applyBorder="1" applyAlignment="1">
      <alignment horizontal="justify" vertical="center" wrapText="1"/>
    </xf>
    <xf numFmtId="10" fontId="22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10" fontId="21" fillId="0" borderId="0" xfId="0" applyNumberFormat="1" applyFont="1" applyBorder="1" applyAlignment="1">
      <alignment vertical="center" wrapText="1"/>
    </xf>
    <xf numFmtId="10" fontId="22" fillId="0" borderId="0" xfId="0" applyNumberFormat="1" applyFont="1" applyBorder="1" applyAlignment="1">
      <alignment vertical="center" wrapText="1"/>
    </xf>
    <xf numFmtId="0" fontId="19" fillId="8" borderId="0" xfId="0" applyFont="1" applyFill="1" applyBorder="1" applyAlignment="1">
      <alignment vertical="center" wrapText="1"/>
    </xf>
    <xf numFmtId="0" fontId="20" fillId="8" borderId="0" xfId="0" applyFont="1" applyFill="1" applyBorder="1" applyAlignment="1">
      <alignment horizontal="justify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wrapText="1"/>
    </xf>
    <xf numFmtId="4" fontId="23" fillId="0" borderId="0" xfId="0" applyNumberFormat="1" applyFont="1" applyBorder="1" applyAlignment="1">
      <alignment horizontal="justify" vertical="center" wrapText="1"/>
    </xf>
    <xf numFmtId="0" fontId="16" fillId="0" borderId="0" xfId="0" applyFont="1"/>
    <xf numFmtId="0" fontId="25" fillId="7" borderId="0" xfId="0" applyFont="1" applyFill="1" applyBorder="1" applyAlignment="1" applyProtection="1">
      <alignment horizontal="right"/>
    </xf>
    <xf numFmtId="0" fontId="24" fillId="7" borderId="7" xfId="0" applyFont="1" applyFill="1" applyBorder="1" applyProtection="1">
      <protection locked="0"/>
    </xf>
    <xf numFmtId="0" fontId="24" fillId="10" borderId="31" xfId="0" applyFont="1" applyFill="1" applyBorder="1" applyProtection="1"/>
    <xf numFmtId="0" fontId="25" fillId="10" borderId="31" xfId="0" applyFont="1" applyFill="1" applyBorder="1" applyAlignment="1" applyProtection="1">
      <alignment horizontal="center" vertical="center" wrapText="1"/>
    </xf>
    <xf numFmtId="0" fontId="24" fillId="7" borderId="27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0" borderId="31" xfId="0" applyFont="1" applyFill="1" applyBorder="1" applyAlignment="1" applyProtection="1">
      <alignment horizontal="right"/>
    </xf>
    <xf numFmtId="10" fontId="24" fillId="0" borderId="31" xfId="2" applyNumberFormat="1" applyFont="1" applyFill="1" applyBorder="1" applyAlignment="1" applyProtection="1">
      <alignment horizontal="right"/>
    </xf>
    <xf numFmtId="43" fontId="24" fillId="0" borderId="31" xfId="1" applyFont="1" applyFill="1" applyBorder="1" applyAlignment="1" applyProtection="1">
      <alignment horizontal="right"/>
    </xf>
    <xf numFmtId="0" fontId="24" fillId="7" borderId="0" xfId="0" applyFont="1" applyFill="1" applyBorder="1" applyProtection="1">
      <protection locked="0"/>
    </xf>
    <xf numFmtId="0" fontId="28" fillId="7" borderId="0" xfId="0" applyFont="1" applyFill="1" applyBorder="1" applyProtection="1">
      <protection hidden="1"/>
    </xf>
    <xf numFmtId="8" fontId="24" fillId="7" borderId="0" xfId="0" applyNumberFormat="1" applyFont="1" applyFill="1" applyBorder="1" applyProtection="1">
      <protection locked="0"/>
    </xf>
    <xf numFmtId="0" fontId="24" fillId="7" borderId="14" xfId="0" applyFont="1" applyFill="1" applyBorder="1" applyProtection="1">
      <protection locked="0"/>
    </xf>
    <xf numFmtId="0" fontId="24" fillId="7" borderId="11" xfId="0" applyFont="1" applyFill="1" applyBorder="1" applyProtection="1">
      <protection locked="0"/>
    </xf>
    <xf numFmtId="0" fontId="24" fillId="7" borderId="26" xfId="0" applyFont="1" applyFill="1" applyBorder="1" applyProtection="1">
      <protection locked="0"/>
    </xf>
    <xf numFmtId="0" fontId="30" fillId="7" borderId="0" xfId="0" applyFont="1" applyFill="1" applyBorder="1" applyAlignment="1" applyProtection="1">
      <alignment horizontal="left" indent="2"/>
      <protection hidden="1"/>
    </xf>
    <xf numFmtId="0" fontId="25" fillId="10" borderId="31" xfId="0" applyFont="1" applyFill="1" applyBorder="1" applyProtection="1"/>
    <xf numFmtId="0" fontId="25" fillId="0" borderId="31" xfId="0" applyFont="1" applyFill="1" applyBorder="1" applyAlignment="1" applyProtection="1">
      <alignment horizontal="right"/>
    </xf>
    <xf numFmtId="0" fontId="31" fillId="7" borderId="0" xfId="0" applyFont="1" applyFill="1" applyBorder="1" applyProtection="1">
      <protection hidden="1"/>
    </xf>
    <xf numFmtId="0" fontId="30" fillId="7" borderId="0" xfId="0" applyFont="1" applyFill="1" applyBorder="1" applyProtection="1"/>
    <xf numFmtId="0" fontId="32" fillId="7" borderId="0" xfId="0" applyFont="1" applyFill="1" applyBorder="1" applyProtection="1">
      <protection locked="0"/>
    </xf>
    <xf numFmtId="0" fontId="24" fillId="7" borderId="5" xfId="0" applyFont="1" applyFill="1" applyBorder="1" applyProtection="1">
      <protection locked="0"/>
    </xf>
    <xf numFmtId="0" fontId="24" fillId="7" borderId="0" xfId="0" applyFont="1" applyFill="1" applyBorder="1" applyProtection="1">
      <protection hidden="1"/>
    </xf>
    <xf numFmtId="43" fontId="33" fillId="9" borderId="0" xfId="1" applyFont="1" applyFill="1" applyBorder="1" applyAlignment="1" applyProtection="1">
      <protection locked="0"/>
    </xf>
    <xf numFmtId="0" fontId="30" fillId="7" borderId="0" xfId="0" applyFont="1" applyFill="1" applyBorder="1" applyProtection="1">
      <protection hidden="1"/>
    </xf>
    <xf numFmtId="0" fontId="28" fillId="7" borderId="0" xfId="0" applyFont="1" applyFill="1" applyBorder="1" applyAlignment="1" applyProtection="1">
      <alignment horizontal="left" indent="2"/>
      <protection hidden="1"/>
    </xf>
    <xf numFmtId="0" fontId="28" fillId="7" borderId="0" xfId="0" applyFont="1" applyFill="1" applyBorder="1" applyAlignment="1" applyProtection="1">
      <alignment horizontal="left" indent="1"/>
      <protection hidden="1"/>
    </xf>
    <xf numFmtId="0" fontId="30" fillId="7" borderId="42" xfId="0" applyFont="1" applyFill="1" applyBorder="1" applyAlignment="1" applyProtection="1">
      <alignment horizontal="left" vertical="top" wrapText="1"/>
      <protection hidden="1"/>
    </xf>
    <xf numFmtId="0" fontId="25" fillId="7" borderId="0" xfId="0" applyFont="1" applyFill="1" applyBorder="1" applyProtection="1">
      <protection hidden="1"/>
    </xf>
    <xf numFmtId="0" fontId="25" fillId="7" borderId="0" xfId="0" applyFont="1" applyFill="1" applyBorder="1" applyProtection="1">
      <protection locked="0"/>
    </xf>
    <xf numFmtId="0" fontId="35" fillId="7" borderId="0" xfId="0" applyFont="1" applyFill="1" applyBorder="1" applyProtection="1">
      <protection locked="0"/>
    </xf>
    <xf numFmtId="10" fontId="36" fillId="7" borderId="0" xfId="0" applyNumberFormat="1" applyFont="1" applyFill="1" applyBorder="1" applyAlignment="1" applyProtection="1">
      <alignment horizontal="left" vertical="center"/>
      <protection hidden="1"/>
    </xf>
    <xf numFmtId="0" fontId="25" fillId="0" borderId="0" xfId="0" applyFont="1" applyProtection="1">
      <protection locked="0"/>
    </xf>
    <xf numFmtId="10" fontId="36" fillId="7" borderId="0" xfId="0" applyNumberFormat="1" applyFont="1" applyFill="1" applyBorder="1" applyAlignment="1" applyProtection="1">
      <alignment vertical="center"/>
      <protection hidden="1"/>
    </xf>
    <xf numFmtId="0" fontId="25" fillId="7" borderId="0" xfId="0" applyFont="1" applyFill="1" applyBorder="1" applyAlignment="1" applyProtection="1">
      <alignment horizontal="right"/>
      <protection locked="0"/>
    </xf>
    <xf numFmtId="0" fontId="16" fillId="7" borderId="7" xfId="0" applyFont="1" applyFill="1" applyBorder="1" applyProtection="1">
      <protection locked="0"/>
    </xf>
    <xf numFmtId="0" fontId="37" fillId="0" borderId="31" xfId="0" applyFont="1" applyFill="1" applyBorder="1" applyAlignment="1" applyProtection="1">
      <alignment horizontal="right"/>
    </xf>
    <xf numFmtId="10" fontId="37" fillId="0" borderId="31" xfId="2" applyNumberFormat="1" applyFont="1" applyFill="1" applyBorder="1" applyAlignment="1" applyProtection="1">
      <alignment horizontal="right"/>
    </xf>
    <xf numFmtId="43" fontId="37" fillId="0" borderId="31" xfId="1" applyFont="1" applyFill="1" applyBorder="1" applyAlignment="1" applyProtection="1">
      <alignment horizontal="right"/>
    </xf>
    <xf numFmtId="0" fontId="16" fillId="7" borderId="27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24" fillId="7" borderId="2" xfId="0" applyFont="1" applyFill="1" applyBorder="1" applyProtection="1">
      <protection locked="0"/>
    </xf>
    <xf numFmtId="0" fontId="24" fillId="7" borderId="25" xfId="0" applyFont="1" applyFill="1" applyBorder="1" applyProtection="1">
      <protection locked="0"/>
    </xf>
    <xf numFmtId="0" fontId="24" fillId="7" borderId="0" xfId="0" applyFont="1" applyFill="1" applyBorder="1" applyAlignment="1" applyProtection="1">
      <alignment horizontal="right"/>
      <protection hidden="1"/>
    </xf>
    <xf numFmtId="10" fontId="29" fillId="7" borderId="0" xfId="0" applyNumberFormat="1" applyFont="1" applyFill="1" applyBorder="1" applyProtection="1">
      <protection hidden="1"/>
    </xf>
    <xf numFmtId="167" fontId="30" fillId="7" borderId="0" xfId="0" applyNumberFormat="1" applyFont="1" applyFill="1" applyBorder="1" applyAlignment="1" applyProtection="1">
      <alignment horizontal="right"/>
      <protection hidden="1"/>
    </xf>
    <xf numFmtId="43" fontId="24" fillId="7" borderId="0" xfId="0" applyNumberFormat="1" applyFont="1" applyFill="1" applyBorder="1" applyProtection="1">
      <protection locked="0"/>
    </xf>
    <xf numFmtId="10" fontId="24" fillId="7" borderId="0" xfId="2" applyNumberFormat="1" applyFont="1" applyFill="1" applyBorder="1" applyAlignment="1" applyProtection="1">
      <alignment horizontal="right"/>
      <protection hidden="1"/>
    </xf>
    <xf numFmtId="0" fontId="25" fillId="7" borderId="0" xfId="0" applyFont="1" applyFill="1" applyBorder="1" applyAlignment="1" applyProtection="1">
      <alignment horizontal="right"/>
      <protection hidden="1"/>
    </xf>
    <xf numFmtId="0" fontId="34" fillId="7" borderId="0" xfId="0" applyFont="1" applyFill="1" applyBorder="1" applyAlignment="1" applyProtection="1">
      <alignment horizontal="right"/>
      <protection hidden="1"/>
    </xf>
    <xf numFmtId="43" fontId="29" fillId="7" borderId="0" xfId="1" applyFont="1" applyFill="1" applyBorder="1" applyAlignment="1" applyProtection="1">
      <alignment horizontal="left"/>
      <protection hidden="1"/>
    </xf>
    <xf numFmtId="43" fontId="29" fillId="7" borderId="0" xfId="1" applyFont="1" applyFill="1" applyBorder="1" applyAlignment="1" applyProtection="1">
      <alignment horizontal="right"/>
      <protection hidden="1"/>
    </xf>
    <xf numFmtId="0" fontId="25" fillId="7" borderId="0" xfId="0" applyFont="1" applyFill="1" applyBorder="1" applyAlignment="1" applyProtection="1">
      <alignment horizontal="right" vertical="center"/>
    </xf>
    <xf numFmtId="0" fontId="25" fillId="7" borderId="0" xfId="0" applyFont="1" applyFill="1" applyBorder="1" applyAlignment="1" applyProtection="1">
      <alignment horizontal="right" vertical="center"/>
      <protection hidden="1"/>
    </xf>
    <xf numFmtId="0" fontId="24" fillId="7" borderId="0" xfId="0" applyFont="1" applyFill="1" applyBorder="1" applyAlignment="1" applyProtection="1">
      <alignment vertical="center"/>
      <protection locked="0"/>
    </xf>
    <xf numFmtId="0" fontId="0" fillId="7" borderId="2" xfId="0" applyFill="1" applyBorder="1" applyProtection="1">
      <protection hidden="1"/>
    </xf>
    <xf numFmtId="0" fontId="0" fillId="7" borderId="5" xfId="0" applyFill="1" applyBorder="1" applyProtection="1">
      <protection hidden="1"/>
    </xf>
    <xf numFmtId="0" fontId="0" fillId="7" borderId="25" xfId="0" applyFill="1" applyBorder="1" applyProtection="1">
      <protection hidden="1"/>
    </xf>
    <xf numFmtId="0" fontId="38" fillId="7" borderId="7" xfId="0" applyFont="1" applyFill="1" applyBorder="1" applyProtection="1">
      <protection hidden="1"/>
    </xf>
    <xf numFmtId="0" fontId="38" fillId="7" borderId="0" xfId="0" applyFont="1" applyFill="1" applyBorder="1" applyProtection="1">
      <protection hidden="1"/>
    </xf>
    <xf numFmtId="0" fontId="0" fillId="7" borderId="27" xfId="0" applyFill="1" applyBorder="1" applyProtection="1">
      <protection hidden="1"/>
    </xf>
    <xf numFmtId="0" fontId="0" fillId="7" borderId="7" xfId="0" applyFill="1" applyBorder="1" applyProtection="1">
      <protection hidden="1"/>
    </xf>
    <xf numFmtId="43" fontId="0" fillId="7" borderId="0" xfId="1" applyFont="1" applyFill="1" applyBorder="1" applyProtection="1">
      <protection hidden="1"/>
    </xf>
    <xf numFmtId="43" fontId="0" fillId="7" borderId="0" xfId="0" applyNumberFormat="1" applyFill="1" applyBorder="1" applyProtection="1">
      <protection hidden="1"/>
    </xf>
    <xf numFmtId="8" fontId="0" fillId="7" borderId="0" xfId="0" applyNumberFormat="1" applyFill="1" applyBorder="1" applyProtection="1">
      <protection hidden="1"/>
    </xf>
    <xf numFmtId="0" fontId="0" fillId="7" borderId="14" xfId="0" applyFill="1" applyBorder="1" applyProtection="1">
      <protection hidden="1"/>
    </xf>
    <xf numFmtId="0" fontId="0" fillId="7" borderId="11" xfId="0" applyFill="1" applyBorder="1" applyProtection="1">
      <protection hidden="1"/>
    </xf>
    <xf numFmtId="43" fontId="0" fillId="7" borderId="11" xfId="0" applyNumberFormat="1" applyFill="1" applyBorder="1" applyProtection="1">
      <protection hidden="1"/>
    </xf>
    <xf numFmtId="43" fontId="0" fillId="7" borderId="11" xfId="1" applyFont="1" applyFill="1" applyBorder="1" applyProtection="1">
      <protection hidden="1"/>
    </xf>
    <xf numFmtId="0" fontId="0" fillId="7" borderId="26" xfId="0" applyFill="1" applyBorder="1" applyProtection="1">
      <protection hidden="1"/>
    </xf>
    <xf numFmtId="0" fontId="0" fillId="7" borderId="48" xfId="0" applyFill="1" applyBorder="1" applyAlignment="1" applyProtection="1">
      <alignment horizontal="center"/>
      <protection hidden="1"/>
    </xf>
    <xf numFmtId="0" fontId="0" fillId="7" borderId="49" xfId="0" applyFill="1" applyBorder="1" applyAlignment="1" applyProtection="1">
      <alignment horizontal="center"/>
      <protection hidden="1"/>
    </xf>
    <xf numFmtId="0" fontId="0" fillId="7" borderId="50" xfId="0" applyFill="1" applyBorder="1" applyAlignment="1" applyProtection="1">
      <alignment horizontal="center"/>
      <protection hidden="1"/>
    </xf>
    <xf numFmtId="10" fontId="5" fillId="0" borderId="18" xfId="0" applyNumberFormat="1" applyFont="1" applyBorder="1" applyAlignment="1">
      <alignment horizontal="center" vertical="center"/>
    </xf>
    <xf numFmtId="10" fontId="5" fillId="0" borderId="21" xfId="2" applyNumberFormat="1" applyFont="1" applyFill="1" applyBorder="1" applyAlignment="1">
      <alignment horizontal="center" vertical="center"/>
    </xf>
    <xf numFmtId="164" fontId="16" fillId="0" borderId="0" xfId="1" applyNumberFormat="1" applyFont="1" applyProtection="1">
      <protection hidden="1"/>
    </xf>
    <xf numFmtId="10" fontId="39" fillId="0" borderId="18" xfId="0" applyNumberFormat="1" applyFont="1" applyBorder="1" applyAlignment="1">
      <alignment horizontal="center" vertical="center"/>
    </xf>
    <xf numFmtId="9" fontId="11" fillId="0" borderId="0" xfId="0" applyNumberFormat="1" applyFont="1"/>
    <xf numFmtId="10" fontId="9" fillId="0" borderId="0" xfId="0" applyNumberFormat="1" applyFont="1" applyProtection="1">
      <protection locked="0"/>
    </xf>
    <xf numFmtId="165" fontId="9" fillId="0" borderId="0" xfId="2" applyNumberFormat="1" applyFont="1" applyProtection="1">
      <protection locked="0"/>
    </xf>
    <xf numFmtId="0" fontId="28" fillId="7" borderId="0" xfId="0" applyFont="1" applyFill="1" applyBorder="1" applyProtection="1">
      <protection locked="0"/>
    </xf>
    <xf numFmtId="0" fontId="14" fillId="8" borderId="0" xfId="0" applyFont="1" applyFill="1"/>
    <xf numFmtId="0" fontId="20" fillId="8" borderId="0" xfId="0" applyFont="1" applyFill="1" applyBorder="1" applyAlignment="1">
      <alignment vertical="center" wrapText="1"/>
    </xf>
    <xf numFmtId="4" fontId="22" fillId="8" borderId="0" xfId="0" applyNumberFormat="1" applyFont="1" applyFill="1" applyBorder="1" applyAlignment="1">
      <alignment horizontal="justify" vertical="center" wrapText="1"/>
    </xf>
    <xf numFmtId="10" fontId="22" fillId="8" borderId="0" xfId="0" applyNumberFormat="1" applyFont="1" applyFill="1" applyBorder="1" applyAlignment="1">
      <alignment vertical="center" wrapText="1"/>
    </xf>
    <xf numFmtId="10" fontId="22" fillId="8" borderId="0" xfId="0" applyNumberFormat="1" applyFont="1" applyFill="1" applyBorder="1" applyAlignment="1">
      <alignment horizontal="center" vertical="center" wrapText="1"/>
    </xf>
    <xf numFmtId="0" fontId="0" fillId="8" borderId="0" xfId="0" applyFill="1"/>
    <xf numFmtId="4" fontId="23" fillId="8" borderId="0" xfId="0" applyNumberFormat="1" applyFont="1" applyFill="1" applyBorder="1" applyAlignment="1">
      <alignment horizontal="justify" vertical="center" wrapText="1"/>
    </xf>
    <xf numFmtId="0" fontId="16" fillId="8" borderId="0" xfId="0" applyFont="1" applyFill="1"/>
    <xf numFmtId="0" fontId="0" fillId="8" borderId="0" xfId="0" applyFont="1" applyFill="1" applyBorder="1" applyAlignment="1">
      <alignment vertical="center" wrapText="1"/>
    </xf>
    <xf numFmtId="0" fontId="14" fillId="0" borderId="0" xfId="0" applyFont="1" applyAlignment="1">
      <alignment horizontal="right"/>
    </xf>
    <xf numFmtId="0" fontId="4" fillId="11" borderId="18" xfId="0" applyFont="1" applyFill="1" applyBorder="1" applyAlignment="1">
      <alignment horizontal="center" vertical="center" wrapText="1"/>
    </xf>
    <xf numFmtId="10" fontId="0" fillId="12" borderId="18" xfId="0" applyNumberFormat="1" applyFill="1" applyBorder="1"/>
    <xf numFmtId="0" fontId="30" fillId="7" borderId="0" xfId="0" applyFont="1" applyFill="1" applyBorder="1" applyAlignment="1" applyProtection="1">
      <alignment horizontal="left" vertical="center" indent="2"/>
      <protection hidden="1"/>
    </xf>
    <xf numFmtId="4" fontId="22" fillId="0" borderId="0" xfId="0" applyNumberFormat="1" applyFont="1" applyFill="1" applyBorder="1" applyAlignment="1">
      <alignment horizontal="justify" vertical="center" wrapText="1"/>
    </xf>
    <xf numFmtId="0" fontId="14" fillId="0" borderId="0" xfId="0" applyFont="1" applyFill="1"/>
    <xf numFmtId="0" fontId="41" fillId="8" borderId="33" xfId="0" applyFont="1" applyFill="1" applyBorder="1" applyAlignment="1">
      <alignment vertical="center"/>
    </xf>
    <xf numFmtId="0" fontId="41" fillId="0" borderId="0" xfId="0" applyFont="1"/>
    <xf numFmtId="168" fontId="0" fillId="0" borderId="0" xfId="0" applyNumberFormat="1" applyProtection="1">
      <protection locked="0"/>
    </xf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30" fillId="7" borderId="0" xfId="0" applyFont="1" applyFill="1" applyBorder="1" applyAlignment="1" applyProtection="1">
      <alignment horizontal="left" vertical="center" indent="1"/>
      <protection hidden="1"/>
    </xf>
    <xf numFmtId="10" fontId="5" fillId="2" borderId="21" xfId="0" applyNumberFormat="1" applyFont="1" applyFill="1" applyBorder="1" applyAlignment="1">
      <alignment horizontal="center" vertical="center"/>
    </xf>
    <xf numFmtId="10" fontId="5" fillId="0" borderId="0" xfId="2" applyNumberFormat="1" applyFont="1"/>
    <xf numFmtId="0" fontId="5" fillId="0" borderId="0" xfId="0" applyFont="1"/>
    <xf numFmtId="0" fontId="6" fillId="11" borderId="18" xfId="0" applyFont="1" applyFill="1" applyBorder="1" applyAlignment="1">
      <alignment horizontal="center" vertical="center"/>
    </xf>
    <xf numFmtId="10" fontId="5" fillId="0" borderId="18" xfId="2" applyNumberFormat="1" applyFont="1" applyBorder="1"/>
    <xf numFmtId="10" fontId="42" fillId="0" borderId="18" xfId="2" applyNumberFormat="1" applyFont="1" applyFill="1" applyBorder="1" applyAlignment="1">
      <alignment horizontal="center" vertical="center"/>
    </xf>
    <xf numFmtId="10" fontId="42" fillId="0" borderId="18" xfId="2" applyNumberFormat="1" applyFont="1" applyBorder="1" applyAlignment="1">
      <alignment horizontal="center" vertical="center"/>
    </xf>
    <xf numFmtId="10" fontId="42" fillId="0" borderId="0" xfId="2" applyNumberFormat="1" applyFont="1" applyFill="1" applyBorder="1" applyAlignment="1">
      <alignment horizontal="center" vertical="center"/>
    </xf>
    <xf numFmtId="10" fontId="42" fillId="0" borderId="18" xfId="0" applyNumberFormat="1" applyFont="1" applyFill="1" applyBorder="1"/>
    <xf numFmtId="10" fontId="42" fillId="0" borderId="0" xfId="0" applyNumberFormat="1" applyFont="1" applyFill="1" applyBorder="1"/>
    <xf numFmtId="10" fontId="42" fillId="0" borderId="18" xfId="2" applyNumberFormat="1" applyFont="1" applyFill="1" applyBorder="1" applyAlignment="1">
      <alignment horizontal="center"/>
    </xf>
    <xf numFmtId="10" fontId="42" fillId="0" borderId="18" xfId="2" applyNumberFormat="1" applyFont="1" applyBorder="1" applyAlignment="1">
      <alignment horizontal="center"/>
    </xf>
    <xf numFmtId="10" fontId="42" fillId="0" borderId="21" xfId="2" applyNumberFormat="1" applyFont="1" applyFill="1" applyBorder="1" applyAlignment="1">
      <alignment horizontal="center" vertical="center"/>
    </xf>
    <xf numFmtId="10" fontId="42" fillId="0" borderId="18" xfId="2" applyNumberFormat="1" applyFont="1" applyBorder="1"/>
    <xf numFmtId="10" fontId="42" fillId="0" borderId="18" xfId="0" applyNumberFormat="1" applyFont="1" applyFill="1" applyBorder="1" applyAlignment="1">
      <alignment horizontal="center" vertical="center"/>
    </xf>
    <xf numFmtId="10" fontId="42" fillId="0" borderId="18" xfId="0" applyNumberFormat="1" applyFont="1" applyBorder="1"/>
    <xf numFmtId="10" fontId="42" fillId="0" borderId="18" xfId="0" applyNumberFormat="1" applyFont="1" applyBorder="1" applyAlignment="1">
      <alignment horizontal="center" vertical="center"/>
    </xf>
    <xf numFmtId="10" fontId="42" fillId="0" borderId="21" xfId="0" applyNumberFormat="1" applyFont="1" applyFill="1" applyBorder="1" applyAlignment="1">
      <alignment horizontal="center" vertical="center"/>
    </xf>
    <xf numFmtId="10" fontId="3" fillId="11" borderId="18" xfId="2" applyNumberFormat="1" applyFont="1" applyFill="1" applyBorder="1" applyAlignment="1">
      <alignment horizontal="center"/>
    </xf>
    <xf numFmtId="0" fontId="40" fillId="11" borderId="1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0" fontId="4" fillId="3" borderId="16" xfId="2" applyNumberFormat="1" applyFont="1" applyFill="1" applyBorder="1" applyAlignment="1">
      <alignment horizontal="center" vertical="center" wrapText="1"/>
    </xf>
    <xf numFmtId="10" fontId="4" fillId="3" borderId="17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0" fontId="4" fillId="4" borderId="28" xfId="2" applyNumberFormat="1" applyFont="1" applyFill="1" applyBorder="1" applyAlignment="1">
      <alignment horizontal="center" vertical="center" wrapText="1"/>
    </xf>
    <xf numFmtId="10" fontId="4" fillId="4" borderId="29" xfId="2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10" fontId="4" fillId="5" borderId="28" xfId="2" applyNumberFormat="1" applyFont="1" applyFill="1" applyBorder="1" applyAlignment="1">
      <alignment horizontal="center" vertical="center" wrapText="1"/>
    </xf>
    <xf numFmtId="10" fontId="4" fillId="5" borderId="29" xfId="2" applyNumberFormat="1" applyFont="1" applyFill="1" applyBorder="1" applyAlignment="1">
      <alignment horizontal="center" vertical="center" wrapText="1"/>
    </xf>
    <xf numFmtId="10" fontId="4" fillId="6" borderId="19" xfId="2" applyNumberFormat="1" applyFont="1" applyFill="1" applyBorder="1" applyAlignment="1">
      <alignment horizontal="center" vertical="center" wrapText="1"/>
    </xf>
    <xf numFmtId="10" fontId="4" fillId="6" borderId="12" xfId="2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0" fontId="4" fillId="3" borderId="30" xfId="2" applyNumberFormat="1" applyFont="1" applyFill="1" applyBorder="1" applyAlignment="1">
      <alignment horizontal="center" vertical="center" wrapText="1"/>
    </xf>
    <xf numFmtId="10" fontId="4" fillId="3" borderId="38" xfId="2" applyNumberFormat="1" applyFont="1" applyFill="1" applyBorder="1" applyAlignment="1">
      <alignment horizontal="center" vertical="center" wrapText="1"/>
    </xf>
    <xf numFmtId="10" fontId="4" fillId="3" borderId="37" xfId="2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0" fontId="4" fillId="2" borderId="30" xfId="2" applyNumberFormat="1" applyFont="1" applyFill="1" applyBorder="1" applyAlignment="1">
      <alignment horizontal="center" vertical="center" wrapText="1"/>
    </xf>
    <xf numFmtId="10" fontId="4" fillId="2" borderId="38" xfId="2" applyNumberFormat="1" applyFont="1" applyFill="1" applyBorder="1" applyAlignment="1">
      <alignment horizontal="center" vertical="center" wrapText="1"/>
    </xf>
    <xf numFmtId="10" fontId="4" fillId="2" borderId="37" xfId="2" applyNumberFormat="1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0" fontId="4" fillId="4" borderId="30" xfId="2" applyNumberFormat="1" applyFont="1" applyFill="1" applyBorder="1" applyAlignment="1">
      <alignment horizontal="center" vertical="center" wrapText="1"/>
    </xf>
    <xf numFmtId="10" fontId="4" fillId="4" borderId="38" xfId="2" applyNumberFormat="1" applyFont="1" applyFill="1" applyBorder="1" applyAlignment="1">
      <alignment horizontal="center" vertical="center" wrapText="1"/>
    </xf>
    <xf numFmtId="10" fontId="4" fillId="4" borderId="37" xfId="2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10" fontId="4" fillId="6" borderId="30" xfId="0" applyNumberFormat="1" applyFont="1" applyFill="1" applyBorder="1" applyAlignment="1">
      <alignment horizontal="center" vertical="center" wrapText="1"/>
    </xf>
    <xf numFmtId="10" fontId="4" fillId="6" borderId="38" xfId="0" applyNumberFormat="1" applyFont="1" applyFill="1" applyBorder="1" applyAlignment="1">
      <alignment horizontal="center" vertical="center" wrapText="1"/>
    </xf>
    <xf numFmtId="10" fontId="4" fillId="6" borderId="37" xfId="0" applyNumberFormat="1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10" fontId="4" fillId="5" borderId="30" xfId="2" applyNumberFormat="1" applyFont="1" applyFill="1" applyBorder="1" applyAlignment="1">
      <alignment horizontal="center" vertical="center" wrapText="1"/>
    </xf>
    <xf numFmtId="10" fontId="4" fillId="5" borderId="38" xfId="2" applyNumberFormat="1" applyFont="1" applyFill="1" applyBorder="1" applyAlignment="1">
      <alignment horizontal="center" vertical="center" wrapText="1"/>
    </xf>
    <xf numFmtId="10" fontId="4" fillId="5" borderId="37" xfId="2" applyNumberFormat="1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0" fillId="10" borderId="0" xfId="0" applyFill="1" applyAlignment="1" applyProtection="1">
      <alignment horizontal="center"/>
      <protection hidden="1"/>
    </xf>
    <xf numFmtId="43" fontId="26" fillId="9" borderId="35" xfId="1" applyFont="1" applyFill="1" applyBorder="1" applyAlignment="1" applyProtection="1">
      <alignment horizontal="center"/>
      <protection locked="0"/>
    </xf>
    <xf numFmtId="43" fontId="26" fillId="9" borderId="36" xfId="1" applyFont="1" applyFill="1" applyBorder="1" applyAlignment="1" applyProtection="1">
      <alignment horizontal="center"/>
      <protection locked="0"/>
    </xf>
    <xf numFmtId="43" fontId="27" fillId="9" borderId="35" xfId="1" applyFont="1" applyFill="1" applyBorder="1" applyAlignment="1" applyProtection="1">
      <alignment horizontal="left" vertical="center" wrapText="1"/>
      <protection locked="0"/>
    </xf>
    <xf numFmtId="43" fontId="27" fillId="9" borderId="36" xfId="1" applyFont="1" applyFill="1" applyBorder="1" applyAlignment="1" applyProtection="1">
      <alignment horizontal="left" vertical="center" wrapText="1"/>
      <protection locked="0"/>
    </xf>
    <xf numFmtId="0" fontId="27" fillId="9" borderId="35" xfId="0" applyFont="1" applyFill="1" applyBorder="1" applyAlignment="1" applyProtection="1">
      <alignment horizontal="left"/>
      <protection locked="0"/>
    </xf>
    <xf numFmtId="0" fontId="27" fillId="9" borderId="36" xfId="0" applyFont="1" applyFill="1" applyBorder="1" applyAlignment="1" applyProtection="1">
      <alignment horizontal="left"/>
      <protection locked="0"/>
    </xf>
    <xf numFmtId="10" fontId="24" fillId="0" borderId="32" xfId="2" applyNumberFormat="1" applyFont="1" applyBorder="1" applyAlignment="1" applyProtection="1">
      <alignment horizontal="right"/>
    </xf>
    <xf numFmtId="10" fontId="24" fillId="0" borderId="34" xfId="2" applyNumberFormat="1" applyFont="1" applyBorder="1" applyAlignment="1" applyProtection="1">
      <alignment horizontal="right"/>
    </xf>
    <xf numFmtId="164" fontId="26" fillId="9" borderId="35" xfId="1" applyNumberFormat="1" applyFont="1" applyFill="1" applyBorder="1" applyAlignment="1" applyProtection="1">
      <alignment horizontal="center"/>
      <protection locked="0"/>
    </xf>
    <xf numFmtId="164" fontId="26" fillId="9" borderId="36" xfId="1" applyNumberFormat="1" applyFont="1" applyFill="1" applyBorder="1" applyAlignment="1" applyProtection="1">
      <alignment horizontal="center"/>
      <protection locked="0"/>
    </xf>
    <xf numFmtId="164" fontId="26" fillId="9" borderId="35" xfId="1" applyNumberFormat="1" applyFont="1" applyFill="1" applyBorder="1" applyAlignment="1" applyProtection="1">
      <alignment horizontal="right"/>
      <protection locked="0"/>
    </xf>
    <xf numFmtId="164" fontId="26" fillId="9" borderId="36" xfId="1" applyNumberFormat="1" applyFont="1" applyFill="1" applyBorder="1" applyAlignment="1" applyProtection="1">
      <alignment horizontal="right"/>
      <protection locked="0"/>
    </xf>
    <xf numFmtId="43" fontId="27" fillId="9" borderId="35" xfId="1" applyFont="1" applyFill="1" applyBorder="1" applyAlignment="1" applyProtection="1">
      <alignment horizontal="right"/>
      <protection locked="0"/>
    </xf>
    <xf numFmtId="43" fontId="27" fillId="9" borderId="36" xfId="1" applyFont="1" applyFill="1" applyBorder="1" applyAlignment="1" applyProtection="1">
      <alignment horizontal="right"/>
      <protection locked="0"/>
    </xf>
    <xf numFmtId="43" fontId="27" fillId="9" borderId="35" xfId="1" applyFont="1" applyFill="1" applyBorder="1" applyAlignment="1" applyProtection="1">
      <alignment horizontal="center"/>
      <protection locked="0"/>
    </xf>
    <xf numFmtId="43" fontId="27" fillId="9" borderId="36" xfId="1" applyFont="1" applyFill="1" applyBorder="1" applyAlignment="1" applyProtection="1">
      <alignment horizontal="center"/>
      <protection locked="0"/>
    </xf>
    <xf numFmtId="10" fontId="26" fillId="9" borderId="35" xfId="2" applyNumberFormat="1" applyFont="1" applyFill="1" applyBorder="1" applyAlignment="1" applyProtection="1">
      <alignment horizontal="right"/>
      <protection locked="0"/>
    </xf>
    <xf numFmtId="10" fontId="26" fillId="9" borderId="36" xfId="2" applyNumberFormat="1" applyFont="1" applyFill="1" applyBorder="1" applyAlignment="1" applyProtection="1">
      <alignment horizontal="right"/>
      <protection locked="0"/>
    </xf>
    <xf numFmtId="0" fontId="30" fillId="7" borderId="0" xfId="0" applyFont="1" applyFill="1" applyBorder="1" applyAlignment="1" applyProtection="1">
      <alignment horizontal="left" vertical="top" wrapText="1"/>
      <protection hidden="1"/>
    </xf>
    <xf numFmtId="0" fontId="30" fillId="7" borderId="7" xfId="0" applyFont="1" applyFill="1" applyBorder="1" applyAlignment="1" applyProtection="1">
      <alignment horizontal="left" wrapText="1"/>
      <protection locked="0"/>
    </xf>
    <xf numFmtId="0" fontId="30" fillId="7" borderId="0" xfId="0" applyFont="1" applyFill="1" applyBorder="1" applyAlignment="1" applyProtection="1">
      <alignment horizontal="left" wrapText="1"/>
      <protection locked="0"/>
    </xf>
    <xf numFmtId="0" fontId="30" fillId="7" borderId="27" xfId="0" applyFont="1" applyFill="1" applyBorder="1" applyAlignment="1" applyProtection="1">
      <alignment horizontal="left" wrapText="1"/>
      <protection locked="0"/>
    </xf>
    <xf numFmtId="10" fontId="24" fillId="0" borderId="32" xfId="2" applyNumberFormat="1" applyFont="1" applyBorder="1" applyAlignment="1" applyProtection="1">
      <alignment horizontal="right"/>
      <protection hidden="1"/>
    </xf>
    <xf numFmtId="10" fontId="24" fillId="0" borderId="34" xfId="2" applyNumberFormat="1" applyFont="1" applyBorder="1" applyAlignment="1" applyProtection="1">
      <alignment horizontal="right"/>
      <protection hidden="1"/>
    </xf>
    <xf numFmtId="0" fontId="27" fillId="9" borderId="47" xfId="0" applyFont="1" applyFill="1" applyBorder="1" applyAlignment="1" applyProtection="1">
      <alignment horizontal="center"/>
      <protection locked="0"/>
    </xf>
    <xf numFmtId="164" fontId="24" fillId="0" borderId="32" xfId="1" applyNumberFormat="1" applyFont="1" applyBorder="1" applyAlignment="1" applyProtection="1">
      <alignment horizontal="right"/>
      <protection hidden="1"/>
    </xf>
    <xf numFmtId="164" fontId="24" fillId="0" borderId="34" xfId="1" applyNumberFormat="1" applyFont="1" applyBorder="1" applyAlignment="1" applyProtection="1">
      <alignment horizontal="right"/>
      <protection hidden="1"/>
    </xf>
    <xf numFmtId="0" fontId="27" fillId="9" borderId="35" xfId="0" applyFont="1" applyFill="1" applyBorder="1" applyAlignment="1" applyProtection="1">
      <alignment horizontal="center"/>
      <protection locked="0"/>
    </xf>
    <xf numFmtId="0" fontId="27" fillId="9" borderId="36" xfId="0" applyFont="1" applyFill="1" applyBorder="1" applyAlignment="1" applyProtection="1">
      <alignment horizontal="center"/>
      <protection locked="0"/>
    </xf>
    <xf numFmtId="43" fontId="24" fillId="0" borderId="32" xfId="1" applyFont="1" applyBorder="1" applyAlignment="1" applyProtection="1">
      <alignment horizontal="right"/>
      <protection hidden="1"/>
    </xf>
    <xf numFmtId="43" fontId="24" fillId="0" borderId="34" xfId="1" applyFont="1" applyBorder="1" applyAlignment="1" applyProtection="1">
      <alignment horizontal="right"/>
      <protection hidden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76200</xdr:rowOff>
    </xdr:from>
    <xdr:to>
      <xdr:col>2</xdr:col>
      <xdr:colOff>1200151</xdr:colOff>
      <xdr:row>4</xdr:row>
      <xdr:rowOff>504826</xdr:rowOff>
    </xdr:to>
    <xdr:pic>
      <xdr:nvPicPr>
        <xdr:cNvPr id="2" name="Рисунок 1" descr="X:\[=Ak Bars Bank=]\Новый Брендбук\Бланки\preview\Бланки - лого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76225"/>
          <a:ext cx="1381126" cy="10001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47625</xdr:rowOff>
    </xdr:from>
    <xdr:to>
      <xdr:col>2</xdr:col>
      <xdr:colOff>733425</xdr:colOff>
      <xdr:row>4</xdr:row>
      <xdr:rowOff>142875</xdr:rowOff>
    </xdr:to>
    <xdr:pic>
      <xdr:nvPicPr>
        <xdr:cNvPr id="2" name="Рисунок 1" descr="X:\[=Ak Bars Bank=]\Новый Брендбук\Бланки\preview\Бланки - лого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47650"/>
          <a:ext cx="952501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85724</xdr:rowOff>
    </xdr:from>
    <xdr:to>
      <xdr:col>2</xdr:col>
      <xdr:colOff>581025</xdr:colOff>
      <xdr:row>3</xdr:row>
      <xdr:rowOff>485775</xdr:rowOff>
    </xdr:to>
    <xdr:pic>
      <xdr:nvPicPr>
        <xdr:cNvPr id="2" name="Рисунок 1" descr="X:\[=Ak Bars Bank=]\Новый Брендбук\Бланки\preview\Бланки - лого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285749"/>
          <a:ext cx="1123951" cy="8191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5"/>
  <sheetViews>
    <sheetView zoomScale="80" zoomScaleNormal="80" workbookViewId="0">
      <pane ySplit="6" topLeftCell="A7" activePane="bottomLeft" state="frozen"/>
      <selection pane="bottomLeft" activeCell="C20" sqref="C20"/>
    </sheetView>
  </sheetViews>
  <sheetFormatPr defaultRowHeight="15" x14ac:dyDescent="0.25"/>
  <cols>
    <col min="1" max="1" width="9.28515625" style="18" customWidth="1"/>
    <col min="2" max="2" width="16.7109375" style="18" customWidth="1"/>
    <col min="3" max="3" width="15.85546875" style="18" bestFit="1" customWidth="1"/>
    <col min="5" max="5" width="10.42578125" customWidth="1"/>
    <col min="7" max="7" width="9.28515625" style="18" customWidth="1"/>
    <col min="8" max="8" width="16.7109375" style="18" customWidth="1"/>
    <col min="9" max="9" width="20" customWidth="1"/>
    <col min="12" max="12" width="17.7109375" customWidth="1"/>
    <col min="13" max="13" width="22" customWidth="1"/>
    <col min="14" max="14" width="16.85546875" customWidth="1"/>
    <col min="18" max="18" width="15.7109375" customWidth="1"/>
    <col min="19" max="19" width="16.140625" customWidth="1"/>
    <col min="23" max="23" width="17" customWidth="1"/>
  </cols>
  <sheetData>
    <row r="1" spans="1:35" s="38" customFormat="1" ht="18.75" x14ac:dyDescent="0.3">
      <c r="A1" s="36" t="s">
        <v>12</v>
      </c>
      <c r="B1" s="37"/>
      <c r="C1" s="252"/>
      <c r="G1" s="38" t="s">
        <v>37</v>
      </c>
      <c r="J1" s="36"/>
      <c r="L1" s="38" t="s">
        <v>39</v>
      </c>
      <c r="Q1" s="36" t="s">
        <v>38</v>
      </c>
      <c r="R1" s="39"/>
      <c r="S1" s="39"/>
      <c r="V1" s="38" t="s">
        <v>40</v>
      </c>
      <c r="Y1" s="37"/>
      <c r="Z1" s="37"/>
      <c r="AA1" s="39"/>
      <c r="AB1" s="37"/>
      <c r="AI1" s="36"/>
    </row>
    <row r="2" spans="1:35" ht="15.75" thickBot="1" x14ac:dyDescent="0.3">
      <c r="A2" s="1"/>
      <c r="B2"/>
      <c r="C2"/>
      <c r="G2" s="1"/>
      <c r="H2"/>
      <c r="L2" s="1"/>
      <c r="N2" s="2"/>
      <c r="Q2" s="1"/>
      <c r="S2" s="2"/>
      <c r="V2" s="1"/>
      <c r="W2" s="3"/>
      <c r="X2" s="3"/>
    </row>
    <row r="3" spans="1:35" ht="14.45" customHeight="1" x14ac:dyDescent="0.25">
      <c r="A3" s="303" t="s">
        <v>0</v>
      </c>
      <c r="B3" s="305" t="s">
        <v>1</v>
      </c>
      <c r="C3" s="303" t="s">
        <v>140</v>
      </c>
      <c r="G3" s="308" t="s">
        <v>0</v>
      </c>
      <c r="H3" s="310" t="s">
        <v>1</v>
      </c>
      <c r="I3" s="297" t="s">
        <v>141</v>
      </c>
      <c r="J3" s="298"/>
      <c r="L3" s="313" t="s">
        <v>0</v>
      </c>
      <c r="M3" s="315" t="s">
        <v>1</v>
      </c>
      <c r="N3" s="315" t="s">
        <v>142</v>
      </c>
      <c r="O3" s="317"/>
      <c r="Q3" s="319" t="s">
        <v>0</v>
      </c>
      <c r="R3" s="323" t="s">
        <v>1</v>
      </c>
      <c r="S3" s="323" t="s">
        <v>143</v>
      </c>
      <c r="T3" s="325"/>
      <c r="V3" s="327" t="s">
        <v>0</v>
      </c>
      <c r="W3" s="330" t="s">
        <v>78</v>
      </c>
      <c r="X3" s="331"/>
      <c r="AA3" s="295" t="s">
        <v>147</v>
      </c>
      <c r="AB3" s="295"/>
      <c r="AC3" s="295"/>
      <c r="AD3" s="295"/>
      <c r="AE3" s="295"/>
    </row>
    <row r="4" spans="1:35" ht="15.75" thickBot="1" x14ac:dyDescent="0.3">
      <c r="A4" s="304"/>
      <c r="B4" s="306"/>
      <c r="C4" s="307"/>
      <c r="G4" s="309"/>
      <c r="H4" s="311"/>
      <c r="I4" s="299"/>
      <c r="J4" s="300"/>
      <c r="L4" s="314"/>
      <c r="M4" s="316"/>
      <c r="N4" s="316"/>
      <c r="O4" s="318"/>
      <c r="Q4" s="320"/>
      <c r="R4" s="324"/>
      <c r="S4" s="324"/>
      <c r="T4" s="326"/>
      <c r="V4" s="328"/>
      <c r="W4" s="332"/>
      <c r="X4" s="333"/>
      <c r="AA4" s="295" t="s">
        <v>148</v>
      </c>
      <c r="AB4" s="295"/>
      <c r="AC4" s="295"/>
      <c r="AD4" s="295"/>
      <c r="AE4" s="295"/>
    </row>
    <row r="5" spans="1:35" ht="15.75" thickBot="1" x14ac:dyDescent="0.3">
      <c r="A5" s="304"/>
      <c r="B5" s="306"/>
      <c r="C5" s="4">
        <v>0.08</v>
      </c>
      <c r="D5" s="5"/>
      <c r="E5" s="5"/>
      <c r="G5" s="309"/>
      <c r="H5" s="312"/>
      <c r="I5" s="301">
        <v>0.06</v>
      </c>
      <c r="J5" s="302"/>
      <c r="L5" s="314"/>
      <c r="M5" s="316"/>
      <c r="N5" s="321">
        <v>0.189</v>
      </c>
      <c r="O5" s="322"/>
      <c r="Q5" s="320"/>
      <c r="R5" s="324"/>
      <c r="S5" s="334">
        <v>0.189</v>
      </c>
      <c r="T5" s="335"/>
      <c r="V5" s="328"/>
      <c r="W5" s="336">
        <v>0.19</v>
      </c>
      <c r="X5" s="337"/>
      <c r="AA5" s="295">
        <v>0.05</v>
      </c>
      <c r="AB5" s="295"/>
      <c r="AC5" s="295"/>
      <c r="AD5" s="295"/>
      <c r="AE5" s="295"/>
    </row>
    <row r="6" spans="1:35" ht="39" thickBot="1" x14ac:dyDescent="0.3">
      <c r="A6" s="304"/>
      <c r="B6" s="306"/>
      <c r="C6" s="101" t="s">
        <v>2</v>
      </c>
      <c r="D6" s="102" t="s">
        <v>3</v>
      </c>
      <c r="E6" s="5"/>
      <c r="G6" s="309"/>
      <c r="H6" s="312"/>
      <c r="I6" s="76" t="s">
        <v>2</v>
      </c>
      <c r="J6" s="103" t="s">
        <v>3</v>
      </c>
      <c r="L6" s="314"/>
      <c r="M6" s="316"/>
      <c r="N6" s="132" t="s">
        <v>2</v>
      </c>
      <c r="O6" s="81" t="s">
        <v>3</v>
      </c>
      <c r="Q6" s="320"/>
      <c r="R6" s="324"/>
      <c r="S6" s="97" t="s">
        <v>2</v>
      </c>
      <c r="T6" s="85" t="s">
        <v>3</v>
      </c>
      <c r="V6" s="329"/>
      <c r="W6" s="6" t="s">
        <v>2</v>
      </c>
      <c r="X6" s="145" t="s">
        <v>3</v>
      </c>
      <c r="Z6" s="296" t="s">
        <v>0</v>
      </c>
      <c r="AA6" s="296" t="s">
        <v>2</v>
      </c>
      <c r="AB6" s="280" t="s">
        <v>4</v>
      </c>
      <c r="AC6" s="280" t="s">
        <v>149</v>
      </c>
      <c r="AD6" s="280" t="s">
        <v>150</v>
      </c>
      <c r="AE6" s="280" t="s">
        <v>151</v>
      </c>
    </row>
    <row r="7" spans="1:35" ht="38.25" x14ac:dyDescent="0.25">
      <c r="A7" s="8">
        <v>1E-3</v>
      </c>
      <c r="B7" s="7" t="s">
        <v>4</v>
      </c>
      <c r="C7" s="7">
        <f>$C$5-A7</f>
        <v>7.9000000000000001E-2</v>
      </c>
      <c r="D7" s="277">
        <v>1.5599999999999999E-2</v>
      </c>
      <c r="E7" s="278"/>
      <c r="F7" s="279"/>
      <c r="G7" s="8">
        <v>1E-3</v>
      </c>
      <c r="H7" s="7" t="s">
        <v>4</v>
      </c>
      <c r="I7" s="7">
        <f>$I$5-G7</f>
        <v>5.8999999999999997E-2</v>
      </c>
      <c r="J7" s="294">
        <v>2.29E-2</v>
      </c>
      <c r="K7" s="78"/>
      <c r="L7" s="98">
        <v>1E-3</v>
      </c>
      <c r="M7" s="139" t="s">
        <v>4</v>
      </c>
      <c r="N7" s="249">
        <v>0.188</v>
      </c>
      <c r="O7" s="282">
        <v>4.7000000000000002E-3</v>
      </c>
      <c r="P7" s="78"/>
      <c r="Q7" s="8">
        <v>1E-3</v>
      </c>
      <c r="R7" s="140" t="s">
        <v>4</v>
      </c>
      <c r="S7" s="249">
        <v>0.188</v>
      </c>
      <c r="T7" s="282">
        <v>1.5E-3</v>
      </c>
      <c r="U7" s="78"/>
      <c r="V7" s="98">
        <v>1E-3</v>
      </c>
      <c r="W7" s="249">
        <v>0.189</v>
      </c>
      <c r="X7" s="282">
        <v>1.8E-3</v>
      </c>
      <c r="Y7" s="78"/>
      <c r="Z7" s="296"/>
      <c r="AA7" s="296"/>
      <c r="AB7" s="266" t="s">
        <v>152</v>
      </c>
      <c r="AC7" s="266" t="s">
        <v>152</v>
      </c>
      <c r="AD7" s="266" t="s">
        <v>152</v>
      </c>
      <c r="AE7" s="266" t="s">
        <v>152</v>
      </c>
    </row>
    <row r="8" spans="1:35" x14ac:dyDescent="0.25">
      <c r="A8" s="8">
        <f>A7+0.1%</f>
        <v>2E-3</v>
      </c>
      <c r="B8" s="7" t="s">
        <v>4</v>
      </c>
      <c r="C8" s="7">
        <f t="shared" ref="C8:C17" si="0">$C$5-A8</f>
        <v>7.8E-2</v>
      </c>
      <c r="D8" s="277">
        <v>2.1899999999999999E-2</v>
      </c>
      <c r="E8" s="278"/>
      <c r="F8" s="279"/>
      <c r="G8" s="8">
        <f>G7+0.1%</f>
        <v>2E-3</v>
      </c>
      <c r="H8" s="7" t="s">
        <v>4</v>
      </c>
      <c r="I8" s="7">
        <f t="shared" ref="I8:I17" si="1">$I$5-G8</f>
        <v>5.7999999999999996E-2</v>
      </c>
      <c r="J8" s="294">
        <v>2.9100000000000001E-2</v>
      </c>
      <c r="K8" s="78"/>
      <c r="L8" s="99">
        <f>L7+0.1%</f>
        <v>2E-3</v>
      </c>
      <c r="M8" s="140" t="s">
        <v>4</v>
      </c>
      <c r="N8" s="249">
        <v>0.187</v>
      </c>
      <c r="O8" s="282">
        <v>8.9999999999999993E-3</v>
      </c>
      <c r="P8" s="78"/>
      <c r="Q8" s="8">
        <f>Q7+0.1%</f>
        <v>2E-3</v>
      </c>
      <c r="R8" s="140" t="s">
        <v>4</v>
      </c>
      <c r="S8" s="249">
        <v>0.187</v>
      </c>
      <c r="T8" s="282">
        <v>3.0999999999999999E-3</v>
      </c>
      <c r="U8" s="78"/>
      <c r="V8" s="99">
        <f>V7+0.1%</f>
        <v>2E-3</v>
      </c>
      <c r="W8" s="249">
        <v>0.188</v>
      </c>
      <c r="X8" s="282">
        <v>3.7000000000000002E-3</v>
      </c>
      <c r="Y8" s="78"/>
      <c r="Z8" s="98">
        <v>1E-3</v>
      </c>
      <c r="AA8" s="138">
        <v>4.9000000000000002E-2</v>
      </c>
      <c r="AB8" s="281">
        <v>1.54E-2</v>
      </c>
      <c r="AC8" s="281">
        <v>1.04E-2</v>
      </c>
      <c r="AD8" s="281">
        <v>1.1299999999999999E-2</v>
      </c>
      <c r="AE8" s="281">
        <v>1.35E-2</v>
      </c>
    </row>
    <row r="9" spans="1:35" x14ac:dyDescent="0.25">
      <c r="A9" s="8">
        <f t="shared" ref="A9:A43" si="2">A8+0.1%</f>
        <v>3.0000000000000001E-3</v>
      </c>
      <c r="B9" s="7" t="s">
        <v>4</v>
      </c>
      <c r="C9" s="7">
        <f t="shared" si="0"/>
        <v>7.6999999999999999E-2</v>
      </c>
      <c r="D9" s="277">
        <v>2.8199999999999999E-2</v>
      </c>
      <c r="E9" s="278"/>
      <c r="F9" s="279"/>
      <c r="G9" s="8">
        <f t="shared" ref="G9:G41" si="3">G8+0.1%</f>
        <v>3.0000000000000001E-3</v>
      </c>
      <c r="H9" s="7" t="s">
        <v>4</v>
      </c>
      <c r="I9" s="7">
        <f t="shared" si="1"/>
        <v>5.6999999999999995E-2</v>
      </c>
      <c r="J9" s="294">
        <v>3.5299999999999998E-2</v>
      </c>
      <c r="K9" s="78"/>
      <c r="L9" s="99">
        <f t="shared" ref="L9:L72" si="4">L8+0.1%</f>
        <v>3.0000000000000001E-3</v>
      </c>
      <c r="M9" s="140" t="s">
        <v>4</v>
      </c>
      <c r="N9" s="249">
        <v>0.186</v>
      </c>
      <c r="O9" s="283">
        <v>1.34E-2</v>
      </c>
      <c r="P9" s="78"/>
      <c r="Q9" s="8">
        <f t="shared" ref="Q9:Q72" si="5">Q8+0.1%</f>
        <v>3.0000000000000001E-3</v>
      </c>
      <c r="R9" s="140" t="s">
        <v>4</v>
      </c>
      <c r="S9" s="249">
        <v>0.186</v>
      </c>
      <c r="T9" s="283">
        <v>4.5999999999999999E-3</v>
      </c>
      <c r="U9" s="78"/>
      <c r="V9" s="99">
        <f t="shared" ref="V9:V72" si="6">V8+0.1%</f>
        <v>3.0000000000000001E-3</v>
      </c>
      <c r="W9" s="249">
        <v>0.187</v>
      </c>
      <c r="X9" s="283">
        <v>5.4999999999999997E-3</v>
      </c>
      <c r="Y9" s="78"/>
      <c r="Z9" s="99">
        <f>Z8+0.1%</f>
        <v>2E-3</v>
      </c>
      <c r="AA9" s="138">
        <v>4.8000000000000001E-2</v>
      </c>
      <c r="AB9" s="281">
        <v>2.1399999999999999E-2</v>
      </c>
      <c r="AC9" s="281">
        <v>1.1299999999999999E-2</v>
      </c>
      <c r="AD9" s="281">
        <v>1.3100000000000001E-2</v>
      </c>
      <c r="AE9" s="281">
        <v>1.7500000000000002E-2</v>
      </c>
    </row>
    <row r="10" spans="1:35" x14ac:dyDescent="0.25">
      <c r="A10" s="8">
        <f t="shared" si="2"/>
        <v>4.0000000000000001E-3</v>
      </c>
      <c r="B10" s="7" t="s">
        <v>4</v>
      </c>
      <c r="C10" s="7">
        <f t="shared" si="0"/>
        <v>7.5999999999999998E-2</v>
      </c>
      <c r="D10" s="277">
        <v>3.4500000000000003E-2</v>
      </c>
      <c r="E10" s="278"/>
      <c r="F10" s="279"/>
      <c r="G10" s="8">
        <f t="shared" si="3"/>
        <v>4.0000000000000001E-3</v>
      </c>
      <c r="H10" s="7" t="s">
        <v>4</v>
      </c>
      <c r="I10" s="7">
        <f t="shared" si="1"/>
        <v>5.5999999999999994E-2</v>
      </c>
      <c r="J10" s="294">
        <v>4.1399999999999999E-2</v>
      </c>
      <c r="K10" s="78"/>
      <c r="L10" s="99">
        <f t="shared" si="4"/>
        <v>4.0000000000000001E-3</v>
      </c>
      <c r="M10" s="140" t="s">
        <v>4</v>
      </c>
      <c r="N10" s="249">
        <v>0.185</v>
      </c>
      <c r="O10" s="283">
        <v>1.78E-2</v>
      </c>
      <c r="P10" s="78"/>
      <c r="Q10" s="8">
        <f t="shared" si="5"/>
        <v>4.0000000000000001E-3</v>
      </c>
      <c r="R10" s="140" t="s">
        <v>4</v>
      </c>
      <c r="S10" s="249">
        <v>0.185</v>
      </c>
      <c r="T10" s="283">
        <v>8.9999999999999993E-3</v>
      </c>
      <c r="U10" s="78"/>
      <c r="V10" s="99">
        <f t="shared" si="6"/>
        <v>4.0000000000000001E-3</v>
      </c>
      <c r="W10" s="249">
        <v>0.186</v>
      </c>
      <c r="X10" s="283">
        <v>9.9000000000000008E-3</v>
      </c>
      <c r="Y10" s="78"/>
      <c r="Z10" s="99">
        <f t="shared" ref="Z10:Z32" si="7">Z9+0.1%</f>
        <v>3.0000000000000001E-3</v>
      </c>
      <c r="AA10" s="138">
        <v>4.7E-2</v>
      </c>
      <c r="AB10" s="281">
        <v>2.7400000000000001E-2</v>
      </c>
      <c r="AC10" s="281">
        <v>1.23E-2</v>
      </c>
      <c r="AD10" s="281">
        <v>1.4999999999999999E-2</v>
      </c>
      <c r="AE10" s="281">
        <v>2.1600000000000001E-2</v>
      </c>
    </row>
    <row r="11" spans="1:35" x14ac:dyDescent="0.25">
      <c r="A11" s="8">
        <f t="shared" si="2"/>
        <v>5.0000000000000001E-3</v>
      </c>
      <c r="B11" s="7" t="s">
        <v>4</v>
      </c>
      <c r="C11" s="7">
        <f t="shared" si="0"/>
        <v>7.4999999999999997E-2</v>
      </c>
      <c r="D11" s="277">
        <v>4.07E-2</v>
      </c>
      <c r="E11" s="278"/>
      <c r="F11" s="279"/>
      <c r="G11" s="8">
        <f t="shared" si="3"/>
        <v>5.0000000000000001E-3</v>
      </c>
      <c r="H11" s="7" t="s">
        <v>4</v>
      </c>
      <c r="I11" s="7">
        <f t="shared" si="1"/>
        <v>5.5E-2</v>
      </c>
      <c r="J11" s="294">
        <v>4.7600000000000003E-2</v>
      </c>
      <c r="K11" s="78"/>
      <c r="L11" s="99">
        <f t="shared" si="4"/>
        <v>5.0000000000000001E-3</v>
      </c>
      <c r="M11" s="140" t="s">
        <v>4</v>
      </c>
      <c r="N11" s="249">
        <v>0.184</v>
      </c>
      <c r="O11" s="283">
        <v>2.2100000000000002E-2</v>
      </c>
      <c r="P11" s="78"/>
      <c r="Q11" s="8">
        <f t="shared" si="5"/>
        <v>5.0000000000000001E-3</v>
      </c>
      <c r="R11" s="140" t="s">
        <v>4</v>
      </c>
      <c r="S11" s="249">
        <v>0.184</v>
      </c>
      <c r="T11" s="283">
        <v>1.34E-2</v>
      </c>
      <c r="U11" s="78"/>
      <c r="V11" s="99">
        <f t="shared" si="6"/>
        <v>5.0000000000000001E-3</v>
      </c>
      <c r="W11" s="249">
        <v>0.185</v>
      </c>
      <c r="X11" s="283">
        <v>1.4200000000000001E-2</v>
      </c>
      <c r="Y11" s="78"/>
      <c r="Z11" s="99">
        <f t="shared" si="7"/>
        <v>4.0000000000000001E-3</v>
      </c>
      <c r="AA11" s="138">
        <v>4.5999999999999999E-2</v>
      </c>
      <c r="AB11" s="281">
        <v>3.3399999999999999E-2</v>
      </c>
      <c r="AC11" s="281">
        <v>1.3299999999999999E-2</v>
      </c>
      <c r="AD11" s="281">
        <v>1.6799999999999999E-2</v>
      </c>
      <c r="AE11" s="281">
        <v>2.5700000000000001E-2</v>
      </c>
    </row>
    <row r="12" spans="1:35" x14ac:dyDescent="0.25">
      <c r="A12" s="8">
        <f t="shared" si="2"/>
        <v>6.0000000000000001E-3</v>
      </c>
      <c r="B12" s="7" t="s">
        <v>4</v>
      </c>
      <c r="C12" s="7">
        <f t="shared" si="0"/>
        <v>7.3999999999999996E-2</v>
      </c>
      <c r="D12" s="277">
        <v>4.7E-2</v>
      </c>
      <c r="E12" s="278"/>
      <c r="F12" s="279"/>
      <c r="G12" s="8">
        <f t="shared" si="3"/>
        <v>6.0000000000000001E-3</v>
      </c>
      <c r="H12" s="7" t="s">
        <v>4</v>
      </c>
      <c r="I12" s="7">
        <f t="shared" si="1"/>
        <v>5.3999999999999999E-2</v>
      </c>
      <c r="J12" s="294">
        <v>5.3699999999999998E-2</v>
      </c>
      <c r="K12" s="78"/>
      <c r="L12" s="99">
        <f t="shared" si="4"/>
        <v>6.0000000000000001E-3</v>
      </c>
      <c r="M12" s="140" t="s">
        <v>4</v>
      </c>
      <c r="N12" s="249">
        <v>0.183</v>
      </c>
      <c r="O12" s="282">
        <v>2.64E-2</v>
      </c>
      <c r="P12" s="78"/>
      <c r="Q12" s="8">
        <f t="shared" si="5"/>
        <v>6.0000000000000001E-3</v>
      </c>
      <c r="R12" s="140" t="s">
        <v>4</v>
      </c>
      <c r="S12" s="249">
        <v>0.183</v>
      </c>
      <c r="T12" s="282">
        <v>1.78E-2</v>
      </c>
      <c r="U12" s="78"/>
      <c r="V12" s="99">
        <f t="shared" si="6"/>
        <v>6.0000000000000001E-3</v>
      </c>
      <c r="W12" s="249">
        <v>0.184</v>
      </c>
      <c r="X12" s="282">
        <v>1.8599999999999998E-2</v>
      </c>
      <c r="Y12" s="78"/>
      <c r="Z12" s="99">
        <f t="shared" si="7"/>
        <v>5.0000000000000001E-3</v>
      </c>
      <c r="AA12" s="138">
        <v>4.5000000000000005E-2</v>
      </c>
      <c r="AB12" s="281">
        <v>3.9300000000000002E-2</v>
      </c>
      <c r="AC12" s="281">
        <v>1.4200000000000001E-2</v>
      </c>
      <c r="AD12" s="281">
        <v>1.8700000000000001E-2</v>
      </c>
      <c r="AE12" s="281">
        <v>2.9700000000000001E-2</v>
      </c>
    </row>
    <row r="13" spans="1:35" x14ac:dyDescent="0.25">
      <c r="A13" s="8">
        <f t="shared" si="2"/>
        <v>7.0000000000000001E-3</v>
      </c>
      <c r="B13" s="7" t="s">
        <v>4</v>
      </c>
      <c r="C13" s="7">
        <f t="shared" si="0"/>
        <v>7.2999999999999995E-2</v>
      </c>
      <c r="D13" s="277">
        <v>5.3199999999999997E-2</v>
      </c>
      <c r="E13" s="278"/>
      <c r="F13" s="279"/>
      <c r="G13" s="8">
        <f t="shared" si="3"/>
        <v>7.0000000000000001E-3</v>
      </c>
      <c r="H13" s="7" t="s">
        <v>4</v>
      </c>
      <c r="I13" s="7">
        <f t="shared" si="1"/>
        <v>5.2999999999999999E-2</v>
      </c>
      <c r="J13" s="294">
        <v>5.9799999999999999E-2</v>
      </c>
      <c r="K13" s="78"/>
      <c r="L13" s="99">
        <f t="shared" si="4"/>
        <v>7.0000000000000001E-3</v>
      </c>
      <c r="M13" s="140" t="s">
        <v>4</v>
      </c>
      <c r="N13" s="249">
        <v>0.182</v>
      </c>
      <c r="O13" s="282">
        <v>3.0800000000000001E-2</v>
      </c>
      <c r="P13" s="78"/>
      <c r="Q13" s="8">
        <f t="shared" si="5"/>
        <v>7.0000000000000001E-3</v>
      </c>
      <c r="R13" s="140" t="s">
        <v>4</v>
      </c>
      <c r="S13" s="249">
        <v>0.182</v>
      </c>
      <c r="T13" s="282">
        <v>2.2100000000000002E-2</v>
      </c>
      <c r="U13" s="78"/>
      <c r="V13" s="99">
        <f t="shared" si="6"/>
        <v>7.0000000000000001E-3</v>
      </c>
      <c r="W13" s="249">
        <v>0.183</v>
      </c>
      <c r="X13" s="282">
        <v>2.3E-2</v>
      </c>
      <c r="Y13" s="78"/>
      <c r="Z13" s="99">
        <f t="shared" si="7"/>
        <v>6.0000000000000001E-3</v>
      </c>
      <c r="AA13" s="138">
        <v>4.4000000000000004E-2</v>
      </c>
      <c r="AB13" s="281">
        <v>4.53E-2</v>
      </c>
      <c r="AC13" s="281">
        <v>1.52E-2</v>
      </c>
      <c r="AD13" s="281">
        <v>2.0500000000000001E-2</v>
      </c>
      <c r="AE13" s="281">
        <v>3.3799999999999997E-2</v>
      </c>
    </row>
    <row r="14" spans="1:35" x14ac:dyDescent="0.25">
      <c r="A14" s="8">
        <f t="shared" si="2"/>
        <v>8.0000000000000002E-3</v>
      </c>
      <c r="B14" s="7" t="s">
        <v>4</v>
      </c>
      <c r="C14" s="7">
        <f t="shared" si="0"/>
        <v>7.2000000000000008E-2</v>
      </c>
      <c r="D14" s="277">
        <v>5.9400000000000001E-2</v>
      </c>
      <c r="E14" s="278"/>
      <c r="F14" s="279"/>
      <c r="G14" s="8">
        <f t="shared" si="3"/>
        <v>8.0000000000000002E-3</v>
      </c>
      <c r="H14" s="7" t="s">
        <v>4</v>
      </c>
      <c r="I14" s="7">
        <f t="shared" si="1"/>
        <v>5.1999999999999998E-2</v>
      </c>
      <c r="J14" s="294">
        <v>6.5799999999999997E-2</v>
      </c>
      <c r="K14" s="78"/>
      <c r="L14" s="99">
        <f t="shared" si="4"/>
        <v>8.0000000000000002E-3</v>
      </c>
      <c r="M14" s="140" t="s">
        <v>4</v>
      </c>
      <c r="N14" s="249">
        <v>0.18099999999999999</v>
      </c>
      <c r="O14" s="282">
        <v>3.5099999999999999E-2</v>
      </c>
      <c r="P14" s="78"/>
      <c r="Q14" s="8">
        <f t="shared" si="5"/>
        <v>8.0000000000000002E-3</v>
      </c>
      <c r="R14" s="140" t="s">
        <v>4</v>
      </c>
      <c r="S14" s="249">
        <v>0.18099999999999999</v>
      </c>
      <c r="T14" s="282">
        <v>2.6499999999999999E-2</v>
      </c>
      <c r="U14" s="78"/>
      <c r="V14" s="99">
        <f t="shared" si="6"/>
        <v>8.0000000000000002E-3</v>
      </c>
      <c r="W14" s="249">
        <v>0.182</v>
      </c>
      <c r="X14" s="282">
        <v>2.7300000000000001E-2</v>
      </c>
      <c r="Y14" s="78"/>
      <c r="Z14" s="99">
        <f t="shared" si="7"/>
        <v>7.0000000000000001E-3</v>
      </c>
      <c r="AA14" s="138">
        <v>4.3000000000000003E-2</v>
      </c>
      <c r="AB14" s="281">
        <v>5.1200000000000002E-2</v>
      </c>
      <c r="AC14" s="281">
        <v>1.6199999999999999E-2</v>
      </c>
      <c r="AD14" s="281">
        <v>2.24E-2</v>
      </c>
      <c r="AE14" s="281">
        <v>3.78E-2</v>
      </c>
    </row>
    <row r="15" spans="1:35" x14ac:dyDescent="0.25">
      <c r="A15" s="8">
        <f t="shared" si="2"/>
        <v>9.0000000000000011E-3</v>
      </c>
      <c r="B15" s="7" t="s">
        <v>4</v>
      </c>
      <c r="C15" s="7">
        <f t="shared" si="0"/>
        <v>7.1000000000000008E-2</v>
      </c>
      <c r="D15" s="277">
        <v>6.5500000000000003E-2</v>
      </c>
      <c r="E15" s="278"/>
      <c r="F15" s="279"/>
      <c r="G15" s="8">
        <f t="shared" si="3"/>
        <v>9.0000000000000011E-3</v>
      </c>
      <c r="H15" s="7" t="s">
        <v>4</v>
      </c>
      <c r="I15" s="7">
        <f t="shared" si="1"/>
        <v>5.0999999999999997E-2</v>
      </c>
      <c r="J15" s="294">
        <v>7.1900000000000006E-2</v>
      </c>
      <c r="K15" s="78"/>
      <c r="L15" s="99">
        <f t="shared" si="4"/>
        <v>9.0000000000000011E-3</v>
      </c>
      <c r="M15" s="140" t="s">
        <v>4</v>
      </c>
      <c r="N15" s="249">
        <v>0.18</v>
      </c>
      <c r="O15" s="282">
        <v>3.9399999999999998E-2</v>
      </c>
      <c r="P15" s="78"/>
      <c r="Q15" s="8">
        <f t="shared" si="5"/>
        <v>9.0000000000000011E-3</v>
      </c>
      <c r="R15" s="140" t="s">
        <v>4</v>
      </c>
      <c r="S15" s="249">
        <v>0.18</v>
      </c>
      <c r="T15" s="282">
        <v>3.0800000000000001E-2</v>
      </c>
      <c r="U15" s="78"/>
      <c r="V15" s="99">
        <f t="shared" si="6"/>
        <v>9.0000000000000011E-3</v>
      </c>
      <c r="W15" s="249">
        <v>0.18099999999999999</v>
      </c>
      <c r="X15" s="282">
        <v>3.1699999999999999E-2</v>
      </c>
      <c r="Y15" s="78"/>
      <c r="Z15" s="99">
        <f t="shared" si="7"/>
        <v>8.0000000000000002E-3</v>
      </c>
      <c r="AA15" s="138">
        <v>4.2000000000000003E-2</v>
      </c>
      <c r="AB15" s="281">
        <v>5.7000000000000002E-2</v>
      </c>
      <c r="AC15" s="281">
        <v>1.7100000000000001E-2</v>
      </c>
      <c r="AD15" s="281">
        <v>2.4299999999999999E-2</v>
      </c>
      <c r="AE15" s="281">
        <v>4.1799999999999997E-2</v>
      </c>
    </row>
    <row r="16" spans="1:35" x14ac:dyDescent="0.25">
      <c r="A16" s="8">
        <f t="shared" si="2"/>
        <v>1.0000000000000002E-2</v>
      </c>
      <c r="B16" s="7" t="s">
        <v>4</v>
      </c>
      <c r="C16" s="7">
        <f t="shared" si="0"/>
        <v>7.0000000000000007E-2</v>
      </c>
      <c r="D16" s="277">
        <v>7.17E-2</v>
      </c>
      <c r="E16" s="278"/>
      <c r="F16" s="279"/>
      <c r="G16" s="8">
        <f t="shared" si="3"/>
        <v>1.0000000000000002E-2</v>
      </c>
      <c r="H16" s="7" t="s">
        <v>4</v>
      </c>
      <c r="I16" s="7">
        <f t="shared" si="1"/>
        <v>4.9999999999999996E-2</v>
      </c>
      <c r="J16" s="294">
        <v>7.7899999999999997E-2</v>
      </c>
      <c r="K16" s="78"/>
      <c r="L16" s="99">
        <f t="shared" si="4"/>
        <v>1.0000000000000002E-2</v>
      </c>
      <c r="M16" s="140" t="s">
        <v>4</v>
      </c>
      <c r="N16" s="249">
        <v>0.17899999999999999</v>
      </c>
      <c r="O16" s="282">
        <v>4.3700000000000003E-2</v>
      </c>
      <c r="P16" s="78"/>
      <c r="Q16" s="8">
        <f t="shared" si="5"/>
        <v>1.0000000000000002E-2</v>
      </c>
      <c r="R16" s="140" t="s">
        <v>4</v>
      </c>
      <c r="S16" s="249">
        <v>0.17899999999999999</v>
      </c>
      <c r="T16" s="282">
        <v>3.5200000000000002E-2</v>
      </c>
      <c r="U16" s="78"/>
      <c r="V16" s="99">
        <f t="shared" si="6"/>
        <v>1.0000000000000002E-2</v>
      </c>
      <c r="W16" s="249">
        <v>0.18</v>
      </c>
      <c r="X16" s="282">
        <v>3.5999999999999997E-2</v>
      </c>
      <c r="Y16" s="78"/>
      <c r="Z16" s="99">
        <f t="shared" si="7"/>
        <v>9.0000000000000011E-3</v>
      </c>
      <c r="AA16" s="138">
        <v>4.1000000000000002E-2</v>
      </c>
      <c r="AB16" s="281">
        <v>6.2899999999999998E-2</v>
      </c>
      <c r="AC16" s="281">
        <v>1.8100000000000002E-2</v>
      </c>
      <c r="AD16" s="281">
        <v>2.6100000000000002E-2</v>
      </c>
      <c r="AE16" s="281">
        <v>4.58E-2</v>
      </c>
    </row>
    <row r="17" spans="1:31" x14ac:dyDescent="0.25">
      <c r="A17" s="8">
        <f t="shared" si="2"/>
        <v>1.1000000000000003E-2</v>
      </c>
      <c r="B17" s="7" t="s">
        <v>4</v>
      </c>
      <c r="C17" s="7">
        <f t="shared" si="0"/>
        <v>6.9000000000000006E-2</v>
      </c>
      <c r="D17" s="277">
        <v>7.7799999999999994E-2</v>
      </c>
      <c r="E17" s="278"/>
      <c r="F17" s="279"/>
      <c r="G17" s="8">
        <f t="shared" si="3"/>
        <v>1.1000000000000003E-2</v>
      </c>
      <c r="H17" s="7" t="s">
        <v>4</v>
      </c>
      <c r="I17" s="7">
        <f t="shared" si="1"/>
        <v>4.8999999999999995E-2</v>
      </c>
      <c r="J17" s="294">
        <v>8.3900000000000002E-2</v>
      </c>
      <c r="K17" s="78"/>
      <c r="L17" s="99">
        <f t="shared" si="4"/>
        <v>1.1000000000000003E-2</v>
      </c>
      <c r="M17" s="140" t="s">
        <v>4</v>
      </c>
      <c r="N17" s="249">
        <v>0.17799999999999999</v>
      </c>
      <c r="O17" s="282">
        <v>4.8000000000000001E-2</v>
      </c>
      <c r="P17" s="78"/>
      <c r="Q17" s="8">
        <f t="shared" si="5"/>
        <v>1.1000000000000003E-2</v>
      </c>
      <c r="R17" s="141" t="s">
        <v>4</v>
      </c>
      <c r="S17" s="249">
        <v>0.17799999999999999</v>
      </c>
      <c r="T17" s="282">
        <v>3.95E-2</v>
      </c>
      <c r="U17" s="78"/>
      <c r="V17" s="99">
        <f t="shared" si="6"/>
        <v>1.1000000000000003E-2</v>
      </c>
      <c r="W17" s="249">
        <v>0.17899999999999999</v>
      </c>
      <c r="X17" s="282">
        <v>4.0300000000000002E-2</v>
      </c>
      <c r="Y17" s="78"/>
      <c r="Z17" s="99">
        <f t="shared" si="7"/>
        <v>1.0000000000000002E-2</v>
      </c>
      <c r="AA17" s="138">
        <v>0.04</v>
      </c>
      <c r="AB17" s="281">
        <v>6.88E-2</v>
      </c>
      <c r="AC17" s="281">
        <v>1.9E-2</v>
      </c>
      <c r="AD17" s="281">
        <v>2.7900000000000001E-2</v>
      </c>
      <c r="AE17" s="281">
        <v>4.9799999999999997E-2</v>
      </c>
    </row>
    <row r="18" spans="1:31" x14ac:dyDescent="0.25">
      <c r="A18" s="8">
        <v>1.2000000000000004E-2</v>
      </c>
      <c r="B18" s="7" t="s">
        <v>4</v>
      </c>
      <c r="C18" s="7">
        <v>6.8000000000000005E-2</v>
      </c>
      <c r="D18" s="248">
        <v>8.3900000000000002E-2</v>
      </c>
      <c r="E18" s="278"/>
      <c r="F18" s="279"/>
      <c r="G18" s="8">
        <v>1.2000000000000004E-2</v>
      </c>
      <c r="H18" s="7" t="s">
        <v>4</v>
      </c>
      <c r="I18" s="8">
        <v>4.7999999999999994E-2</v>
      </c>
      <c r="J18" s="291">
        <v>8.9899999999999994E-2</v>
      </c>
      <c r="K18" s="78"/>
      <c r="L18" s="99">
        <f t="shared" si="4"/>
        <v>1.2000000000000004E-2</v>
      </c>
      <c r="M18" s="140" t="s">
        <v>4</v>
      </c>
      <c r="N18" s="249">
        <v>0.17699999999999999</v>
      </c>
      <c r="O18" s="282">
        <v>5.2299999999999999E-2</v>
      </c>
      <c r="P18" s="78"/>
      <c r="Q18" s="8">
        <f t="shared" si="5"/>
        <v>1.2000000000000004E-2</v>
      </c>
      <c r="R18" s="141" t="s">
        <v>4</v>
      </c>
      <c r="S18" s="249">
        <v>0.17699999999999999</v>
      </c>
      <c r="T18" s="282">
        <v>4.3900000000000002E-2</v>
      </c>
      <c r="U18" s="78"/>
      <c r="V18" s="99">
        <f t="shared" si="6"/>
        <v>1.2000000000000004E-2</v>
      </c>
      <c r="W18" s="249">
        <v>0.17799999999999999</v>
      </c>
      <c r="X18" s="282">
        <v>4.4600000000000001E-2</v>
      </c>
      <c r="Y18" s="78"/>
      <c r="Z18" s="99">
        <f t="shared" si="7"/>
        <v>1.1000000000000003E-2</v>
      </c>
      <c r="AA18" s="143">
        <v>3.9E-2</v>
      </c>
      <c r="AB18" s="281">
        <v>8.14E-2</v>
      </c>
      <c r="AC18" s="281">
        <v>0.02</v>
      </c>
      <c r="AD18" s="281">
        <v>2.98E-2</v>
      </c>
      <c r="AE18" s="281">
        <v>5.3800000000000001E-2</v>
      </c>
    </row>
    <row r="19" spans="1:31" x14ac:dyDescent="0.25">
      <c r="A19" s="8">
        <f t="shared" si="2"/>
        <v>1.3000000000000005E-2</v>
      </c>
      <c r="B19" s="7" t="s">
        <v>4</v>
      </c>
      <c r="C19" s="7">
        <v>6.7000000000000004E-2</v>
      </c>
      <c r="D19" s="248">
        <v>0.09</v>
      </c>
      <c r="E19" s="278"/>
      <c r="F19" s="279"/>
      <c r="G19" s="8">
        <f t="shared" si="3"/>
        <v>1.3000000000000005E-2</v>
      </c>
      <c r="H19" s="7" t="s">
        <v>4</v>
      </c>
      <c r="I19" s="8">
        <v>4.6999999999999993E-2</v>
      </c>
      <c r="J19" s="291">
        <v>9.5899999999999999E-2</v>
      </c>
      <c r="K19" s="78"/>
      <c r="L19" s="99">
        <f t="shared" si="4"/>
        <v>1.3000000000000005E-2</v>
      </c>
      <c r="M19" s="140" t="s">
        <v>4</v>
      </c>
      <c r="N19" s="249">
        <v>0.17599999999999999</v>
      </c>
      <c r="O19" s="282">
        <v>5.6599999999999998E-2</v>
      </c>
      <c r="P19" s="78"/>
      <c r="Q19" s="8">
        <f t="shared" si="5"/>
        <v>1.3000000000000005E-2</v>
      </c>
      <c r="R19" s="141" t="s">
        <v>4</v>
      </c>
      <c r="S19" s="249">
        <v>0.17599999999999999</v>
      </c>
      <c r="T19" s="282">
        <v>4.82E-2</v>
      </c>
      <c r="U19" s="78"/>
      <c r="V19" s="99">
        <f t="shared" si="6"/>
        <v>1.3000000000000005E-2</v>
      </c>
      <c r="W19" s="249">
        <v>0.17699999999999999</v>
      </c>
      <c r="X19" s="282">
        <v>4.8899999999999999E-2</v>
      </c>
      <c r="Y19" s="78"/>
      <c r="Z19" s="99">
        <f t="shared" si="7"/>
        <v>1.2000000000000004E-2</v>
      </c>
      <c r="AA19" s="143">
        <v>3.7999999999999999E-2</v>
      </c>
      <c r="AB19" s="281">
        <v>8.77E-2</v>
      </c>
      <c r="AC19" s="281">
        <v>2.1000000000000001E-2</v>
      </c>
      <c r="AD19" s="281">
        <v>3.1600000000000003E-2</v>
      </c>
      <c r="AE19" s="281">
        <v>5.7799999999999997E-2</v>
      </c>
    </row>
    <row r="20" spans="1:31" x14ac:dyDescent="0.25">
      <c r="A20" s="8">
        <f t="shared" si="2"/>
        <v>1.4000000000000005E-2</v>
      </c>
      <c r="B20" s="7" t="s">
        <v>4</v>
      </c>
      <c r="C20" s="7">
        <v>6.6000000000000003E-2</v>
      </c>
      <c r="D20" s="248">
        <v>9.6100000000000005E-2</v>
      </c>
      <c r="E20" s="278"/>
      <c r="F20" s="279"/>
      <c r="G20" s="8">
        <f t="shared" si="3"/>
        <v>1.4000000000000005E-2</v>
      </c>
      <c r="H20" s="7" t="s">
        <v>4</v>
      </c>
      <c r="I20" s="8">
        <v>4.5999999999999992E-2</v>
      </c>
      <c r="J20" s="291">
        <v>0.1018</v>
      </c>
      <c r="K20" s="78"/>
      <c r="L20" s="99">
        <f t="shared" si="4"/>
        <v>1.4000000000000005E-2</v>
      </c>
      <c r="M20" s="141" t="s">
        <v>4</v>
      </c>
      <c r="N20" s="249">
        <v>0.17499999999999999</v>
      </c>
      <c r="O20" s="282">
        <v>6.0900000000000003E-2</v>
      </c>
      <c r="P20" s="78"/>
      <c r="Q20" s="8">
        <f t="shared" si="5"/>
        <v>1.4000000000000005E-2</v>
      </c>
      <c r="R20" s="142" t="s">
        <v>4</v>
      </c>
      <c r="S20" s="249">
        <v>0.17499999999999999</v>
      </c>
      <c r="T20" s="282">
        <v>5.2499999999999998E-2</v>
      </c>
      <c r="U20" s="78"/>
      <c r="V20" s="99">
        <f t="shared" si="6"/>
        <v>1.4000000000000005E-2</v>
      </c>
      <c r="W20" s="249">
        <v>0.17599999999999999</v>
      </c>
      <c r="X20" s="282">
        <v>5.33E-2</v>
      </c>
      <c r="Y20" s="78"/>
      <c r="Z20" s="99">
        <f t="shared" si="7"/>
        <v>1.3000000000000005E-2</v>
      </c>
      <c r="AA20" s="143">
        <v>3.6999999999999998E-2</v>
      </c>
      <c r="AB20" s="281">
        <v>9.4100000000000003E-2</v>
      </c>
      <c r="AC20" s="281">
        <v>2.1899999999999999E-2</v>
      </c>
      <c r="AD20" s="281">
        <v>3.3500000000000002E-2</v>
      </c>
      <c r="AE20" s="281">
        <v>6.1800000000000001E-2</v>
      </c>
    </row>
    <row r="21" spans="1:31" x14ac:dyDescent="0.25">
      <c r="A21" s="8">
        <f t="shared" si="2"/>
        <v>1.5000000000000006E-2</v>
      </c>
      <c r="B21" s="7" t="s">
        <v>4</v>
      </c>
      <c r="C21" s="7">
        <v>6.5000000000000002E-2</v>
      </c>
      <c r="D21" s="248">
        <v>0.1022</v>
      </c>
      <c r="E21" s="278"/>
      <c r="F21" s="279"/>
      <c r="G21" s="8">
        <f t="shared" si="3"/>
        <v>1.5000000000000006E-2</v>
      </c>
      <c r="H21" s="7" t="s">
        <v>4</v>
      </c>
      <c r="I21" s="8">
        <v>4.4999999999999991E-2</v>
      </c>
      <c r="J21" s="291">
        <v>0.10780000000000001</v>
      </c>
      <c r="K21" s="78"/>
      <c r="L21" s="99">
        <f t="shared" si="4"/>
        <v>1.5000000000000006E-2</v>
      </c>
      <c r="M21" s="141" t="s">
        <v>4</v>
      </c>
      <c r="N21" s="249">
        <v>0.17399999999999999</v>
      </c>
      <c r="O21" s="282">
        <v>6.5199999999999994E-2</v>
      </c>
      <c r="P21" s="78"/>
      <c r="Q21" s="8">
        <f t="shared" si="5"/>
        <v>1.5000000000000006E-2</v>
      </c>
      <c r="R21" s="142" t="s">
        <v>4</v>
      </c>
      <c r="S21" s="249">
        <v>0.17399999999999999</v>
      </c>
      <c r="T21" s="282">
        <v>5.6800000000000003E-2</v>
      </c>
      <c r="U21" s="78"/>
      <c r="V21" s="99">
        <f t="shared" si="6"/>
        <v>1.5000000000000006E-2</v>
      </c>
      <c r="W21" s="249">
        <v>0.17499999999999999</v>
      </c>
      <c r="X21" s="282">
        <v>5.7500000000000002E-2</v>
      </c>
      <c r="Y21" s="78"/>
      <c r="Z21" s="99">
        <f t="shared" si="7"/>
        <v>1.4000000000000005E-2</v>
      </c>
      <c r="AA21" s="143">
        <v>3.5999999999999997E-2</v>
      </c>
      <c r="AB21" s="281">
        <v>0.1004</v>
      </c>
      <c r="AC21" s="281">
        <v>2.29E-2</v>
      </c>
      <c r="AD21" s="281">
        <v>3.5299999999999998E-2</v>
      </c>
      <c r="AE21" s="281">
        <v>6.5799999999999997E-2</v>
      </c>
    </row>
    <row r="22" spans="1:31" x14ac:dyDescent="0.25">
      <c r="A22" s="8">
        <f t="shared" si="2"/>
        <v>1.6000000000000007E-2</v>
      </c>
      <c r="B22" s="7" t="s">
        <v>4</v>
      </c>
      <c r="C22" s="8">
        <v>6.4000000000000001E-2</v>
      </c>
      <c r="D22" s="248">
        <v>0.1082</v>
      </c>
      <c r="E22" s="278"/>
      <c r="F22" s="279"/>
      <c r="G22" s="8">
        <f t="shared" si="3"/>
        <v>1.6000000000000007E-2</v>
      </c>
      <c r="H22" s="7" t="s">
        <v>4</v>
      </c>
      <c r="I22" s="8">
        <v>4.3999999999999991E-2</v>
      </c>
      <c r="J22" s="291">
        <v>0.1137</v>
      </c>
      <c r="K22" s="78"/>
      <c r="L22" s="99">
        <f t="shared" si="4"/>
        <v>1.6000000000000007E-2</v>
      </c>
      <c r="M22" s="141" t="s">
        <v>4</v>
      </c>
      <c r="N22" s="249">
        <v>0.17299999999999999</v>
      </c>
      <c r="O22" s="282">
        <v>6.9400000000000003E-2</v>
      </c>
      <c r="P22" s="78"/>
      <c r="Q22" s="8">
        <f t="shared" si="5"/>
        <v>1.6000000000000007E-2</v>
      </c>
      <c r="R22" s="142" t="s">
        <v>4</v>
      </c>
      <c r="S22" s="249">
        <v>0.17299999999999999</v>
      </c>
      <c r="T22" s="282">
        <v>6.1100000000000002E-2</v>
      </c>
      <c r="U22" s="78"/>
      <c r="V22" s="99">
        <f t="shared" si="6"/>
        <v>1.6000000000000007E-2</v>
      </c>
      <c r="W22" s="249">
        <v>0.17399999999999999</v>
      </c>
      <c r="X22" s="282">
        <v>6.1800000000000001E-2</v>
      </c>
      <c r="Y22" s="78"/>
      <c r="Z22" s="99">
        <f t="shared" si="7"/>
        <v>1.5000000000000006E-2</v>
      </c>
      <c r="AA22" s="143">
        <v>3.4999999999999996E-2</v>
      </c>
      <c r="AB22" s="281">
        <v>0.1067</v>
      </c>
      <c r="AC22" s="281">
        <v>2.3900000000000001E-2</v>
      </c>
      <c r="AD22" s="281">
        <v>3.7199999999999997E-2</v>
      </c>
      <c r="AE22" s="281">
        <v>6.9800000000000001E-2</v>
      </c>
    </row>
    <row r="23" spans="1:31" x14ac:dyDescent="0.25">
      <c r="A23" s="8">
        <f t="shared" si="2"/>
        <v>1.7000000000000008E-2</v>
      </c>
      <c r="B23" s="7" t="s">
        <v>4</v>
      </c>
      <c r="C23" s="8">
        <v>6.3E-2</v>
      </c>
      <c r="D23" s="248">
        <v>0.1142</v>
      </c>
      <c r="E23" s="278"/>
      <c r="F23" s="279"/>
      <c r="G23" s="8">
        <f t="shared" si="3"/>
        <v>1.7000000000000008E-2</v>
      </c>
      <c r="H23" s="7" t="s">
        <v>4</v>
      </c>
      <c r="I23" s="8">
        <v>4.299999999999999E-2</v>
      </c>
      <c r="J23" s="291">
        <v>0.1196</v>
      </c>
      <c r="K23" s="78"/>
      <c r="L23" s="99">
        <f t="shared" si="4"/>
        <v>1.7000000000000008E-2</v>
      </c>
      <c r="M23" s="142" t="s">
        <v>4</v>
      </c>
      <c r="N23" s="249">
        <v>0.17199999999999999</v>
      </c>
      <c r="O23" s="282">
        <v>7.3700000000000002E-2</v>
      </c>
      <c r="P23" s="78"/>
      <c r="Q23" s="8">
        <f t="shared" si="5"/>
        <v>1.7000000000000008E-2</v>
      </c>
      <c r="R23" s="142" t="s">
        <v>4</v>
      </c>
      <c r="S23" s="249">
        <v>0.17199999999999999</v>
      </c>
      <c r="T23" s="282">
        <v>6.54E-2</v>
      </c>
      <c r="U23" s="78"/>
      <c r="V23" s="99">
        <f t="shared" si="6"/>
        <v>1.7000000000000008E-2</v>
      </c>
      <c r="W23" s="249">
        <v>0.17299999999999999</v>
      </c>
      <c r="X23" s="282">
        <v>6.6100000000000006E-2</v>
      </c>
      <c r="Y23" s="78"/>
      <c r="Z23" s="99">
        <f t="shared" si="7"/>
        <v>1.6000000000000007E-2</v>
      </c>
      <c r="AA23" s="143">
        <v>3.3999999999999996E-2</v>
      </c>
      <c r="AB23" s="281">
        <v>0.1129</v>
      </c>
      <c r="AC23" s="281">
        <v>2.4799999999999999E-2</v>
      </c>
      <c r="AD23" s="281">
        <v>3.9E-2</v>
      </c>
      <c r="AE23" s="281">
        <v>7.3700000000000002E-2</v>
      </c>
    </row>
    <row r="24" spans="1:31" x14ac:dyDescent="0.25">
      <c r="A24" s="8">
        <f t="shared" si="2"/>
        <v>1.8000000000000009E-2</v>
      </c>
      <c r="B24" s="7" t="s">
        <v>4</v>
      </c>
      <c r="C24" s="8">
        <v>6.1999999999999993E-2</v>
      </c>
      <c r="D24" s="248">
        <v>0.1202</v>
      </c>
      <c r="E24" s="278"/>
      <c r="F24" s="279"/>
      <c r="G24" s="8">
        <f t="shared" si="3"/>
        <v>1.8000000000000009E-2</v>
      </c>
      <c r="H24" s="7" t="s">
        <v>4</v>
      </c>
      <c r="I24" s="8">
        <v>4.1999999999999989E-2</v>
      </c>
      <c r="J24" s="291">
        <v>0.12540000000000001</v>
      </c>
      <c r="K24" s="78"/>
      <c r="L24" s="99">
        <f t="shared" si="4"/>
        <v>1.8000000000000009E-2</v>
      </c>
      <c r="M24" s="142" t="s">
        <v>4</v>
      </c>
      <c r="N24" s="249">
        <v>0.17099999999999999</v>
      </c>
      <c r="O24" s="282">
        <v>7.7899999999999997E-2</v>
      </c>
      <c r="P24" s="78"/>
      <c r="Q24" s="8">
        <f t="shared" si="5"/>
        <v>1.8000000000000009E-2</v>
      </c>
      <c r="R24" s="142" t="s">
        <v>4</v>
      </c>
      <c r="S24" s="249">
        <v>0.17099999999999999</v>
      </c>
      <c r="T24" s="282">
        <v>6.9699999999999998E-2</v>
      </c>
      <c r="U24" s="78"/>
      <c r="V24" s="99">
        <f t="shared" si="6"/>
        <v>1.8000000000000009E-2</v>
      </c>
      <c r="W24" s="249">
        <v>0.17199999999999999</v>
      </c>
      <c r="X24" s="282">
        <v>7.0400000000000004E-2</v>
      </c>
      <c r="Y24" s="78"/>
      <c r="Z24" s="99">
        <f t="shared" si="7"/>
        <v>1.7000000000000008E-2</v>
      </c>
      <c r="AA24" s="143">
        <v>3.2999999999999995E-2</v>
      </c>
      <c r="AB24" s="281">
        <v>0.1192</v>
      </c>
      <c r="AC24" s="281">
        <v>2.58E-2</v>
      </c>
      <c r="AD24" s="281">
        <v>4.0800000000000003E-2</v>
      </c>
      <c r="AE24" s="281">
        <v>7.7700000000000005E-2</v>
      </c>
    </row>
    <row r="25" spans="1:31" x14ac:dyDescent="0.25">
      <c r="A25" s="8">
        <f t="shared" si="2"/>
        <v>1.900000000000001E-2</v>
      </c>
      <c r="B25" s="7" t="s">
        <v>4</v>
      </c>
      <c r="C25" s="8">
        <v>6.0999999999999992E-2</v>
      </c>
      <c r="D25" s="248">
        <v>0.12620000000000001</v>
      </c>
      <c r="E25" s="278"/>
      <c r="F25" s="279"/>
      <c r="G25" s="8">
        <f t="shared" si="3"/>
        <v>1.900000000000001E-2</v>
      </c>
      <c r="H25" s="7" t="s">
        <v>4</v>
      </c>
      <c r="I25" s="8">
        <v>4.0999999999999988E-2</v>
      </c>
      <c r="J25" s="291">
        <v>0.1313</v>
      </c>
      <c r="K25" s="78"/>
      <c r="L25" s="99">
        <f t="shared" si="4"/>
        <v>1.900000000000001E-2</v>
      </c>
      <c r="M25" s="142" t="s">
        <v>4</v>
      </c>
      <c r="N25" s="249">
        <v>0.16999999999999998</v>
      </c>
      <c r="O25" s="282">
        <v>8.2199999999999995E-2</v>
      </c>
      <c r="P25" s="78"/>
      <c r="Q25" s="8">
        <f t="shared" si="5"/>
        <v>1.900000000000001E-2</v>
      </c>
      <c r="R25" s="142" t="s">
        <v>4</v>
      </c>
      <c r="S25" s="249">
        <v>0.16999999999999998</v>
      </c>
      <c r="T25" s="282">
        <v>7.3999999999999996E-2</v>
      </c>
      <c r="U25" s="78"/>
      <c r="V25" s="99">
        <f t="shared" si="6"/>
        <v>1.900000000000001E-2</v>
      </c>
      <c r="W25" s="249">
        <v>0.17099999999999999</v>
      </c>
      <c r="X25" s="282">
        <v>7.4700000000000003E-2</v>
      </c>
      <c r="Y25" s="78"/>
      <c r="Z25" s="99">
        <f t="shared" si="7"/>
        <v>1.8000000000000009E-2</v>
      </c>
      <c r="AA25" s="143">
        <v>3.1999999999999994E-2</v>
      </c>
      <c r="AB25" s="281">
        <v>0.12540000000000001</v>
      </c>
      <c r="AC25" s="281">
        <v>2.6700000000000002E-2</v>
      </c>
      <c r="AD25" s="281">
        <v>4.2700000000000002E-2</v>
      </c>
      <c r="AE25" s="281">
        <v>8.1600000000000006E-2</v>
      </c>
    </row>
    <row r="26" spans="1:31" x14ac:dyDescent="0.25">
      <c r="A26" s="8">
        <f t="shared" si="2"/>
        <v>2.0000000000000011E-2</v>
      </c>
      <c r="B26" s="7" t="s">
        <v>4</v>
      </c>
      <c r="C26" s="8">
        <v>5.9999999999999991E-2</v>
      </c>
      <c r="D26" s="248">
        <v>0.13220000000000001</v>
      </c>
      <c r="E26" s="278"/>
      <c r="F26" s="279"/>
      <c r="G26" s="8">
        <f t="shared" si="3"/>
        <v>2.0000000000000011E-2</v>
      </c>
      <c r="H26" s="7" t="s">
        <v>4</v>
      </c>
      <c r="I26" s="8">
        <v>3.9999999999999987E-2</v>
      </c>
      <c r="J26" s="291">
        <v>0.1371</v>
      </c>
      <c r="K26" s="78"/>
      <c r="L26" s="99">
        <f t="shared" si="4"/>
        <v>2.0000000000000011E-2</v>
      </c>
      <c r="M26" s="142" t="s">
        <v>4</v>
      </c>
      <c r="N26" s="249">
        <v>0.16899999999999998</v>
      </c>
      <c r="O26" s="282">
        <v>8.6400000000000005E-2</v>
      </c>
      <c r="P26" s="78"/>
      <c r="Q26" s="8">
        <f t="shared" si="5"/>
        <v>2.0000000000000011E-2</v>
      </c>
      <c r="R26" s="142" t="s">
        <v>4</v>
      </c>
      <c r="S26" s="249">
        <v>0.16899999999999998</v>
      </c>
      <c r="T26" s="282">
        <v>7.8200000000000006E-2</v>
      </c>
      <c r="U26" s="78"/>
      <c r="V26" s="99">
        <f t="shared" si="6"/>
        <v>2.0000000000000011E-2</v>
      </c>
      <c r="W26" s="249">
        <v>0.16999999999999998</v>
      </c>
      <c r="X26" s="282">
        <v>7.8899999999999998E-2</v>
      </c>
      <c r="Y26" s="78"/>
      <c r="Z26" s="99">
        <f t="shared" si="7"/>
        <v>1.900000000000001E-2</v>
      </c>
      <c r="AA26" s="143">
        <v>3.0999999999999993E-2</v>
      </c>
      <c r="AB26" s="281">
        <v>0.13159999999999999</v>
      </c>
      <c r="AC26" s="281">
        <v>2.7699999999999999E-2</v>
      </c>
      <c r="AD26" s="281">
        <v>4.4499999999999998E-2</v>
      </c>
      <c r="AE26" s="281">
        <v>8.5599999999999996E-2</v>
      </c>
    </row>
    <row r="27" spans="1:31" x14ac:dyDescent="0.25">
      <c r="A27" s="8">
        <f t="shared" si="2"/>
        <v>2.1000000000000012E-2</v>
      </c>
      <c r="B27" s="7" t="s">
        <v>4</v>
      </c>
      <c r="C27" s="8">
        <v>5.899999999999999E-2</v>
      </c>
      <c r="D27" s="248">
        <v>0.1381</v>
      </c>
      <c r="E27" s="278"/>
      <c r="F27" s="279"/>
      <c r="G27" s="8">
        <f t="shared" si="3"/>
        <v>2.1000000000000012E-2</v>
      </c>
      <c r="H27" s="7" t="s">
        <v>4</v>
      </c>
      <c r="I27" s="8">
        <v>3.8999999999999986E-2</v>
      </c>
      <c r="J27" s="291">
        <v>0.1429</v>
      </c>
      <c r="K27" s="78"/>
      <c r="L27" s="99">
        <f t="shared" si="4"/>
        <v>2.1000000000000012E-2</v>
      </c>
      <c r="M27" s="142" t="s">
        <v>4</v>
      </c>
      <c r="N27" s="249">
        <v>0.16799999999999998</v>
      </c>
      <c r="O27" s="282">
        <v>9.0700000000000003E-2</v>
      </c>
      <c r="P27" s="78"/>
      <c r="Q27" s="8">
        <f t="shared" si="5"/>
        <v>2.1000000000000012E-2</v>
      </c>
      <c r="R27" s="142" t="s">
        <v>4</v>
      </c>
      <c r="S27" s="249">
        <v>0.16799999999999998</v>
      </c>
      <c r="T27" s="282">
        <v>8.2500000000000004E-2</v>
      </c>
      <c r="U27" s="78"/>
      <c r="V27" s="99">
        <f t="shared" si="6"/>
        <v>2.1000000000000012E-2</v>
      </c>
      <c r="W27" s="249">
        <v>0.16899999999999998</v>
      </c>
      <c r="X27" s="282">
        <v>8.3199999999999996E-2</v>
      </c>
      <c r="Y27" s="78"/>
      <c r="Z27" s="99">
        <f t="shared" si="7"/>
        <v>2.0000000000000011E-2</v>
      </c>
      <c r="AA27" s="143">
        <v>2.9999999999999992E-2</v>
      </c>
      <c r="AB27" s="281">
        <v>0.13769999999999999</v>
      </c>
      <c r="AC27" s="281">
        <v>2.87E-2</v>
      </c>
      <c r="AD27" s="281">
        <v>4.6399999999999997E-2</v>
      </c>
      <c r="AE27" s="281">
        <v>8.9499999999999996E-2</v>
      </c>
    </row>
    <row r="28" spans="1:31" x14ac:dyDescent="0.25">
      <c r="A28" s="8">
        <f t="shared" si="2"/>
        <v>2.2000000000000013E-2</v>
      </c>
      <c r="B28" s="7" t="s">
        <v>4</v>
      </c>
      <c r="C28" s="8">
        <v>5.7999999999999989E-2</v>
      </c>
      <c r="D28" s="248">
        <v>0.14399999999999999</v>
      </c>
      <c r="E28" s="278"/>
      <c r="F28" s="279"/>
      <c r="G28" s="8">
        <f t="shared" si="3"/>
        <v>2.2000000000000013E-2</v>
      </c>
      <c r="H28" s="7" t="s">
        <v>4</v>
      </c>
      <c r="I28" s="8">
        <v>3.7999999999999985E-2</v>
      </c>
      <c r="J28" s="291">
        <v>0.1487</v>
      </c>
      <c r="K28" s="78"/>
      <c r="L28" s="99">
        <f t="shared" si="4"/>
        <v>2.2000000000000013E-2</v>
      </c>
      <c r="M28" s="142" t="s">
        <v>4</v>
      </c>
      <c r="N28" s="249">
        <v>0.16699999999999998</v>
      </c>
      <c r="O28" s="282">
        <v>9.4899999999999998E-2</v>
      </c>
      <c r="P28" s="78"/>
      <c r="Q28" s="8">
        <f t="shared" si="5"/>
        <v>2.2000000000000013E-2</v>
      </c>
      <c r="R28" s="142" t="s">
        <v>4</v>
      </c>
      <c r="S28" s="249">
        <v>0.16699999999999998</v>
      </c>
      <c r="T28" s="282">
        <v>8.6800000000000002E-2</v>
      </c>
      <c r="U28" s="78"/>
      <c r="V28" s="99">
        <f t="shared" si="6"/>
        <v>2.2000000000000013E-2</v>
      </c>
      <c r="W28" s="249">
        <v>0.16799999999999998</v>
      </c>
      <c r="X28" s="282">
        <v>8.7400000000000005E-2</v>
      </c>
      <c r="Y28" s="78"/>
      <c r="Z28" s="99">
        <f t="shared" si="7"/>
        <v>2.1000000000000012E-2</v>
      </c>
      <c r="AA28" s="143">
        <v>2.8999999999999991E-2</v>
      </c>
      <c r="AB28" s="281">
        <v>0.16839999999999999</v>
      </c>
      <c r="AC28" s="281">
        <v>2.9600000000000001E-2</v>
      </c>
      <c r="AD28" s="281">
        <v>4.82E-2</v>
      </c>
      <c r="AE28" s="281">
        <v>9.3399999999999997E-2</v>
      </c>
    </row>
    <row r="29" spans="1:31" x14ac:dyDescent="0.25">
      <c r="A29" s="8">
        <f t="shared" si="2"/>
        <v>2.3000000000000013E-2</v>
      </c>
      <c r="B29" s="7" t="s">
        <v>4</v>
      </c>
      <c r="C29" s="8">
        <v>5.6999999999999988E-2</v>
      </c>
      <c r="D29" s="248">
        <v>0.14990000000000001</v>
      </c>
      <c r="E29" s="278"/>
      <c r="F29" s="279"/>
      <c r="G29" s="8">
        <f t="shared" si="3"/>
        <v>2.3000000000000013E-2</v>
      </c>
      <c r="H29" s="7" t="s">
        <v>4</v>
      </c>
      <c r="I29" s="8">
        <v>3.6999999999999984E-2</v>
      </c>
      <c r="J29" s="291">
        <v>0.1545</v>
      </c>
      <c r="K29" s="78"/>
      <c r="L29" s="99">
        <f t="shared" si="4"/>
        <v>2.3000000000000013E-2</v>
      </c>
      <c r="M29" s="142" t="s">
        <v>4</v>
      </c>
      <c r="N29" s="249">
        <v>0.16599999999999998</v>
      </c>
      <c r="O29" s="282">
        <v>9.9099999999999994E-2</v>
      </c>
      <c r="P29" s="78"/>
      <c r="Q29" s="8">
        <f t="shared" si="5"/>
        <v>2.3000000000000013E-2</v>
      </c>
      <c r="R29" s="142" t="s">
        <v>4</v>
      </c>
      <c r="S29" s="249">
        <v>0.16599999999999998</v>
      </c>
      <c r="T29" s="282">
        <v>9.0999999999999998E-2</v>
      </c>
      <c r="U29" s="78"/>
      <c r="V29" s="99">
        <f t="shared" si="6"/>
        <v>2.3000000000000013E-2</v>
      </c>
      <c r="W29" s="249">
        <v>0.16699999999999998</v>
      </c>
      <c r="X29" s="282">
        <v>9.1700000000000004E-2</v>
      </c>
      <c r="Y29" s="78"/>
      <c r="Z29" s="99">
        <f t="shared" si="7"/>
        <v>2.2000000000000013E-2</v>
      </c>
      <c r="AA29" s="143">
        <v>2.799999999999999E-2</v>
      </c>
      <c r="AB29" s="281">
        <v>0.17560000000000001</v>
      </c>
      <c r="AC29" s="281">
        <v>3.0599999999999999E-2</v>
      </c>
      <c r="AD29" s="281">
        <v>0.05</v>
      </c>
      <c r="AE29" s="281">
        <v>9.7299999999999998E-2</v>
      </c>
    </row>
    <row r="30" spans="1:31" x14ac:dyDescent="0.25">
      <c r="A30" s="8">
        <f t="shared" si="2"/>
        <v>2.4000000000000014E-2</v>
      </c>
      <c r="B30" s="7" t="s">
        <v>4</v>
      </c>
      <c r="C30" s="8">
        <v>5.5999999999999987E-2</v>
      </c>
      <c r="D30" s="248">
        <v>0.15579999999999999</v>
      </c>
      <c r="E30" s="278"/>
      <c r="F30" s="279"/>
      <c r="G30" s="8">
        <f t="shared" si="3"/>
        <v>2.4000000000000014E-2</v>
      </c>
      <c r="H30" s="7" t="s">
        <v>4</v>
      </c>
      <c r="I30" s="8">
        <v>3.5999999999999983E-2</v>
      </c>
      <c r="J30" s="291">
        <v>0.16020000000000001</v>
      </c>
      <c r="K30" s="78"/>
      <c r="L30" s="99">
        <f t="shared" si="4"/>
        <v>2.4000000000000014E-2</v>
      </c>
      <c r="M30" s="142" t="s">
        <v>4</v>
      </c>
      <c r="N30" s="249">
        <v>0.16499999999999998</v>
      </c>
      <c r="O30" s="282">
        <v>0.1033</v>
      </c>
      <c r="P30" s="78"/>
      <c r="Q30" s="8">
        <f t="shared" si="5"/>
        <v>2.4000000000000014E-2</v>
      </c>
      <c r="R30" s="142" t="s">
        <v>4</v>
      </c>
      <c r="S30" s="249">
        <v>0.16499999999999998</v>
      </c>
      <c r="T30" s="282">
        <v>9.5299999999999996E-2</v>
      </c>
      <c r="U30" s="78"/>
      <c r="V30" s="99">
        <f t="shared" si="6"/>
        <v>2.4000000000000014E-2</v>
      </c>
      <c r="W30" s="249">
        <v>0.16599999999999998</v>
      </c>
      <c r="X30" s="282">
        <v>9.5899999999999999E-2</v>
      </c>
      <c r="Y30" s="78"/>
      <c r="Z30" s="99">
        <f t="shared" si="7"/>
        <v>2.3000000000000013E-2</v>
      </c>
      <c r="AA30" s="143">
        <v>2.6999999999999989E-2</v>
      </c>
      <c r="AB30" s="281">
        <v>0.1827</v>
      </c>
      <c r="AC30" s="281">
        <v>3.15E-2</v>
      </c>
      <c r="AD30" s="281">
        <v>5.1799999999999999E-2</v>
      </c>
      <c r="AE30" s="281">
        <v>0.1012</v>
      </c>
    </row>
    <row r="31" spans="1:31" x14ac:dyDescent="0.25">
      <c r="A31" s="8">
        <f t="shared" si="2"/>
        <v>2.5000000000000015E-2</v>
      </c>
      <c r="B31" s="7" t="s">
        <v>4</v>
      </c>
      <c r="C31" s="8">
        <v>5.4999999999999986E-2</v>
      </c>
      <c r="D31" s="248">
        <v>0.16159999999999999</v>
      </c>
      <c r="E31" s="278"/>
      <c r="F31" s="279"/>
      <c r="G31" s="8">
        <f t="shared" si="3"/>
        <v>2.5000000000000015E-2</v>
      </c>
      <c r="H31" s="7" t="s">
        <v>4</v>
      </c>
      <c r="I31" s="8">
        <v>3.4999999999999983E-2</v>
      </c>
      <c r="J31" s="291">
        <v>0.16600000000000001</v>
      </c>
      <c r="K31" s="78"/>
      <c r="L31" s="99">
        <f t="shared" si="4"/>
        <v>2.5000000000000015E-2</v>
      </c>
      <c r="M31" s="142" t="s">
        <v>4</v>
      </c>
      <c r="N31" s="249">
        <v>0.16399999999999998</v>
      </c>
      <c r="O31" s="282">
        <v>0.1075</v>
      </c>
      <c r="P31" s="78"/>
      <c r="Q31" s="8">
        <f t="shared" si="5"/>
        <v>2.5000000000000015E-2</v>
      </c>
      <c r="R31" s="142" t="s">
        <v>4</v>
      </c>
      <c r="S31" s="249">
        <v>0.16399999999999998</v>
      </c>
      <c r="T31" s="282">
        <v>9.9500000000000005E-2</v>
      </c>
      <c r="U31" s="78"/>
      <c r="V31" s="99">
        <f t="shared" si="6"/>
        <v>2.5000000000000015E-2</v>
      </c>
      <c r="W31" s="249">
        <v>0.16499999999999998</v>
      </c>
      <c r="X31" s="282">
        <v>0.10009999999999999</v>
      </c>
      <c r="Y31" s="78"/>
      <c r="Z31" s="99">
        <f t="shared" si="7"/>
        <v>2.4000000000000014E-2</v>
      </c>
      <c r="AA31" s="143">
        <v>2.5999999999999988E-2</v>
      </c>
      <c r="AB31" s="281">
        <v>0.1898</v>
      </c>
      <c r="AC31" s="281">
        <v>3.2500000000000001E-2</v>
      </c>
      <c r="AD31" s="281">
        <v>5.3699999999999998E-2</v>
      </c>
      <c r="AE31" s="281">
        <v>0.1051</v>
      </c>
    </row>
    <row r="32" spans="1:31" x14ac:dyDescent="0.25">
      <c r="A32" s="8">
        <f t="shared" si="2"/>
        <v>2.6000000000000016E-2</v>
      </c>
      <c r="B32" s="7" t="s">
        <v>4</v>
      </c>
      <c r="C32" s="8">
        <v>5.3999999999999986E-2</v>
      </c>
      <c r="D32" s="248">
        <v>0.16750000000000001</v>
      </c>
      <c r="E32" s="278"/>
      <c r="F32" s="279"/>
      <c r="G32" s="8">
        <f t="shared" si="3"/>
        <v>2.6000000000000016E-2</v>
      </c>
      <c r="H32" s="7" t="s">
        <v>4</v>
      </c>
      <c r="I32" s="8">
        <v>3.3999999999999982E-2</v>
      </c>
      <c r="J32" s="291">
        <v>0.17169999999999999</v>
      </c>
      <c r="K32" s="78"/>
      <c r="L32" s="99">
        <f t="shared" si="4"/>
        <v>2.6000000000000016E-2</v>
      </c>
      <c r="M32" s="142" t="s">
        <v>4</v>
      </c>
      <c r="N32" s="249">
        <v>0.16299999999999998</v>
      </c>
      <c r="O32" s="282">
        <v>0.11169999999999999</v>
      </c>
      <c r="P32" s="78"/>
      <c r="Q32" s="8">
        <f t="shared" si="5"/>
        <v>2.6000000000000016E-2</v>
      </c>
      <c r="R32" s="142" t="s">
        <v>4</v>
      </c>
      <c r="S32" s="249">
        <v>0.16299999999999998</v>
      </c>
      <c r="T32" s="282">
        <v>0.1037</v>
      </c>
      <c r="U32" s="78"/>
      <c r="V32" s="99">
        <f t="shared" si="6"/>
        <v>2.6000000000000016E-2</v>
      </c>
      <c r="W32" s="249">
        <v>0.16399999999999998</v>
      </c>
      <c r="X32" s="282">
        <v>0.1043</v>
      </c>
      <c r="Y32" s="78"/>
      <c r="Z32" s="99">
        <f t="shared" si="7"/>
        <v>2.5000000000000015E-2</v>
      </c>
      <c r="AA32" s="267">
        <v>2.4999999999999988E-2</v>
      </c>
      <c r="AB32" s="281">
        <v>0.1968</v>
      </c>
      <c r="AC32" s="281">
        <v>3.3500000000000002E-2</v>
      </c>
      <c r="AD32" s="281">
        <v>5.5500000000000001E-2</v>
      </c>
      <c r="AE32" s="281">
        <v>0.109</v>
      </c>
    </row>
    <row r="33" spans="1:26" x14ac:dyDescent="0.25">
      <c r="A33" s="8">
        <f t="shared" si="2"/>
        <v>2.7000000000000017E-2</v>
      </c>
      <c r="B33" s="7" t="s">
        <v>4</v>
      </c>
      <c r="C33" s="8">
        <v>5.2999999999999985E-2</v>
      </c>
      <c r="D33" s="248">
        <v>0.17330000000000001</v>
      </c>
      <c r="E33" s="278"/>
      <c r="F33" s="279"/>
      <c r="G33" s="8">
        <f t="shared" si="3"/>
        <v>2.7000000000000017E-2</v>
      </c>
      <c r="H33" s="7" t="s">
        <v>4</v>
      </c>
      <c r="I33" s="8">
        <v>3.2999999999999981E-2</v>
      </c>
      <c r="J33" s="291">
        <v>0.1774</v>
      </c>
      <c r="K33" s="78"/>
      <c r="L33" s="99">
        <f t="shared" si="4"/>
        <v>2.7000000000000017E-2</v>
      </c>
      <c r="M33" s="142" t="s">
        <v>4</v>
      </c>
      <c r="N33" s="249">
        <v>0.16199999999999998</v>
      </c>
      <c r="O33" s="282">
        <v>0.1159</v>
      </c>
      <c r="P33" s="78"/>
      <c r="Q33" s="8">
        <f t="shared" si="5"/>
        <v>2.7000000000000017E-2</v>
      </c>
      <c r="R33" s="142" t="s">
        <v>4</v>
      </c>
      <c r="S33" s="249">
        <v>0.16199999999999998</v>
      </c>
      <c r="T33" s="282">
        <v>0.1079</v>
      </c>
      <c r="U33" s="78"/>
      <c r="V33" s="99">
        <f t="shared" si="6"/>
        <v>2.7000000000000017E-2</v>
      </c>
      <c r="W33" s="249">
        <v>0.16299999999999998</v>
      </c>
      <c r="X33" s="282">
        <v>0.1085</v>
      </c>
      <c r="Y33" s="78"/>
      <c r="Z33" s="78"/>
    </row>
    <row r="34" spans="1:26" x14ac:dyDescent="0.25">
      <c r="A34" s="8">
        <f t="shared" si="2"/>
        <v>2.8000000000000018E-2</v>
      </c>
      <c r="B34" s="7" t="s">
        <v>4</v>
      </c>
      <c r="C34" s="8">
        <v>5.1999999999999984E-2</v>
      </c>
      <c r="D34" s="248">
        <v>0.17910000000000001</v>
      </c>
      <c r="E34" s="278"/>
      <c r="F34" s="279"/>
      <c r="G34" s="8">
        <f t="shared" si="3"/>
        <v>2.8000000000000018E-2</v>
      </c>
      <c r="H34" s="7" t="s">
        <v>4</v>
      </c>
      <c r="I34" s="8">
        <v>3.199999999999998E-2</v>
      </c>
      <c r="J34" s="291">
        <v>0.183</v>
      </c>
      <c r="K34" s="78"/>
      <c r="L34" s="99">
        <f t="shared" si="4"/>
        <v>2.8000000000000018E-2</v>
      </c>
      <c r="M34" s="142" t="s">
        <v>4</v>
      </c>
      <c r="N34" s="249">
        <v>0.16099999999999998</v>
      </c>
      <c r="O34" s="282">
        <v>0.12</v>
      </c>
      <c r="P34" s="78"/>
      <c r="Q34" s="8">
        <f t="shared" si="5"/>
        <v>2.8000000000000018E-2</v>
      </c>
      <c r="R34" s="142" t="s">
        <v>4</v>
      </c>
      <c r="S34" s="249">
        <v>0.16099999999999998</v>
      </c>
      <c r="T34" s="282">
        <v>0.11210000000000001</v>
      </c>
      <c r="U34" s="78"/>
      <c r="V34" s="99">
        <f t="shared" si="6"/>
        <v>2.8000000000000018E-2</v>
      </c>
      <c r="W34" s="249">
        <v>0.16199999999999998</v>
      </c>
      <c r="X34" s="282">
        <v>0.11269999999999999</v>
      </c>
      <c r="Y34" s="78"/>
      <c r="Z34" s="78"/>
    </row>
    <row r="35" spans="1:26" x14ac:dyDescent="0.25">
      <c r="A35" s="8">
        <f t="shared" si="2"/>
        <v>2.9000000000000019E-2</v>
      </c>
      <c r="B35" s="7" t="s">
        <v>4</v>
      </c>
      <c r="C35" s="8">
        <v>5.0999999999999983E-2</v>
      </c>
      <c r="D35" s="248">
        <v>0.18490000000000001</v>
      </c>
      <c r="E35" s="278"/>
      <c r="F35" s="279"/>
      <c r="G35" s="8">
        <f t="shared" si="3"/>
        <v>2.9000000000000019E-2</v>
      </c>
      <c r="H35" s="7" t="s">
        <v>4</v>
      </c>
      <c r="I35" s="8">
        <v>3.0999999999999979E-2</v>
      </c>
      <c r="J35" s="291">
        <v>0.18870000000000001</v>
      </c>
      <c r="K35" s="78"/>
      <c r="L35" s="99">
        <f t="shared" si="4"/>
        <v>2.9000000000000019E-2</v>
      </c>
      <c r="M35" s="142" t="s">
        <v>4</v>
      </c>
      <c r="N35" s="249">
        <v>0.15999999999999998</v>
      </c>
      <c r="O35" s="282">
        <v>0.1242</v>
      </c>
      <c r="P35" s="78"/>
      <c r="Q35" s="8">
        <f t="shared" si="5"/>
        <v>2.9000000000000019E-2</v>
      </c>
      <c r="R35" s="142" t="s">
        <v>4</v>
      </c>
      <c r="S35" s="249">
        <v>0.15999999999999998</v>
      </c>
      <c r="T35" s="282">
        <v>0.1164</v>
      </c>
      <c r="U35" s="78"/>
      <c r="V35" s="99">
        <f t="shared" si="6"/>
        <v>2.9000000000000019E-2</v>
      </c>
      <c r="W35" s="249">
        <v>0.16099999999999998</v>
      </c>
      <c r="X35" s="282">
        <v>0.1169</v>
      </c>
      <c r="Y35" s="78"/>
      <c r="Z35" s="78"/>
    </row>
    <row r="36" spans="1:26" x14ac:dyDescent="0.25">
      <c r="A36" s="8">
        <f t="shared" si="2"/>
        <v>3.000000000000002E-2</v>
      </c>
      <c r="B36" s="7" t="s">
        <v>4</v>
      </c>
      <c r="C36" s="8">
        <v>4.9999999999999982E-2</v>
      </c>
      <c r="D36" s="248">
        <v>0.19059999999999999</v>
      </c>
      <c r="E36" s="278"/>
      <c r="F36" s="279"/>
      <c r="G36" s="8">
        <f t="shared" si="3"/>
        <v>3.000000000000002E-2</v>
      </c>
      <c r="H36" s="7" t="s">
        <v>4</v>
      </c>
      <c r="I36" s="8">
        <v>2.9999999999999978E-2</v>
      </c>
      <c r="J36" s="291">
        <v>0.1943</v>
      </c>
      <c r="K36" s="78"/>
      <c r="L36" s="99">
        <f t="shared" si="4"/>
        <v>3.000000000000002E-2</v>
      </c>
      <c r="M36" s="142" t="s">
        <v>4</v>
      </c>
      <c r="N36" s="249">
        <v>0.15899999999999997</v>
      </c>
      <c r="O36" s="282">
        <v>0.12839999999999999</v>
      </c>
      <c r="P36" s="78"/>
      <c r="Q36" s="8">
        <f t="shared" si="5"/>
        <v>3.000000000000002E-2</v>
      </c>
      <c r="R36" s="142" t="s">
        <v>4</v>
      </c>
      <c r="S36" s="249">
        <v>0.15899999999999997</v>
      </c>
      <c r="T36" s="282">
        <v>0.1205</v>
      </c>
      <c r="U36" s="78"/>
      <c r="V36" s="99">
        <f t="shared" si="6"/>
        <v>3.000000000000002E-2</v>
      </c>
      <c r="W36" s="249">
        <v>0.15999999999999998</v>
      </c>
      <c r="X36" s="282">
        <v>0.1211</v>
      </c>
      <c r="Y36" s="78"/>
      <c r="Z36" s="78"/>
    </row>
    <row r="37" spans="1:26" x14ac:dyDescent="0.25">
      <c r="A37" s="8">
        <f t="shared" si="2"/>
        <v>3.1000000000000021E-2</v>
      </c>
      <c r="B37" s="7" t="s">
        <v>4</v>
      </c>
      <c r="C37" s="8">
        <v>4.8999999999999981E-2</v>
      </c>
      <c r="D37" s="248">
        <v>0.19639999999999999</v>
      </c>
      <c r="E37" s="278"/>
      <c r="F37" s="279"/>
      <c r="G37" s="8">
        <f t="shared" si="3"/>
        <v>3.1000000000000021E-2</v>
      </c>
      <c r="H37" s="7" t="s">
        <v>4</v>
      </c>
      <c r="I37" s="8">
        <v>2.8999999999999977E-2</v>
      </c>
      <c r="J37" s="291">
        <v>0.19989999999999999</v>
      </c>
      <c r="K37" s="78"/>
      <c r="L37" s="99">
        <f t="shared" si="4"/>
        <v>3.1000000000000021E-2</v>
      </c>
      <c r="M37" s="142" t="s">
        <v>4</v>
      </c>
      <c r="N37" s="249">
        <v>0.15799999999999997</v>
      </c>
      <c r="O37" s="282">
        <v>0.13250000000000001</v>
      </c>
      <c r="P37" s="78"/>
      <c r="Q37" s="8">
        <f t="shared" si="5"/>
        <v>3.1000000000000021E-2</v>
      </c>
      <c r="R37" s="142" t="s">
        <v>4</v>
      </c>
      <c r="S37" s="249">
        <v>0.15799999999999997</v>
      </c>
      <c r="T37" s="282">
        <v>0.12470000000000001</v>
      </c>
      <c r="U37" s="78"/>
      <c r="V37" s="99">
        <f t="shared" si="6"/>
        <v>3.1000000000000021E-2</v>
      </c>
      <c r="W37" s="249">
        <v>0.15899999999999997</v>
      </c>
      <c r="X37" s="282">
        <v>0.12529999999999999</v>
      </c>
      <c r="Y37" s="78"/>
      <c r="Z37" s="78"/>
    </row>
    <row r="38" spans="1:26" x14ac:dyDescent="0.25">
      <c r="A38" s="8">
        <f t="shared" si="2"/>
        <v>3.2000000000000021E-2</v>
      </c>
      <c r="B38" s="7" t="s">
        <v>4</v>
      </c>
      <c r="C38" s="8">
        <v>4.799999999999998E-2</v>
      </c>
      <c r="D38" s="248">
        <v>0.2021</v>
      </c>
      <c r="E38" s="278"/>
      <c r="F38" s="279"/>
      <c r="G38" s="8">
        <f t="shared" si="3"/>
        <v>3.2000000000000021E-2</v>
      </c>
      <c r="H38" s="7" t="s">
        <v>4</v>
      </c>
      <c r="I38" s="8">
        <v>2.7999999999999976E-2</v>
      </c>
      <c r="J38" s="291">
        <v>0.20549999999999999</v>
      </c>
      <c r="K38" s="78"/>
      <c r="L38" s="99">
        <f t="shared" si="4"/>
        <v>3.2000000000000021E-2</v>
      </c>
      <c r="M38" s="142" t="s">
        <v>4</v>
      </c>
      <c r="N38" s="249">
        <v>0.15699999999999997</v>
      </c>
      <c r="O38" s="282">
        <v>0.13669999999999999</v>
      </c>
      <c r="P38" s="78"/>
      <c r="Q38" s="8">
        <f t="shared" si="5"/>
        <v>3.2000000000000021E-2</v>
      </c>
      <c r="R38" s="142" t="s">
        <v>4</v>
      </c>
      <c r="S38" s="249">
        <v>0.15699999999999997</v>
      </c>
      <c r="T38" s="282">
        <v>0.12889999999999999</v>
      </c>
      <c r="U38" s="78"/>
      <c r="V38" s="99">
        <f t="shared" si="6"/>
        <v>3.2000000000000021E-2</v>
      </c>
      <c r="W38" s="249">
        <v>0.15799999999999997</v>
      </c>
      <c r="X38" s="282">
        <v>0.1295</v>
      </c>
      <c r="Y38" s="78"/>
      <c r="Z38" s="78"/>
    </row>
    <row r="39" spans="1:26" x14ac:dyDescent="0.25">
      <c r="A39" s="8">
        <f t="shared" si="2"/>
        <v>3.3000000000000022E-2</v>
      </c>
      <c r="B39" s="7" t="s">
        <v>4</v>
      </c>
      <c r="C39" s="8">
        <v>4.6999999999999979E-2</v>
      </c>
      <c r="D39" s="248">
        <v>0.20780000000000001</v>
      </c>
      <c r="E39" s="278"/>
      <c r="F39" s="279"/>
      <c r="G39" s="8">
        <f t="shared" si="3"/>
        <v>3.3000000000000022E-2</v>
      </c>
      <c r="H39" s="7" t="s">
        <v>4</v>
      </c>
      <c r="I39" s="8">
        <v>2.6999999999999975E-2</v>
      </c>
      <c r="J39" s="291">
        <v>0.21110000000000001</v>
      </c>
      <c r="K39" s="78"/>
      <c r="L39" s="99">
        <f t="shared" si="4"/>
        <v>3.3000000000000022E-2</v>
      </c>
      <c r="M39" s="142" t="s">
        <v>4</v>
      </c>
      <c r="N39" s="249">
        <v>0.15599999999999997</v>
      </c>
      <c r="O39" s="282">
        <v>0.14080000000000001</v>
      </c>
      <c r="P39" s="78"/>
      <c r="Q39" s="8">
        <f t="shared" si="5"/>
        <v>3.3000000000000022E-2</v>
      </c>
      <c r="R39" s="142" t="s">
        <v>4</v>
      </c>
      <c r="S39" s="249">
        <v>0.15599999999999997</v>
      </c>
      <c r="T39" s="282">
        <v>0.1331</v>
      </c>
      <c r="U39" s="78"/>
      <c r="V39" s="99">
        <f t="shared" si="6"/>
        <v>3.3000000000000022E-2</v>
      </c>
      <c r="W39" s="249">
        <v>0.15699999999999997</v>
      </c>
      <c r="X39" s="282">
        <v>0.1336</v>
      </c>
      <c r="Y39" s="78"/>
      <c r="Z39" s="78"/>
    </row>
    <row r="40" spans="1:26" x14ac:dyDescent="0.25">
      <c r="A40" s="8">
        <f t="shared" si="2"/>
        <v>3.4000000000000023E-2</v>
      </c>
      <c r="B40" s="7" t="s">
        <v>4</v>
      </c>
      <c r="C40" s="8">
        <v>4.5999999999999978E-2</v>
      </c>
      <c r="D40" s="248">
        <v>0.2135</v>
      </c>
      <c r="E40" s="278"/>
      <c r="F40" s="279"/>
      <c r="G40" s="8">
        <f t="shared" si="3"/>
        <v>3.4000000000000023E-2</v>
      </c>
      <c r="H40" s="7" t="s">
        <v>4</v>
      </c>
      <c r="I40" s="8">
        <v>2.5999999999999975E-2</v>
      </c>
      <c r="J40" s="291">
        <v>0.21659999999999999</v>
      </c>
      <c r="K40" s="78"/>
      <c r="L40" s="99">
        <f t="shared" si="4"/>
        <v>3.4000000000000023E-2</v>
      </c>
      <c r="M40" s="142" t="s">
        <v>4</v>
      </c>
      <c r="N40" s="249">
        <v>0.15499999999999997</v>
      </c>
      <c r="O40" s="282">
        <v>0.1449</v>
      </c>
      <c r="P40" s="78"/>
      <c r="Q40" s="8">
        <f t="shared" si="5"/>
        <v>3.4000000000000023E-2</v>
      </c>
      <c r="R40" s="142" t="s">
        <v>4</v>
      </c>
      <c r="S40" s="249">
        <v>0.15499999999999997</v>
      </c>
      <c r="T40" s="282">
        <v>0.13730000000000001</v>
      </c>
      <c r="U40" s="78"/>
      <c r="V40" s="99">
        <f t="shared" si="6"/>
        <v>3.4000000000000023E-2</v>
      </c>
      <c r="W40" s="249">
        <v>0.15599999999999997</v>
      </c>
      <c r="X40" s="282">
        <v>0.13780000000000001</v>
      </c>
      <c r="Y40" s="78"/>
      <c r="Z40" s="78"/>
    </row>
    <row r="41" spans="1:26" x14ac:dyDescent="0.25">
      <c r="A41" s="8">
        <f t="shared" si="2"/>
        <v>3.5000000000000024E-2</v>
      </c>
      <c r="B41" s="7" t="s">
        <v>4</v>
      </c>
      <c r="C41" s="8">
        <v>4.4999999999999978E-2</v>
      </c>
      <c r="D41" s="248">
        <v>0.21909999999999999</v>
      </c>
      <c r="E41" s="278"/>
      <c r="F41" s="279"/>
      <c r="G41" s="8">
        <f t="shared" si="3"/>
        <v>3.5000000000000024E-2</v>
      </c>
      <c r="H41" s="7" t="s">
        <v>4</v>
      </c>
      <c r="I41" s="8">
        <v>2.4999999999999974E-2</v>
      </c>
      <c r="J41" s="291">
        <v>0.22220000000000001</v>
      </c>
      <c r="K41" s="78"/>
      <c r="L41" s="99">
        <f t="shared" si="4"/>
        <v>3.5000000000000024E-2</v>
      </c>
      <c r="M41" s="142" t="s">
        <v>4</v>
      </c>
      <c r="N41" s="249">
        <v>0.15399999999999997</v>
      </c>
      <c r="O41" s="282">
        <v>0.14910000000000001</v>
      </c>
      <c r="P41" s="78"/>
      <c r="Q41" s="8">
        <f t="shared" si="5"/>
        <v>3.5000000000000024E-2</v>
      </c>
      <c r="R41" s="142" t="s">
        <v>4</v>
      </c>
      <c r="S41" s="249">
        <v>0.15399999999999997</v>
      </c>
      <c r="T41" s="282">
        <v>0.1414</v>
      </c>
      <c r="U41" s="78"/>
      <c r="V41" s="99">
        <f t="shared" si="6"/>
        <v>3.5000000000000024E-2</v>
      </c>
      <c r="W41" s="249">
        <v>0.15499999999999997</v>
      </c>
      <c r="X41" s="282">
        <v>0.1419</v>
      </c>
      <c r="Y41" s="78"/>
      <c r="Z41" s="78"/>
    </row>
    <row r="42" spans="1:26" x14ac:dyDescent="0.25">
      <c r="A42" s="8">
        <f t="shared" si="2"/>
        <v>3.6000000000000025E-2</v>
      </c>
      <c r="B42" s="7"/>
      <c r="C42" s="9"/>
      <c r="D42" s="251"/>
      <c r="E42" s="78"/>
      <c r="G42" s="8"/>
      <c r="H42" s="7"/>
      <c r="I42" s="8"/>
      <c r="J42" s="251"/>
      <c r="K42" s="78"/>
      <c r="L42" s="99">
        <f t="shared" si="4"/>
        <v>3.6000000000000025E-2</v>
      </c>
      <c r="M42" s="142" t="s">
        <v>4</v>
      </c>
      <c r="N42" s="249">
        <v>0.15299999999999997</v>
      </c>
      <c r="O42" s="282">
        <v>0.1532</v>
      </c>
      <c r="P42" s="78"/>
      <c r="Q42" s="8">
        <f t="shared" si="5"/>
        <v>3.6000000000000025E-2</v>
      </c>
      <c r="R42" s="142" t="s">
        <v>4</v>
      </c>
      <c r="S42" s="249">
        <v>0.15299999999999997</v>
      </c>
      <c r="T42" s="282">
        <v>0.14560000000000001</v>
      </c>
      <c r="U42" s="78"/>
      <c r="V42" s="99">
        <f t="shared" si="6"/>
        <v>3.6000000000000025E-2</v>
      </c>
      <c r="W42" s="249">
        <v>0.15399999999999997</v>
      </c>
      <c r="X42" s="282">
        <v>0.14610000000000001</v>
      </c>
      <c r="Y42" s="78"/>
      <c r="Z42" s="78"/>
    </row>
    <row r="43" spans="1:26" x14ac:dyDescent="0.25">
      <c r="A43" s="8">
        <f t="shared" si="2"/>
        <v>3.7000000000000026E-2</v>
      </c>
      <c r="B43" s="7"/>
      <c r="C43" s="9"/>
      <c r="D43" s="251"/>
      <c r="E43" s="78"/>
      <c r="G43" s="8"/>
      <c r="H43" s="7"/>
      <c r="I43" s="8"/>
      <c r="J43" s="251"/>
      <c r="K43" s="78"/>
      <c r="L43" s="99">
        <f t="shared" si="4"/>
        <v>3.7000000000000026E-2</v>
      </c>
      <c r="M43" s="142" t="s">
        <v>4</v>
      </c>
      <c r="N43" s="249">
        <v>0.15199999999999997</v>
      </c>
      <c r="O43" s="282">
        <v>0.1573</v>
      </c>
      <c r="P43" s="78"/>
      <c r="Q43" s="8">
        <f t="shared" si="5"/>
        <v>3.7000000000000026E-2</v>
      </c>
      <c r="R43" s="142" t="s">
        <v>4</v>
      </c>
      <c r="S43" s="249">
        <v>0.15199999999999997</v>
      </c>
      <c r="T43" s="282">
        <v>0.1497</v>
      </c>
      <c r="U43" s="78"/>
      <c r="V43" s="99">
        <f t="shared" si="6"/>
        <v>3.7000000000000026E-2</v>
      </c>
      <c r="W43" s="249">
        <v>0.15299999999999997</v>
      </c>
      <c r="X43" s="282">
        <v>0.1502</v>
      </c>
      <c r="Y43" s="78"/>
      <c r="Z43" s="78"/>
    </row>
    <row r="44" spans="1:26" x14ac:dyDescent="0.25">
      <c r="A44" s="8">
        <f>A43+0.1%</f>
        <v>3.8000000000000027E-2</v>
      </c>
      <c r="B44" s="7"/>
      <c r="C44" s="9"/>
      <c r="D44" s="251"/>
      <c r="E44" s="78"/>
      <c r="G44" s="8"/>
      <c r="H44" s="7"/>
      <c r="I44" s="8"/>
      <c r="J44" s="251"/>
      <c r="K44" s="78"/>
      <c r="L44" s="99">
        <f t="shared" si="4"/>
        <v>3.8000000000000027E-2</v>
      </c>
      <c r="M44" s="142" t="s">
        <v>4</v>
      </c>
      <c r="N44" s="249">
        <v>0.15099999999999997</v>
      </c>
      <c r="O44" s="282">
        <v>0.16139999999999999</v>
      </c>
      <c r="P44" s="78"/>
      <c r="Q44" s="8">
        <f t="shared" si="5"/>
        <v>3.8000000000000027E-2</v>
      </c>
      <c r="R44" s="142" t="s">
        <v>4</v>
      </c>
      <c r="S44" s="249">
        <v>0.15099999999999997</v>
      </c>
      <c r="T44" s="282">
        <v>0.15379999999999999</v>
      </c>
      <c r="U44" s="78"/>
      <c r="V44" s="99">
        <f t="shared" si="6"/>
        <v>3.8000000000000027E-2</v>
      </c>
      <c r="W44" s="249">
        <v>0.15199999999999997</v>
      </c>
      <c r="X44" s="282">
        <v>0.15429999999999999</v>
      </c>
      <c r="Y44" s="78"/>
      <c r="Z44" s="78"/>
    </row>
    <row r="45" spans="1:26" x14ac:dyDescent="0.25">
      <c r="A45" s="8">
        <f t="shared" ref="A45:A46" si="8">A44+0.1%</f>
        <v>3.9000000000000028E-2</v>
      </c>
      <c r="B45" s="7"/>
      <c r="C45" s="9"/>
      <c r="D45" s="251"/>
      <c r="E45" s="78"/>
      <c r="G45" s="8"/>
      <c r="H45" s="7"/>
      <c r="I45" s="8"/>
      <c r="J45" s="251"/>
      <c r="K45" s="78"/>
      <c r="L45" s="99">
        <f t="shared" si="4"/>
        <v>3.9000000000000028E-2</v>
      </c>
      <c r="M45" s="142" t="s">
        <v>4</v>
      </c>
      <c r="N45" s="249">
        <v>0.14999999999999997</v>
      </c>
      <c r="O45" s="282">
        <v>0.16550000000000001</v>
      </c>
      <c r="P45" s="78"/>
      <c r="Q45" s="8">
        <f t="shared" si="5"/>
        <v>3.9000000000000028E-2</v>
      </c>
      <c r="R45" s="142" t="s">
        <v>4</v>
      </c>
      <c r="S45" s="249">
        <v>0.14999999999999997</v>
      </c>
      <c r="T45" s="282">
        <v>0.158</v>
      </c>
      <c r="U45" s="78"/>
      <c r="V45" s="99">
        <f t="shared" si="6"/>
        <v>3.9000000000000028E-2</v>
      </c>
      <c r="W45" s="249">
        <v>0.15099999999999997</v>
      </c>
      <c r="X45" s="282">
        <v>0.15840000000000001</v>
      </c>
      <c r="Y45" s="78"/>
      <c r="Z45" s="78"/>
    </row>
    <row r="46" spans="1:26" x14ac:dyDescent="0.25">
      <c r="A46" s="8">
        <f t="shared" si="8"/>
        <v>4.0000000000000029E-2</v>
      </c>
      <c r="B46" s="7"/>
      <c r="C46" s="9"/>
      <c r="D46" s="251"/>
      <c r="E46" s="78"/>
      <c r="G46" s="8"/>
      <c r="H46" s="7"/>
      <c r="I46" s="8"/>
      <c r="J46" s="251"/>
      <c r="K46" s="78"/>
      <c r="L46" s="99">
        <f t="shared" si="4"/>
        <v>4.0000000000000029E-2</v>
      </c>
      <c r="M46" s="142" t="s">
        <v>4</v>
      </c>
      <c r="N46" s="249">
        <v>0.14899999999999997</v>
      </c>
      <c r="O46" s="282">
        <v>0.16950000000000001</v>
      </c>
      <c r="P46" s="78"/>
      <c r="Q46" s="8">
        <f t="shared" si="5"/>
        <v>4.0000000000000029E-2</v>
      </c>
      <c r="R46" s="142" t="s">
        <v>4</v>
      </c>
      <c r="S46" s="249">
        <v>0.14899999999999997</v>
      </c>
      <c r="T46" s="282">
        <v>0.16209999999999999</v>
      </c>
      <c r="U46" s="78"/>
      <c r="V46" s="99">
        <f t="shared" si="6"/>
        <v>4.0000000000000029E-2</v>
      </c>
      <c r="W46" s="249">
        <v>0.14999999999999997</v>
      </c>
      <c r="X46" s="282">
        <v>0.16250000000000001</v>
      </c>
      <c r="Y46" s="78"/>
      <c r="Z46" s="78"/>
    </row>
    <row r="47" spans="1:26" x14ac:dyDescent="0.25">
      <c r="A47" s="10"/>
      <c r="B47" s="11"/>
      <c r="C47" s="14"/>
      <c r="D47" s="14"/>
      <c r="G47" s="10"/>
      <c r="H47" s="11"/>
      <c r="I47" s="14"/>
      <c r="J47" s="14"/>
      <c r="L47" s="99">
        <f t="shared" si="4"/>
        <v>4.1000000000000029E-2</v>
      </c>
      <c r="M47" s="142" t="s">
        <v>4</v>
      </c>
      <c r="N47" s="249">
        <v>0.14799999999999996</v>
      </c>
      <c r="O47" s="282">
        <v>0.1736</v>
      </c>
      <c r="P47" s="78"/>
      <c r="Q47" s="8">
        <f t="shared" si="5"/>
        <v>4.1000000000000029E-2</v>
      </c>
      <c r="R47" s="142" t="s">
        <v>4</v>
      </c>
      <c r="S47" s="249">
        <v>0.14799999999999996</v>
      </c>
      <c r="T47" s="282">
        <v>0.16619999999999999</v>
      </c>
      <c r="U47" s="78"/>
      <c r="V47" s="99">
        <f t="shared" si="6"/>
        <v>4.1000000000000029E-2</v>
      </c>
      <c r="W47" s="249">
        <v>0.14899999999999997</v>
      </c>
      <c r="X47" s="282">
        <v>0.1666</v>
      </c>
      <c r="Y47" s="78"/>
      <c r="Z47" s="78"/>
    </row>
    <row r="48" spans="1:26" x14ac:dyDescent="0.25">
      <c r="A48" s="10"/>
      <c r="B48" s="11"/>
      <c r="C48" s="14"/>
      <c r="D48" s="14"/>
      <c r="G48" s="10"/>
      <c r="H48" s="11"/>
      <c r="I48" s="14"/>
      <c r="J48" s="14"/>
      <c r="L48" s="99">
        <f t="shared" si="4"/>
        <v>4.200000000000003E-2</v>
      </c>
      <c r="M48" s="142" t="s">
        <v>4</v>
      </c>
      <c r="N48" s="249">
        <v>0.14699999999999996</v>
      </c>
      <c r="O48" s="282">
        <v>0.1777</v>
      </c>
      <c r="P48" s="78"/>
      <c r="Q48" s="8">
        <f t="shared" si="5"/>
        <v>4.200000000000003E-2</v>
      </c>
      <c r="R48" s="142" t="s">
        <v>4</v>
      </c>
      <c r="S48" s="249">
        <v>0.14699999999999996</v>
      </c>
      <c r="T48" s="282">
        <v>0.17030000000000001</v>
      </c>
      <c r="U48" s="78"/>
      <c r="V48" s="99">
        <f t="shared" si="6"/>
        <v>4.200000000000003E-2</v>
      </c>
      <c r="W48" s="249">
        <v>0.14799999999999996</v>
      </c>
      <c r="X48" s="282">
        <v>0.17069999999999999</v>
      </c>
      <c r="Y48" s="78"/>
      <c r="Z48" s="78"/>
    </row>
    <row r="49" spans="1:26" x14ac:dyDescent="0.25">
      <c r="A49" s="10"/>
      <c r="B49" s="11"/>
      <c r="C49" s="14"/>
      <c r="D49" s="14"/>
      <c r="G49" s="10"/>
      <c r="H49" s="11"/>
      <c r="I49" s="14"/>
      <c r="J49" s="14"/>
      <c r="L49" s="99">
        <f>L48+0.1%</f>
        <v>4.3000000000000031E-2</v>
      </c>
      <c r="M49" s="142" t="s">
        <v>4</v>
      </c>
      <c r="N49" s="249">
        <v>0.14599999999999996</v>
      </c>
      <c r="O49" s="282">
        <v>0.18179999999999999</v>
      </c>
      <c r="P49" s="78"/>
      <c r="Q49" s="8">
        <f t="shared" si="5"/>
        <v>4.3000000000000031E-2</v>
      </c>
      <c r="R49" s="142" t="s">
        <v>4</v>
      </c>
      <c r="S49" s="249">
        <v>0.14599999999999996</v>
      </c>
      <c r="T49" s="282">
        <v>0.1744</v>
      </c>
      <c r="U49" s="78"/>
      <c r="V49" s="99">
        <f t="shared" si="6"/>
        <v>4.3000000000000031E-2</v>
      </c>
      <c r="W49" s="249">
        <v>0.14699999999999996</v>
      </c>
      <c r="X49" s="282">
        <v>0.17480000000000001</v>
      </c>
      <c r="Y49" s="78"/>
      <c r="Z49" s="78"/>
    </row>
    <row r="50" spans="1:26" x14ac:dyDescent="0.25">
      <c r="A50" s="10"/>
      <c r="B50" s="11"/>
      <c r="C50" s="14"/>
      <c r="D50" s="14"/>
      <c r="G50" s="10"/>
      <c r="H50" s="11"/>
      <c r="I50" s="14"/>
      <c r="J50" s="14"/>
      <c r="L50" s="99">
        <f t="shared" si="4"/>
        <v>4.4000000000000032E-2</v>
      </c>
      <c r="M50" s="142" t="s">
        <v>4</v>
      </c>
      <c r="N50" s="249">
        <v>0.14499999999999996</v>
      </c>
      <c r="O50" s="282">
        <v>0.18579999999999999</v>
      </c>
      <c r="P50" s="78"/>
      <c r="Q50" s="8">
        <f t="shared" si="5"/>
        <v>4.4000000000000032E-2</v>
      </c>
      <c r="R50" s="142" t="s">
        <v>4</v>
      </c>
      <c r="S50" s="249">
        <v>0.14499999999999996</v>
      </c>
      <c r="T50" s="282">
        <v>0.17849999999999999</v>
      </c>
      <c r="U50" s="78"/>
      <c r="V50" s="99">
        <f t="shared" si="6"/>
        <v>4.4000000000000032E-2</v>
      </c>
      <c r="W50" s="249">
        <v>0.14599999999999996</v>
      </c>
      <c r="X50" s="282">
        <v>0.1789</v>
      </c>
      <c r="Y50" s="78"/>
      <c r="Z50" s="78"/>
    </row>
    <row r="51" spans="1:26" x14ac:dyDescent="0.25">
      <c r="A51" s="10"/>
      <c r="B51" s="11"/>
      <c r="C51" s="14"/>
      <c r="D51" s="14"/>
      <c r="G51" s="10"/>
      <c r="H51" s="11"/>
      <c r="I51" s="14"/>
      <c r="J51" s="14"/>
      <c r="L51" s="99">
        <f t="shared" si="4"/>
        <v>4.5000000000000033E-2</v>
      </c>
      <c r="M51" s="142" t="s">
        <v>4</v>
      </c>
      <c r="N51" s="249">
        <v>0.14399999999999996</v>
      </c>
      <c r="O51" s="282">
        <v>0.1898</v>
      </c>
      <c r="P51" s="78"/>
      <c r="Q51" s="8">
        <f t="shared" si="5"/>
        <v>4.5000000000000033E-2</v>
      </c>
      <c r="R51" s="142" t="s">
        <v>4</v>
      </c>
      <c r="S51" s="249">
        <v>0.14399999999999996</v>
      </c>
      <c r="T51" s="282">
        <v>0.18260000000000001</v>
      </c>
      <c r="U51" s="78"/>
      <c r="V51" s="99">
        <f t="shared" si="6"/>
        <v>4.5000000000000033E-2</v>
      </c>
      <c r="W51" s="249">
        <v>0.14499999999999996</v>
      </c>
      <c r="X51" s="282">
        <v>0.183</v>
      </c>
      <c r="Y51" s="78"/>
      <c r="Z51" s="78"/>
    </row>
    <row r="52" spans="1:26" x14ac:dyDescent="0.25">
      <c r="A52" s="10"/>
      <c r="B52" s="11"/>
      <c r="C52" s="79"/>
      <c r="D52" s="80"/>
      <c r="G52" s="10"/>
      <c r="H52" s="11"/>
      <c r="I52" s="14"/>
      <c r="J52" s="14"/>
      <c r="L52" s="99">
        <f t="shared" si="4"/>
        <v>4.6000000000000034E-2</v>
      </c>
      <c r="M52" s="142" t="s">
        <v>4</v>
      </c>
      <c r="N52" s="249">
        <v>0.14299999999999996</v>
      </c>
      <c r="O52" s="282">
        <v>0.19389999999999999</v>
      </c>
      <c r="P52" s="78"/>
      <c r="Q52" s="8">
        <f t="shared" si="5"/>
        <v>4.6000000000000034E-2</v>
      </c>
      <c r="R52" s="142" t="s">
        <v>4</v>
      </c>
      <c r="S52" s="249">
        <v>0.14299999999999996</v>
      </c>
      <c r="T52" s="282">
        <v>0.1867</v>
      </c>
      <c r="U52" s="78"/>
      <c r="V52" s="99">
        <f t="shared" si="6"/>
        <v>4.6000000000000034E-2</v>
      </c>
      <c r="W52" s="249">
        <v>0.14399999999999996</v>
      </c>
      <c r="X52" s="282">
        <v>0.187</v>
      </c>
      <c r="Y52" s="78"/>
      <c r="Z52" s="78"/>
    </row>
    <row r="53" spans="1:26" x14ac:dyDescent="0.25">
      <c r="A53" s="10"/>
      <c r="B53" s="11"/>
      <c r="C53" s="79"/>
      <c r="D53" s="80"/>
      <c r="G53" s="10"/>
      <c r="H53" s="11"/>
      <c r="I53" s="14"/>
      <c r="J53" s="14"/>
      <c r="L53" s="99">
        <f t="shared" si="4"/>
        <v>4.7000000000000035E-2</v>
      </c>
      <c r="M53" s="142" t="s">
        <v>4</v>
      </c>
      <c r="N53" s="249">
        <v>0.14199999999999996</v>
      </c>
      <c r="O53" s="282">
        <v>0.19789999999999999</v>
      </c>
      <c r="P53" s="78"/>
      <c r="Q53" s="8">
        <f t="shared" si="5"/>
        <v>4.7000000000000035E-2</v>
      </c>
      <c r="R53" s="142" t="s">
        <v>4</v>
      </c>
      <c r="S53" s="249">
        <v>0.14199999999999996</v>
      </c>
      <c r="T53" s="282">
        <v>0.19070000000000001</v>
      </c>
      <c r="U53" s="78"/>
      <c r="V53" s="99">
        <f t="shared" si="6"/>
        <v>4.7000000000000035E-2</v>
      </c>
      <c r="W53" s="249">
        <v>0.14299999999999996</v>
      </c>
      <c r="X53" s="282">
        <v>0.19109999999999999</v>
      </c>
      <c r="Y53" s="78"/>
      <c r="Z53" s="78"/>
    </row>
    <row r="54" spans="1:26" x14ac:dyDescent="0.25">
      <c r="A54" s="10"/>
      <c r="B54" s="11"/>
      <c r="C54" s="79"/>
      <c r="D54" s="80"/>
      <c r="G54" s="10"/>
      <c r="H54" s="11"/>
      <c r="I54" s="14"/>
      <c r="J54" s="14"/>
      <c r="L54" s="99">
        <f t="shared" si="4"/>
        <v>4.8000000000000036E-2</v>
      </c>
      <c r="M54" s="142" t="s">
        <v>4</v>
      </c>
      <c r="N54" s="249">
        <v>0.14099999999999996</v>
      </c>
      <c r="O54" s="282">
        <v>0.2019</v>
      </c>
      <c r="P54" s="78"/>
      <c r="Q54" s="8">
        <f t="shared" si="5"/>
        <v>4.8000000000000036E-2</v>
      </c>
      <c r="R54" s="142" t="s">
        <v>4</v>
      </c>
      <c r="S54" s="249">
        <v>0.14099999999999996</v>
      </c>
      <c r="T54" s="282">
        <v>0.1948</v>
      </c>
      <c r="U54" s="78"/>
      <c r="V54" s="99">
        <f t="shared" si="6"/>
        <v>4.8000000000000036E-2</v>
      </c>
      <c r="W54" s="249">
        <v>0.14199999999999996</v>
      </c>
      <c r="X54" s="282">
        <v>0.1951</v>
      </c>
      <c r="Y54" s="78"/>
      <c r="Z54" s="78"/>
    </row>
    <row r="55" spans="1:26" x14ac:dyDescent="0.25">
      <c r="A55" s="10"/>
      <c r="B55" s="11"/>
      <c r="C55" s="79"/>
      <c r="D55" s="80"/>
      <c r="G55" s="10"/>
      <c r="H55" s="11"/>
      <c r="I55" s="14"/>
      <c r="J55" s="14"/>
      <c r="L55" s="99">
        <f t="shared" si="4"/>
        <v>4.9000000000000037E-2</v>
      </c>
      <c r="M55" s="142" t="s">
        <v>4</v>
      </c>
      <c r="N55" s="249">
        <v>0.13999999999999996</v>
      </c>
      <c r="O55" s="282">
        <v>0.20599999999999999</v>
      </c>
      <c r="P55" s="78"/>
      <c r="Q55" s="8">
        <f t="shared" si="5"/>
        <v>4.9000000000000037E-2</v>
      </c>
      <c r="R55" s="142" t="s">
        <v>4</v>
      </c>
      <c r="S55" s="249">
        <v>0.13999999999999996</v>
      </c>
      <c r="T55" s="285">
        <v>0.1988</v>
      </c>
      <c r="U55" s="78"/>
      <c r="V55" s="99">
        <f t="shared" si="6"/>
        <v>4.9000000000000037E-2</v>
      </c>
      <c r="W55" s="249">
        <v>0.14099999999999996</v>
      </c>
      <c r="X55" s="282">
        <v>0.19919999999999999</v>
      </c>
      <c r="Y55" s="78"/>
      <c r="Z55" s="78"/>
    </row>
    <row r="56" spans="1:26" x14ac:dyDescent="0.25">
      <c r="A56" s="10"/>
      <c r="B56" s="11"/>
      <c r="C56" s="79"/>
      <c r="D56" s="80"/>
      <c r="G56" s="13"/>
      <c r="H56" s="11"/>
      <c r="I56" s="12"/>
      <c r="L56" s="99">
        <f t="shared" si="4"/>
        <v>5.0000000000000037E-2</v>
      </c>
      <c r="M56" s="142" t="s">
        <v>4</v>
      </c>
      <c r="N56" s="249">
        <v>0.13899999999999996</v>
      </c>
      <c r="O56" s="282">
        <v>0.21</v>
      </c>
      <c r="P56" s="78"/>
      <c r="Q56" s="8">
        <f t="shared" si="5"/>
        <v>5.0000000000000037E-2</v>
      </c>
      <c r="R56" s="142" t="s">
        <v>4</v>
      </c>
      <c r="S56" s="249">
        <v>0.13899999999999996</v>
      </c>
      <c r="T56" s="285">
        <v>0.2029</v>
      </c>
      <c r="V56" s="99">
        <f t="shared" si="6"/>
        <v>5.0000000000000037E-2</v>
      </c>
      <c r="W56" s="249">
        <v>0.13999999999999996</v>
      </c>
      <c r="X56" s="282">
        <v>0.20319999999999999</v>
      </c>
      <c r="Y56" s="78"/>
      <c r="Z56" s="78"/>
    </row>
    <row r="57" spans="1:26" x14ac:dyDescent="0.25">
      <c r="A57" s="10"/>
      <c r="B57" s="11"/>
      <c r="C57" s="79"/>
      <c r="D57" s="80"/>
      <c r="G57" s="13"/>
      <c r="H57" s="16"/>
      <c r="I57" s="12"/>
      <c r="L57" s="99">
        <f t="shared" si="4"/>
        <v>5.1000000000000038E-2</v>
      </c>
      <c r="M57" s="142" t="s">
        <v>4</v>
      </c>
      <c r="N57" s="249">
        <v>0.13799999999999996</v>
      </c>
      <c r="O57" s="282">
        <v>0.214</v>
      </c>
      <c r="P57" s="78"/>
      <c r="Q57" s="8">
        <f t="shared" si="5"/>
        <v>5.1000000000000038E-2</v>
      </c>
      <c r="R57" s="142" t="s">
        <v>4</v>
      </c>
      <c r="S57" s="249">
        <v>0.13799999999999996</v>
      </c>
      <c r="T57" s="285">
        <v>0.2069</v>
      </c>
      <c r="V57" s="99">
        <f t="shared" si="6"/>
        <v>5.1000000000000038E-2</v>
      </c>
      <c r="W57" s="249">
        <v>0.13899999999999996</v>
      </c>
      <c r="X57" s="282">
        <v>0.2072</v>
      </c>
      <c r="Y57" s="78"/>
      <c r="Z57" s="78"/>
    </row>
    <row r="58" spans="1:26" x14ac:dyDescent="0.25">
      <c r="A58" s="14"/>
      <c r="B58" s="15"/>
      <c r="C58" s="15"/>
      <c r="G58" s="13"/>
      <c r="H58" s="16"/>
      <c r="I58" s="12"/>
      <c r="L58" s="99">
        <f t="shared" si="4"/>
        <v>5.2000000000000039E-2</v>
      </c>
      <c r="M58" s="142" t="s">
        <v>4</v>
      </c>
      <c r="N58" s="249">
        <v>0.13699999999999996</v>
      </c>
      <c r="O58" s="282">
        <v>0.21790000000000001</v>
      </c>
      <c r="P58" s="78"/>
      <c r="Q58" s="8">
        <f t="shared" si="5"/>
        <v>5.2000000000000039E-2</v>
      </c>
      <c r="R58" s="142" t="s">
        <v>4</v>
      </c>
      <c r="S58" s="249">
        <v>0.13699999999999996</v>
      </c>
      <c r="T58" s="285">
        <v>0.2109</v>
      </c>
      <c r="V58" s="99">
        <f t="shared" si="6"/>
        <v>5.2000000000000039E-2</v>
      </c>
      <c r="W58" s="249">
        <v>0.13799999999999996</v>
      </c>
      <c r="X58" s="282">
        <v>0.2112</v>
      </c>
      <c r="Y58" s="78"/>
      <c r="Z58" s="78"/>
    </row>
    <row r="59" spans="1:26" x14ac:dyDescent="0.25">
      <c r="A59" s="14"/>
      <c r="B59" s="15"/>
      <c r="C59" s="15"/>
      <c r="G59" s="13"/>
      <c r="H59" s="16"/>
      <c r="I59" s="12"/>
      <c r="L59" s="99">
        <f t="shared" si="4"/>
        <v>5.300000000000004E-2</v>
      </c>
      <c r="M59" s="142" t="s">
        <v>4</v>
      </c>
      <c r="N59" s="249">
        <v>0.13599999999999995</v>
      </c>
      <c r="O59" s="282">
        <v>0.22189999999999999</v>
      </c>
      <c r="P59" s="78"/>
      <c r="Q59" s="8">
        <f t="shared" si="5"/>
        <v>5.300000000000004E-2</v>
      </c>
      <c r="R59" s="142" t="s">
        <v>4</v>
      </c>
      <c r="S59" s="249">
        <v>0.13599999999999995</v>
      </c>
      <c r="T59" s="285">
        <v>0.215</v>
      </c>
      <c r="V59" s="99">
        <f t="shared" si="6"/>
        <v>5.300000000000004E-2</v>
      </c>
      <c r="W59" s="249">
        <v>0.13699999999999996</v>
      </c>
      <c r="X59" s="282">
        <v>0.2152</v>
      </c>
    </row>
    <row r="60" spans="1:26" x14ac:dyDescent="0.25">
      <c r="A60" s="14"/>
      <c r="B60" s="15"/>
      <c r="C60" s="15"/>
      <c r="G60" s="14"/>
      <c r="H60" s="15"/>
      <c r="L60" s="99">
        <f t="shared" si="4"/>
        <v>5.4000000000000041E-2</v>
      </c>
      <c r="M60" s="142" t="s">
        <v>4</v>
      </c>
      <c r="N60" s="249">
        <v>0.13499999999999995</v>
      </c>
      <c r="O60" s="282">
        <v>0.22589999999999999</v>
      </c>
      <c r="P60" s="78"/>
      <c r="Q60" s="8">
        <f t="shared" si="5"/>
        <v>5.4000000000000041E-2</v>
      </c>
      <c r="R60" s="142" t="s">
        <v>4</v>
      </c>
      <c r="S60" s="249">
        <v>0.13499999999999995</v>
      </c>
      <c r="T60" s="285">
        <v>0.219</v>
      </c>
      <c r="V60" s="99">
        <f t="shared" si="6"/>
        <v>5.4000000000000041E-2</v>
      </c>
      <c r="W60" s="249">
        <v>0.13599999999999995</v>
      </c>
      <c r="X60" s="282">
        <v>0.21920000000000001</v>
      </c>
    </row>
    <row r="61" spans="1:26" x14ac:dyDescent="0.25">
      <c r="A61" s="14"/>
      <c r="B61" s="15"/>
      <c r="C61" s="15"/>
      <c r="G61" s="14"/>
      <c r="H61" s="15"/>
      <c r="L61" s="99">
        <f t="shared" si="4"/>
        <v>5.5000000000000042E-2</v>
      </c>
      <c r="M61" s="142" t="s">
        <v>4</v>
      </c>
      <c r="N61" s="249">
        <v>0.13399999999999995</v>
      </c>
      <c r="O61" s="282">
        <v>0.22989999999999999</v>
      </c>
      <c r="P61" s="78"/>
      <c r="Q61" s="8">
        <f t="shared" si="5"/>
        <v>5.5000000000000042E-2</v>
      </c>
      <c r="R61" s="142" t="s">
        <v>4</v>
      </c>
      <c r="S61" s="249">
        <v>0.13399999999999995</v>
      </c>
      <c r="T61" s="285">
        <v>0.223</v>
      </c>
      <c r="V61" s="99">
        <f t="shared" si="6"/>
        <v>5.5000000000000042E-2</v>
      </c>
      <c r="W61" s="249">
        <v>0.13499999999999995</v>
      </c>
      <c r="X61" s="282">
        <v>0.22320000000000001</v>
      </c>
    </row>
    <row r="62" spans="1:26" x14ac:dyDescent="0.25">
      <c r="A62" s="14"/>
      <c r="B62" s="15"/>
      <c r="C62" s="15"/>
      <c r="G62" s="14"/>
      <c r="H62" s="15"/>
      <c r="L62" s="99">
        <f t="shared" si="4"/>
        <v>5.6000000000000043E-2</v>
      </c>
      <c r="M62" s="142" t="s">
        <v>4</v>
      </c>
      <c r="N62" s="249">
        <v>0.13299999999999995</v>
      </c>
      <c r="O62" s="282">
        <v>0.23380000000000001</v>
      </c>
      <c r="Q62" s="8">
        <f t="shared" si="5"/>
        <v>5.6000000000000043E-2</v>
      </c>
      <c r="R62" s="142" t="s">
        <v>4</v>
      </c>
      <c r="S62" s="249">
        <v>0.13299999999999995</v>
      </c>
      <c r="T62" s="285">
        <v>0.22700000000000001</v>
      </c>
      <c r="V62" s="99">
        <f t="shared" si="6"/>
        <v>5.6000000000000043E-2</v>
      </c>
      <c r="W62" s="249">
        <v>0.13399999999999995</v>
      </c>
      <c r="X62" s="282">
        <v>0.22720000000000001</v>
      </c>
    </row>
    <row r="63" spans="1:26" x14ac:dyDescent="0.25">
      <c r="A63" s="14"/>
      <c r="B63" s="15"/>
      <c r="C63" s="15"/>
      <c r="G63" s="14"/>
      <c r="H63" s="15"/>
      <c r="L63" s="99">
        <f t="shared" si="4"/>
        <v>5.7000000000000044E-2</v>
      </c>
      <c r="M63" s="142" t="s">
        <v>4</v>
      </c>
      <c r="N63" s="249">
        <v>0.13199999999999995</v>
      </c>
      <c r="O63" s="282">
        <v>0.23780000000000001</v>
      </c>
      <c r="Q63" s="8">
        <f t="shared" si="5"/>
        <v>5.7000000000000044E-2</v>
      </c>
      <c r="R63" s="142" t="s">
        <v>4</v>
      </c>
      <c r="S63" s="249">
        <v>0.13199999999999995</v>
      </c>
      <c r="T63" s="285">
        <v>0.23100000000000001</v>
      </c>
      <c r="V63" s="99">
        <f t="shared" si="6"/>
        <v>5.7000000000000044E-2</v>
      </c>
      <c r="W63" s="249">
        <v>0.13299999999999995</v>
      </c>
      <c r="X63" s="282">
        <v>0.23119999999999999</v>
      </c>
    </row>
    <row r="64" spans="1:26" x14ac:dyDescent="0.25">
      <c r="A64" s="14"/>
      <c r="B64" s="15"/>
      <c r="C64" s="15"/>
      <c r="G64" s="14"/>
      <c r="H64" s="15"/>
      <c r="L64" s="99">
        <f t="shared" si="4"/>
        <v>5.8000000000000045E-2</v>
      </c>
      <c r="M64" s="142" t="s">
        <v>4</v>
      </c>
      <c r="N64" s="249">
        <v>0.13099999999999995</v>
      </c>
      <c r="O64" s="282">
        <v>0.2417</v>
      </c>
      <c r="Q64" s="8">
        <f t="shared" si="5"/>
        <v>5.8000000000000045E-2</v>
      </c>
      <c r="R64" s="142" t="s">
        <v>4</v>
      </c>
      <c r="S64" s="249">
        <v>0.13099999999999995</v>
      </c>
      <c r="T64" s="285">
        <v>0.2349</v>
      </c>
      <c r="V64" s="99">
        <f t="shared" si="6"/>
        <v>5.8000000000000045E-2</v>
      </c>
      <c r="W64" s="249">
        <v>0.13199999999999995</v>
      </c>
      <c r="X64" s="282">
        <v>0.23519999999999999</v>
      </c>
    </row>
    <row r="65" spans="1:24" x14ac:dyDescent="0.25">
      <c r="A65" s="14"/>
      <c r="B65" s="15"/>
      <c r="C65" s="15"/>
      <c r="G65" s="14"/>
      <c r="H65" s="15"/>
      <c r="L65" s="99">
        <f t="shared" si="4"/>
        <v>5.9000000000000045E-2</v>
      </c>
      <c r="M65" s="142" t="s">
        <v>4</v>
      </c>
      <c r="N65" s="249">
        <v>0.12999999999999995</v>
      </c>
      <c r="O65" s="282">
        <v>0.2457</v>
      </c>
      <c r="Q65" s="8">
        <f t="shared" si="5"/>
        <v>5.9000000000000045E-2</v>
      </c>
      <c r="R65" s="142" t="s">
        <v>4</v>
      </c>
      <c r="S65" s="249">
        <v>0.12999999999999995</v>
      </c>
      <c r="T65" s="285">
        <v>0.2389</v>
      </c>
      <c r="V65" s="99">
        <f t="shared" si="6"/>
        <v>5.9000000000000045E-2</v>
      </c>
      <c r="W65" s="249">
        <v>0.13099999999999995</v>
      </c>
      <c r="X65" s="282">
        <v>0.23910000000000001</v>
      </c>
    </row>
    <row r="66" spans="1:24" x14ac:dyDescent="0.25">
      <c r="A66" s="14"/>
      <c r="B66" s="15"/>
      <c r="C66" s="15"/>
      <c r="G66" s="14"/>
      <c r="H66" s="15"/>
      <c r="L66" s="99">
        <f t="shared" si="4"/>
        <v>6.0000000000000046E-2</v>
      </c>
      <c r="M66" s="142" t="s">
        <v>4</v>
      </c>
      <c r="N66" s="249">
        <v>0.12899999999999995</v>
      </c>
      <c r="O66" s="282">
        <v>0.24959999999999999</v>
      </c>
      <c r="Q66" s="8">
        <f t="shared" si="5"/>
        <v>6.0000000000000046E-2</v>
      </c>
      <c r="R66" s="142" t="s">
        <v>4</v>
      </c>
      <c r="S66" s="249">
        <v>0.12899999999999995</v>
      </c>
      <c r="T66" s="285">
        <v>0.2429</v>
      </c>
      <c r="V66" s="99">
        <f t="shared" si="6"/>
        <v>6.0000000000000046E-2</v>
      </c>
      <c r="W66" s="249">
        <v>0.12999999999999995</v>
      </c>
      <c r="X66" s="282">
        <v>0.24310000000000001</v>
      </c>
    </row>
    <row r="67" spans="1:24" x14ac:dyDescent="0.25">
      <c r="A67" s="14"/>
      <c r="B67" s="15"/>
      <c r="C67" s="15"/>
      <c r="G67" s="14"/>
      <c r="H67" s="15"/>
      <c r="L67" s="99">
        <f t="shared" si="4"/>
        <v>6.1000000000000047E-2</v>
      </c>
      <c r="M67" s="142" t="s">
        <v>4</v>
      </c>
      <c r="N67" s="249">
        <v>0.12799999999999995</v>
      </c>
      <c r="O67" s="282">
        <v>0.2535</v>
      </c>
      <c r="Q67" s="8">
        <f t="shared" si="5"/>
        <v>6.1000000000000047E-2</v>
      </c>
      <c r="R67" s="142" t="s">
        <v>4</v>
      </c>
      <c r="S67" s="249">
        <v>0.12799999999999995</v>
      </c>
      <c r="T67" s="285">
        <v>0.24679999999999999</v>
      </c>
      <c r="V67" s="99">
        <f t="shared" si="6"/>
        <v>6.1000000000000047E-2</v>
      </c>
      <c r="W67" s="249">
        <v>0.12899999999999995</v>
      </c>
      <c r="X67" s="282">
        <v>0.247</v>
      </c>
    </row>
    <row r="68" spans="1:24" x14ac:dyDescent="0.25">
      <c r="A68" s="14"/>
      <c r="B68" s="15"/>
      <c r="C68" s="15"/>
      <c r="G68" s="14"/>
      <c r="H68" s="15"/>
      <c r="L68" s="99">
        <f t="shared" si="4"/>
        <v>6.2000000000000048E-2</v>
      </c>
      <c r="M68" s="142" t="s">
        <v>4</v>
      </c>
      <c r="N68" s="249">
        <v>0.12699999999999995</v>
      </c>
      <c r="O68" s="282">
        <v>0.25740000000000002</v>
      </c>
      <c r="Q68" s="8">
        <f t="shared" si="5"/>
        <v>6.2000000000000048E-2</v>
      </c>
      <c r="R68" s="142" t="s">
        <v>4</v>
      </c>
      <c r="S68" s="249">
        <v>0.12699999999999995</v>
      </c>
      <c r="T68" s="285">
        <v>0.25080000000000002</v>
      </c>
      <c r="V68" s="99">
        <f t="shared" si="6"/>
        <v>6.2000000000000048E-2</v>
      </c>
      <c r="W68" s="249">
        <v>0.12799999999999995</v>
      </c>
      <c r="X68" s="282">
        <v>0.251</v>
      </c>
    </row>
    <row r="69" spans="1:24" x14ac:dyDescent="0.25">
      <c r="A69" s="14"/>
      <c r="B69" s="15"/>
      <c r="C69" s="15"/>
      <c r="G69" s="14"/>
      <c r="H69" s="15"/>
      <c r="L69" s="99">
        <f t="shared" si="4"/>
        <v>6.3000000000000042E-2</v>
      </c>
      <c r="M69" s="142" t="s">
        <v>4</v>
      </c>
      <c r="N69" s="249">
        <v>0.12599999999999995</v>
      </c>
      <c r="O69" s="282">
        <v>0.26129999999999998</v>
      </c>
      <c r="Q69" s="8">
        <f t="shared" si="5"/>
        <v>6.3000000000000042E-2</v>
      </c>
      <c r="R69" s="142" t="s">
        <v>4</v>
      </c>
      <c r="S69" s="249">
        <v>0.12599999999999995</v>
      </c>
      <c r="T69" s="285">
        <v>0.25469999999999998</v>
      </c>
      <c r="V69" s="99">
        <f t="shared" si="6"/>
        <v>6.3000000000000042E-2</v>
      </c>
      <c r="W69" s="249">
        <v>0.12699999999999995</v>
      </c>
      <c r="X69" s="282">
        <v>0.25490000000000002</v>
      </c>
    </row>
    <row r="70" spans="1:24" x14ac:dyDescent="0.25">
      <c r="A70" s="14"/>
      <c r="B70" s="15"/>
      <c r="C70" s="15"/>
      <c r="G70" s="14"/>
      <c r="H70" s="15"/>
      <c r="L70" s="99">
        <f t="shared" si="4"/>
        <v>6.4000000000000043E-2</v>
      </c>
      <c r="M70" s="142" t="s">
        <v>4</v>
      </c>
      <c r="N70" s="249">
        <v>0.12499999999999996</v>
      </c>
      <c r="O70" s="282">
        <v>0.26519999999999999</v>
      </c>
      <c r="Q70" s="8">
        <f t="shared" si="5"/>
        <v>6.4000000000000043E-2</v>
      </c>
      <c r="R70" s="142" t="s">
        <v>4</v>
      </c>
      <c r="S70" s="249">
        <v>0.12499999999999996</v>
      </c>
      <c r="T70" s="285">
        <v>0.25869999999999999</v>
      </c>
      <c r="V70" s="99">
        <f t="shared" si="6"/>
        <v>6.4000000000000043E-2</v>
      </c>
      <c r="W70" s="249">
        <v>0.12599999999999995</v>
      </c>
      <c r="X70" s="282">
        <v>0.25879999999999997</v>
      </c>
    </row>
    <row r="71" spans="1:24" x14ac:dyDescent="0.25">
      <c r="A71" s="14"/>
      <c r="B71" s="15"/>
      <c r="C71" s="15"/>
      <c r="G71" s="14"/>
      <c r="H71" s="15"/>
      <c r="L71" s="99">
        <f t="shared" si="4"/>
        <v>6.5000000000000044E-2</v>
      </c>
      <c r="M71" s="142" t="s">
        <v>4</v>
      </c>
      <c r="N71" s="249">
        <v>0.12399999999999996</v>
      </c>
      <c r="O71" s="282">
        <v>0.26910000000000001</v>
      </c>
      <c r="Q71" s="8">
        <f t="shared" si="5"/>
        <v>6.5000000000000044E-2</v>
      </c>
      <c r="R71" s="142" t="s">
        <v>4</v>
      </c>
      <c r="S71" s="249">
        <v>0.12399999999999996</v>
      </c>
      <c r="T71" s="285">
        <v>0.2626</v>
      </c>
      <c r="V71" s="99">
        <f t="shared" si="6"/>
        <v>6.5000000000000044E-2</v>
      </c>
      <c r="W71" s="249">
        <v>0.12499999999999996</v>
      </c>
      <c r="X71" s="282">
        <v>0.26269999999999999</v>
      </c>
    </row>
    <row r="72" spans="1:24" x14ac:dyDescent="0.25">
      <c r="A72" s="14"/>
      <c r="B72" s="15"/>
      <c r="C72" s="15"/>
      <c r="G72" s="14"/>
      <c r="H72" s="15"/>
      <c r="L72" s="99">
        <f t="shared" si="4"/>
        <v>6.6000000000000045E-2</v>
      </c>
      <c r="M72" s="142" t="s">
        <v>4</v>
      </c>
      <c r="N72" s="249">
        <v>0.12299999999999996</v>
      </c>
      <c r="O72" s="282">
        <v>0.27300000000000002</v>
      </c>
      <c r="Q72" s="8">
        <f t="shared" si="5"/>
        <v>6.6000000000000045E-2</v>
      </c>
      <c r="R72" s="142" t="s">
        <v>4</v>
      </c>
      <c r="S72" s="249">
        <v>0.12299999999999996</v>
      </c>
      <c r="T72" s="285">
        <v>0.26650000000000001</v>
      </c>
      <c r="V72" s="99">
        <f t="shared" si="6"/>
        <v>6.6000000000000045E-2</v>
      </c>
      <c r="W72" s="249">
        <v>0.12399999999999996</v>
      </c>
      <c r="X72" s="282">
        <v>0.2666</v>
      </c>
    </row>
    <row r="73" spans="1:24" x14ac:dyDescent="0.25">
      <c r="A73" s="14"/>
      <c r="B73" s="15"/>
      <c r="C73" s="15"/>
      <c r="G73" s="14"/>
      <c r="H73" s="15"/>
      <c r="L73" s="99">
        <f t="shared" ref="L73:L75" si="9">L72+0.1%</f>
        <v>6.7000000000000046E-2</v>
      </c>
      <c r="M73" s="142" t="s">
        <v>4</v>
      </c>
      <c r="N73" s="249">
        <v>0.12199999999999996</v>
      </c>
      <c r="O73" s="282">
        <v>0.27689999999999998</v>
      </c>
      <c r="Q73" s="8">
        <f t="shared" ref="Q73:Q75" si="10">Q72+0.1%</f>
        <v>6.7000000000000046E-2</v>
      </c>
      <c r="R73" s="142" t="s">
        <v>4</v>
      </c>
      <c r="S73" s="249">
        <v>0.12199999999999996</v>
      </c>
      <c r="T73" s="285">
        <v>0.27039999999999997</v>
      </c>
      <c r="V73" s="99">
        <f t="shared" ref="V73:V76" si="11">V72+0.1%</f>
        <v>6.7000000000000046E-2</v>
      </c>
      <c r="W73" s="249">
        <v>0.12299999999999996</v>
      </c>
      <c r="X73" s="282">
        <v>0.27050000000000002</v>
      </c>
    </row>
    <row r="74" spans="1:24" x14ac:dyDescent="0.25">
      <c r="A74" s="14"/>
      <c r="B74" s="15"/>
      <c r="C74" s="15"/>
      <c r="G74" s="14"/>
      <c r="H74" s="15"/>
      <c r="L74" s="99">
        <f t="shared" si="9"/>
        <v>6.8000000000000047E-2</v>
      </c>
      <c r="M74" s="142" t="s">
        <v>4</v>
      </c>
      <c r="N74" s="249">
        <v>0.12099999999999995</v>
      </c>
      <c r="O74" s="282">
        <v>0.28070000000000001</v>
      </c>
      <c r="Q74" s="8">
        <f t="shared" si="10"/>
        <v>6.8000000000000047E-2</v>
      </c>
      <c r="R74" s="142" t="s">
        <v>4</v>
      </c>
      <c r="S74" s="249">
        <v>0.12099999999999995</v>
      </c>
      <c r="T74" s="285">
        <v>0.27429999999999999</v>
      </c>
      <c r="V74" s="99">
        <f t="shared" si="11"/>
        <v>6.8000000000000047E-2</v>
      </c>
      <c r="W74" s="249">
        <v>0.12199999999999996</v>
      </c>
      <c r="X74" s="282">
        <v>0.27439999999999998</v>
      </c>
    </row>
    <row r="75" spans="1:24" x14ac:dyDescent="0.25">
      <c r="A75" s="14"/>
      <c r="B75" s="15"/>
      <c r="C75" s="15"/>
      <c r="G75" s="14"/>
      <c r="H75" s="15"/>
      <c r="L75" s="99">
        <f t="shared" si="9"/>
        <v>6.9000000000000047E-2</v>
      </c>
      <c r="M75" s="142" t="s">
        <v>4</v>
      </c>
      <c r="N75" s="7">
        <v>0.11999999999999995</v>
      </c>
      <c r="O75" s="282">
        <v>0.28460000000000002</v>
      </c>
      <c r="Q75" s="8">
        <f t="shared" si="10"/>
        <v>6.9000000000000047E-2</v>
      </c>
      <c r="R75" s="142" t="s">
        <v>4</v>
      </c>
      <c r="S75" s="7">
        <v>0.11999999999999995</v>
      </c>
      <c r="T75" s="285">
        <v>0.2782</v>
      </c>
      <c r="V75" s="99">
        <f t="shared" si="11"/>
        <v>6.9000000000000047E-2</v>
      </c>
      <c r="W75" s="249">
        <v>0.12099999999999995</v>
      </c>
      <c r="X75" s="282">
        <v>0.27829999999999999</v>
      </c>
    </row>
    <row r="76" spans="1:24" x14ac:dyDescent="0.25">
      <c r="A76" s="14"/>
      <c r="B76" s="15"/>
      <c r="C76" s="15"/>
      <c r="G76" s="14"/>
      <c r="H76" s="15"/>
      <c r="L76" s="99"/>
      <c r="M76" s="142"/>
      <c r="N76" s="7"/>
      <c r="O76" s="282"/>
      <c r="Q76" s="8"/>
      <c r="R76" s="142"/>
      <c r="S76" s="7"/>
      <c r="T76" s="285"/>
      <c r="V76" s="99">
        <f t="shared" si="11"/>
        <v>7.0000000000000048E-2</v>
      </c>
      <c r="W76" s="249">
        <v>0.11999999999999995</v>
      </c>
      <c r="X76" s="282">
        <v>0.28220000000000001</v>
      </c>
    </row>
    <row r="77" spans="1:24" x14ac:dyDescent="0.25">
      <c r="A77" s="14"/>
      <c r="B77" s="15"/>
      <c r="C77" s="15"/>
      <c r="G77" s="14"/>
      <c r="H77" s="15"/>
      <c r="L77" s="99"/>
      <c r="M77" s="142"/>
      <c r="N77" s="7"/>
      <c r="O77" s="282"/>
      <c r="Q77" s="8"/>
      <c r="R77" s="142"/>
      <c r="S77" s="7"/>
      <c r="T77" s="285"/>
      <c r="V77" s="99"/>
      <c r="W77" s="249"/>
      <c r="X77" s="282"/>
    </row>
    <row r="78" spans="1:24" x14ac:dyDescent="0.25">
      <c r="A78" s="14"/>
      <c r="B78" s="15"/>
      <c r="C78" s="15"/>
      <c r="G78" s="14"/>
      <c r="H78" s="15"/>
      <c r="L78" s="99"/>
      <c r="M78" s="142"/>
      <c r="N78" s="7"/>
      <c r="O78" s="282"/>
      <c r="Q78" s="8"/>
      <c r="R78" s="142"/>
      <c r="S78" s="7"/>
      <c r="T78" s="285"/>
      <c r="V78" s="99"/>
      <c r="W78" s="249"/>
      <c r="X78" s="282"/>
    </row>
    <row r="79" spans="1:24" x14ac:dyDescent="0.25">
      <c r="A79" s="14"/>
      <c r="B79" s="15"/>
      <c r="C79" s="15"/>
      <c r="G79" s="14"/>
      <c r="H79" s="15"/>
      <c r="L79" s="99"/>
      <c r="M79" s="142"/>
      <c r="N79" s="7"/>
      <c r="O79" s="282"/>
      <c r="Q79" s="8"/>
      <c r="R79" s="142"/>
      <c r="S79" s="7"/>
      <c r="T79" s="285"/>
      <c r="V79" s="99"/>
      <c r="W79" s="144"/>
      <c r="X79" s="282"/>
    </row>
    <row r="80" spans="1:24" x14ac:dyDescent="0.25">
      <c r="A80" s="14"/>
      <c r="B80" s="15"/>
      <c r="C80" s="15"/>
      <c r="G80" s="14"/>
      <c r="H80" s="15"/>
      <c r="L80" s="99"/>
      <c r="M80" s="142"/>
      <c r="N80" s="83"/>
      <c r="O80" s="284"/>
      <c r="Q80" s="8"/>
      <c r="R80" s="142"/>
      <c r="S80" s="83"/>
      <c r="T80" s="286"/>
      <c r="V80" s="99"/>
      <c r="W80" s="144"/>
      <c r="X80" s="282"/>
    </row>
    <row r="81" spans="1:24" x14ac:dyDescent="0.25">
      <c r="A81" s="14"/>
      <c r="B81" s="15"/>
      <c r="C81" s="15"/>
      <c r="G81" s="14"/>
      <c r="H81" s="15"/>
      <c r="L81" s="99"/>
      <c r="M81" s="142"/>
      <c r="N81" s="83"/>
      <c r="O81" s="284"/>
      <c r="Q81" s="8"/>
      <c r="R81" s="142"/>
      <c r="S81" s="83"/>
      <c r="T81" s="286"/>
      <c r="V81" s="99"/>
      <c r="W81" s="144"/>
      <c r="X81" s="282"/>
    </row>
    <row r="82" spans="1:24" x14ac:dyDescent="0.25">
      <c r="A82" s="14"/>
      <c r="B82" s="15"/>
      <c r="C82" s="15"/>
      <c r="G82" s="14"/>
      <c r="H82" s="15"/>
      <c r="L82" s="99"/>
      <c r="M82" s="142"/>
      <c r="N82" s="83"/>
      <c r="O82" s="284"/>
      <c r="Q82" s="8"/>
      <c r="R82" s="142"/>
      <c r="S82" s="83"/>
      <c r="T82" s="286"/>
      <c r="V82" s="99"/>
      <c r="W82" s="144"/>
      <c r="X82" s="282"/>
    </row>
    <row r="83" spans="1:24" x14ac:dyDescent="0.25">
      <c r="A83" s="14"/>
      <c r="B83" s="15"/>
      <c r="C83" s="15"/>
      <c r="G83" s="14"/>
      <c r="H83" s="15"/>
      <c r="L83" s="82"/>
      <c r="M83" s="16"/>
      <c r="N83" s="83"/>
      <c r="O83" s="84"/>
      <c r="Q83" s="82"/>
      <c r="R83" s="16"/>
      <c r="S83" s="83"/>
      <c r="T83" s="80"/>
      <c r="V83" s="99"/>
      <c r="W83" s="144"/>
      <c r="X83" s="7"/>
    </row>
    <row r="84" spans="1:24" x14ac:dyDescent="0.25">
      <c r="A84" s="14"/>
      <c r="B84" s="15"/>
      <c r="C84" s="15"/>
      <c r="G84" s="14"/>
      <c r="H84" s="15"/>
      <c r="L84" s="82"/>
      <c r="M84" s="16"/>
      <c r="N84" s="83"/>
      <c r="O84" s="84"/>
      <c r="Q84" s="82"/>
      <c r="R84" s="16"/>
      <c r="S84" s="83"/>
      <c r="T84" s="80"/>
      <c r="V84" s="82"/>
      <c r="W84" s="86"/>
      <c r="X84" s="11"/>
    </row>
    <row r="85" spans="1:24" x14ac:dyDescent="0.25">
      <c r="A85" s="14"/>
      <c r="B85" s="15"/>
      <c r="C85" s="15"/>
      <c r="G85" s="14"/>
      <c r="H85" s="15"/>
      <c r="L85" s="82"/>
      <c r="M85" s="16"/>
      <c r="N85" s="83"/>
      <c r="O85" s="84"/>
      <c r="Q85" s="82"/>
      <c r="R85" s="16"/>
      <c r="S85" s="83"/>
      <c r="T85" s="80"/>
      <c r="V85" s="82"/>
      <c r="W85" s="86"/>
      <c r="X85" s="11"/>
    </row>
    <row r="86" spans="1:24" x14ac:dyDescent="0.25">
      <c r="A86" s="14"/>
      <c r="B86" s="15"/>
      <c r="C86" s="15"/>
      <c r="G86" s="14"/>
      <c r="H86" s="15"/>
      <c r="L86" s="82"/>
      <c r="M86" s="16"/>
      <c r="N86" s="83"/>
      <c r="O86" s="84"/>
      <c r="Q86" s="82"/>
      <c r="R86" s="16"/>
      <c r="S86" s="83"/>
      <c r="T86" s="80"/>
      <c r="V86" s="82"/>
      <c r="W86" s="86"/>
      <c r="X86" s="11"/>
    </row>
    <row r="87" spans="1:24" x14ac:dyDescent="0.25">
      <c r="A87" s="14"/>
      <c r="B87" s="15"/>
      <c r="C87" s="15"/>
      <c r="G87" s="14"/>
      <c r="H87" s="15"/>
      <c r="L87" s="82"/>
      <c r="M87" s="16"/>
      <c r="N87" s="83"/>
      <c r="O87" s="84"/>
      <c r="Q87" s="82"/>
      <c r="R87" s="16"/>
      <c r="S87" s="83"/>
      <c r="T87" s="80"/>
      <c r="V87" s="82"/>
      <c r="W87" s="86"/>
      <c r="X87" s="11"/>
    </row>
    <row r="88" spans="1:24" x14ac:dyDescent="0.25">
      <c r="A88" s="14"/>
      <c r="B88" s="15"/>
      <c r="C88" s="15"/>
      <c r="G88" s="14"/>
      <c r="H88" s="15"/>
      <c r="L88" s="82"/>
      <c r="M88" s="16"/>
      <c r="N88" s="83"/>
      <c r="O88" s="84"/>
      <c r="Q88" s="82"/>
      <c r="R88" s="16"/>
      <c r="S88" s="83"/>
      <c r="T88" s="80"/>
      <c r="V88" s="82"/>
      <c r="W88" s="86"/>
      <c r="X88" s="11"/>
    </row>
    <row r="89" spans="1:24" x14ac:dyDescent="0.25">
      <c r="A89" s="14"/>
      <c r="B89" s="15"/>
      <c r="C89" s="15"/>
      <c r="G89" s="14"/>
      <c r="H89" s="15"/>
      <c r="L89" s="82"/>
      <c r="M89" s="16"/>
      <c r="N89" s="83"/>
      <c r="O89" s="84"/>
      <c r="Q89" s="82"/>
      <c r="R89" s="16"/>
      <c r="S89" s="83"/>
      <c r="T89" s="80"/>
      <c r="V89" s="82"/>
      <c r="W89" s="86"/>
      <c r="X89" s="11"/>
    </row>
    <row r="90" spans="1:24" x14ac:dyDescent="0.25">
      <c r="A90" s="14"/>
      <c r="B90" s="15"/>
      <c r="C90" s="15"/>
      <c r="G90" s="14"/>
      <c r="H90" s="15"/>
      <c r="L90" s="82"/>
      <c r="M90" s="16"/>
      <c r="N90" s="83"/>
      <c r="O90" s="84"/>
      <c r="Q90" s="82"/>
      <c r="R90" s="16"/>
      <c r="S90" s="83"/>
      <c r="T90" s="80"/>
      <c r="V90" s="82"/>
      <c r="W90" s="86"/>
      <c r="X90" s="11"/>
    </row>
    <row r="91" spans="1:24" x14ac:dyDescent="0.25">
      <c r="A91" s="14"/>
      <c r="B91" s="15"/>
      <c r="C91" s="15"/>
      <c r="G91" s="14"/>
      <c r="H91" s="15"/>
      <c r="L91" s="82"/>
      <c r="M91" s="16"/>
      <c r="N91" s="83"/>
      <c r="O91" s="84"/>
      <c r="Q91" s="82"/>
      <c r="R91" s="16"/>
      <c r="S91" s="83"/>
      <c r="T91" s="80"/>
      <c r="V91" s="82"/>
      <c r="W91" s="86"/>
      <c r="X91" s="11"/>
    </row>
    <row r="92" spans="1:24" x14ac:dyDescent="0.25">
      <c r="A92" s="14"/>
      <c r="B92" s="15"/>
      <c r="C92" s="15"/>
      <c r="G92" s="14"/>
      <c r="H92" s="15"/>
      <c r="L92" s="82"/>
      <c r="M92" s="16"/>
      <c r="N92" s="83"/>
      <c r="O92" s="84"/>
      <c r="Q92" s="82"/>
      <c r="R92" s="16"/>
      <c r="S92" s="83"/>
      <c r="T92" s="80"/>
      <c r="V92" s="82"/>
      <c r="W92" s="86"/>
      <c r="X92" s="11"/>
    </row>
    <row r="93" spans="1:24" x14ac:dyDescent="0.25">
      <c r="A93" s="14"/>
      <c r="B93" s="15"/>
      <c r="C93" s="15"/>
      <c r="G93" s="14"/>
      <c r="H93" s="15"/>
      <c r="L93" s="82"/>
      <c r="M93" s="16"/>
      <c r="N93" s="83"/>
      <c r="O93" s="84"/>
      <c r="Q93" s="82"/>
      <c r="R93" s="16"/>
      <c r="S93" s="83"/>
      <c r="T93" s="80"/>
      <c r="V93" s="82"/>
      <c r="W93" s="86"/>
      <c r="X93" s="11"/>
    </row>
    <row r="94" spans="1:24" x14ac:dyDescent="0.25">
      <c r="A94" s="14"/>
      <c r="B94" s="15"/>
      <c r="C94" s="15"/>
      <c r="G94" s="14"/>
      <c r="H94" s="15"/>
      <c r="L94" s="82"/>
      <c r="M94" s="16"/>
      <c r="N94" s="83"/>
      <c r="O94" s="84"/>
      <c r="Q94" s="82"/>
      <c r="R94" s="16"/>
      <c r="S94" s="83"/>
      <c r="T94" s="80"/>
      <c r="V94" s="82"/>
      <c r="W94" s="86"/>
      <c r="X94" s="11"/>
    </row>
    <row r="95" spans="1:24" x14ac:dyDescent="0.25">
      <c r="A95" s="14"/>
      <c r="B95" s="15"/>
      <c r="C95" s="15"/>
      <c r="G95" s="14"/>
      <c r="H95" s="15"/>
      <c r="L95" s="82"/>
      <c r="M95" s="16"/>
      <c r="N95" s="83"/>
      <c r="O95" s="84"/>
      <c r="Q95" s="82"/>
      <c r="R95" s="16"/>
      <c r="S95" s="83"/>
      <c r="T95" s="80"/>
      <c r="V95" s="82"/>
      <c r="W95" s="86"/>
      <c r="X95" s="11"/>
    </row>
    <row r="96" spans="1:24" x14ac:dyDescent="0.25">
      <c r="A96" s="14"/>
      <c r="B96" s="15"/>
      <c r="C96" s="15"/>
      <c r="G96" s="14"/>
      <c r="H96" s="15"/>
      <c r="L96" s="82"/>
      <c r="M96" s="16"/>
      <c r="N96" s="83"/>
      <c r="O96" s="84"/>
      <c r="Q96" s="82"/>
      <c r="R96" s="16"/>
      <c r="S96" s="83"/>
      <c r="T96" s="80"/>
      <c r="V96" s="82"/>
      <c r="W96" s="86"/>
      <c r="X96" s="11"/>
    </row>
    <row r="97" spans="1:24" x14ac:dyDescent="0.25">
      <c r="A97" s="14"/>
      <c r="B97" s="15"/>
      <c r="C97" s="15"/>
      <c r="G97" s="14"/>
      <c r="H97" s="15"/>
      <c r="L97" s="82"/>
      <c r="M97" s="16"/>
      <c r="N97" s="83"/>
      <c r="O97" s="84"/>
      <c r="Q97" s="82"/>
      <c r="R97" s="16"/>
      <c r="S97" s="83"/>
      <c r="T97" s="80"/>
      <c r="V97" s="82"/>
      <c r="W97" s="86"/>
      <c r="X97" s="11"/>
    </row>
    <row r="98" spans="1:24" x14ac:dyDescent="0.25">
      <c r="A98" s="14"/>
      <c r="B98" s="15"/>
      <c r="C98" s="15"/>
      <c r="G98" s="14"/>
      <c r="H98" s="15"/>
      <c r="L98" s="82"/>
      <c r="M98" s="16"/>
      <c r="N98" s="83"/>
      <c r="O98" s="84"/>
      <c r="Q98" s="82"/>
      <c r="R98" s="16"/>
      <c r="S98" s="83"/>
      <c r="T98" s="80"/>
      <c r="V98" s="82"/>
      <c r="W98" s="86"/>
      <c r="X98" s="11"/>
    </row>
    <row r="99" spans="1:24" x14ac:dyDescent="0.25">
      <c r="A99" s="14"/>
      <c r="B99" s="15"/>
      <c r="C99" s="15"/>
      <c r="G99" s="14"/>
      <c r="H99" s="15"/>
      <c r="L99" s="82"/>
      <c r="M99" s="16"/>
      <c r="N99" s="83"/>
      <c r="O99" s="84"/>
      <c r="Q99" s="82"/>
      <c r="R99" s="16"/>
      <c r="S99" s="83"/>
      <c r="T99" s="80"/>
      <c r="V99" s="82"/>
      <c r="W99" s="86"/>
      <c r="X99" s="11"/>
    </row>
    <row r="100" spans="1:24" x14ac:dyDescent="0.25">
      <c r="A100" s="14"/>
      <c r="B100" s="15"/>
      <c r="C100" s="15"/>
      <c r="G100" s="14"/>
      <c r="H100" s="15"/>
      <c r="L100" s="82"/>
      <c r="M100" s="16"/>
      <c r="N100" s="83"/>
      <c r="O100" s="84"/>
      <c r="Q100" s="82"/>
      <c r="R100" s="16"/>
      <c r="S100" s="83"/>
      <c r="T100" s="80"/>
      <c r="V100" s="82"/>
      <c r="W100" s="86"/>
      <c r="X100" s="11"/>
    </row>
    <row r="101" spans="1:24" x14ac:dyDescent="0.25">
      <c r="A101" s="14"/>
      <c r="B101" s="15"/>
      <c r="C101" s="15"/>
      <c r="G101" s="14"/>
      <c r="H101" s="15"/>
      <c r="L101" s="82"/>
      <c r="M101" s="16"/>
      <c r="N101" s="83"/>
      <c r="O101" s="84"/>
      <c r="Q101" s="82"/>
      <c r="R101" s="16"/>
      <c r="S101" s="83"/>
      <c r="T101" s="80"/>
      <c r="V101" s="82"/>
      <c r="W101" s="86"/>
      <c r="X101" s="11"/>
    </row>
    <row r="102" spans="1:24" x14ac:dyDescent="0.25">
      <c r="A102" s="14"/>
      <c r="B102" s="15"/>
      <c r="C102" s="15"/>
      <c r="G102" s="14"/>
      <c r="H102" s="15"/>
      <c r="L102" s="82"/>
      <c r="M102" s="16"/>
      <c r="N102" s="83"/>
      <c r="O102" s="84"/>
      <c r="Q102" s="82"/>
      <c r="R102" s="16"/>
      <c r="S102" s="83"/>
      <c r="T102" s="80"/>
      <c r="V102" s="82"/>
      <c r="W102" s="86"/>
      <c r="X102" s="11"/>
    </row>
    <row r="103" spans="1:24" x14ac:dyDescent="0.25">
      <c r="A103" s="14"/>
      <c r="B103" s="15"/>
      <c r="C103" s="15"/>
      <c r="G103" s="14"/>
      <c r="H103" s="15"/>
      <c r="L103" s="82"/>
      <c r="M103" s="16"/>
      <c r="N103" s="83"/>
      <c r="O103" s="84"/>
      <c r="Q103" s="82"/>
      <c r="R103" s="16"/>
      <c r="S103" s="83"/>
      <c r="T103" s="80"/>
      <c r="V103" s="82"/>
      <c r="W103" s="86"/>
      <c r="X103" s="11"/>
    </row>
    <row r="104" spans="1:24" x14ac:dyDescent="0.25">
      <c r="A104" s="14"/>
      <c r="B104" s="15"/>
      <c r="C104" s="15"/>
      <c r="G104" s="14"/>
      <c r="H104" s="15"/>
      <c r="L104" s="82"/>
      <c r="M104" s="16"/>
      <c r="N104" s="83"/>
      <c r="O104" s="84"/>
      <c r="Q104" s="82"/>
      <c r="R104" s="16"/>
      <c r="S104" s="83"/>
      <c r="T104" s="80"/>
      <c r="V104" s="82"/>
      <c r="W104" s="86"/>
      <c r="X104" s="11"/>
    </row>
    <row r="105" spans="1:24" x14ac:dyDescent="0.25">
      <c r="A105" s="14"/>
      <c r="B105" s="15"/>
      <c r="C105" s="15"/>
      <c r="G105" s="14"/>
      <c r="H105" s="15"/>
      <c r="L105" s="82"/>
      <c r="M105" s="16"/>
      <c r="N105" s="83"/>
      <c r="O105" s="84"/>
      <c r="Q105" s="82"/>
      <c r="R105" s="16"/>
      <c r="S105" s="83"/>
      <c r="T105" s="80"/>
      <c r="V105" s="82"/>
      <c r="W105" s="86"/>
      <c r="X105" s="11"/>
    </row>
    <row r="106" spans="1:24" x14ac:dyDescent="0.25">
      <c r="A106" s="14"/>
      <c r="B106" s="15"/>
      <c r="C106" s="15"/>
      <c r="G106" s="14"/>
      <c r="H106" s="15"/>
      <c r="L106" s="82"/>
      <c r="M106" s="16"/>
      <c r="N106" s="83"/>
      <c r="O106" s="84"/>
      <c r="Q106" s="82"/>
      <c r="R106" s="16"/>
      <c r="S106" s="83"/>
      <c r="T106" s="80"/>
      <c r="V106" s="82"/>
      <c r="W106" s="86"/>
      <c r="X106" s="11"/>
    </row>
    <row r="107" spans="1:24" x14ac:dyDescent="0.25">
      <c r="A107" s="14"/>
      <c r="B107" s="15"/>
      <c r="C107" s="15"/>
      <c r="G107" s="14"/>
      <c r="H107" s="15"/>
      <c r="L107" s="82"/>
      <c r="M107" s="16"/>
      <c r="N107" s="83"/>
      <c r="O107" s="84"/>
      <c r="Q107" s="82"/>
      <c r="R107" s="16"/>
      <c r="S107" s="83"/>
      <c r="T107" s="80"/>
      <c r="V107" s="82"/>
      <c r="W107" s="86"/>
      <c r="X107" s="11"/>
    </row>
    <row r="108" spans="1:24" x14ac:dyDescent="0.25">
      <c r="A108" s="14"/>
      <c r="B108" s="15"/>
      <c r="C108" s="15"/>
      <c r="G108" s="14"/>
      <c r="H108" s="15"/>
      <c r="L108" s="82"/>
      <c r="M108" s="16"/>
      <c r="N108" s="83"/>
      <c r="O108" s="84"/>
      <c r="Q108" s="82"/>
      <c r="R108" s="16"/>
      <c r="S108" s="83"/>
      <c r="T108" s="80"/>
      <c r="V108" s="82"/>
      <c r="W108" s="86"/>
      <c r="X108" s="11"/>
    </row>
    <row r="109" spans="1:24" x14ac:dyDescent="0.25">
      <c r="A109" s="14"/>
      <c r="B109" s="15"/>
      <c r="C109" s="15"/>
      <c r="G109" s="14"/>
      <c r="H109" s="15"/>
      <c r="L109" s="82"/>
      <c r="M109" s="16"/>
      <c r="N109" s="83"/>
      <c r="O109" s="84"/>
      <c r="Q109" s="82"/>
      <c r="R109" s="16"/>
      <c r="S109" s="83"/>
      <c r="T109" s="80"/>
      <c r="V109" s="82"/>
      <c r="W109" s="86"/>
      <c r="X109" s="11"/>
    </row>
    <row r="110" spans="1:24" x14ac:dyDescent="0.25">
      <c r="A110" s="14"/>
      <c r="B110" s="15"/>
      <c r="C110" s="15"/>
      <c r="G110" s="14"/>
      <c r="H110" s="15"/>
      <c r="L110" s="82"/>
      <c r="M110" s="16"/>
      <c r="N110" s="83"/>
      <c r="O110" s="84"/>
      <c r="Q110" s="82"/>
      <c r="R110" s="16"/>
      <c r="S110" s="83"/>
      <c r="T110" s="80"/>
      <c r="V110" s="10"/>
      <c r="W110" s="86"/>
      <c r="X110" s="11"/>
    </row>
    <row r="111" spans="1:24" x14ac:dyDescent="0.25">
      <c r="A111" s="14"/>
      <c r="B111" s="15"/>
      <c r="C111" s="15"/>
      <c r="G111" s="14"/>
      <c r="H111" s="15"/>
      <c r="L111" s="82"/>
      <c r="M111" s="16"/>
      <c r="N111" s="83"/>
      <c r="O111" s="84"/>
      <c r="Q111" s="82"/>
      <c r="R111" s="16"/>
      <c r="S111" s="83"/>
      <c r="T111" s="80"/>
      <c r="V111" s="10"/>
      <c r="W111" s="86"/>
      <c r="X111" s="11"/>
    </row>
    <row r="112" spans="1:24" x14ac:dyDescent="0.25">
      <c r="A112" s="14"/>
      <c r="B112" s="15"/>
      <c r="C112" s="15"/>
      <c r="G112" s="14"/>
      <c r="H112" s="15"/>
      <c r="L112" s="82"/>
      <c r="M112" s="16"/>
      <c r="N112" s="83"/>
      <c r="O112" s="84"/>
      <c r="Q112" s="82"/>
      <c r="R112" s="16"/>
      <c r="S112" s="83"/>
      <c r="T112" s="80"/>
      <c r="V112" s="10"/>
      <c r="W112" s="86"/>
      <c r="X112" s="11"/>
    </row>
    <row r="113" spans="1:24" x14ac:dyDescent="0.25">
      <c r="A113" s="14"/>
      <c r="B113" s="15"/>
      <c r="C113" s="15"/>
      <c r="G113" s="14"/>
      <c r="H113" s="15"/>
      <c r="L113" s="82"/>
      <c r="M113" s="16"/>
      <c r="N113" s="83"/>
      <c r="O113" s="84"/>
      <c r="Q113" s="82"/>
      <c r="R113" s="16"/>
      <c r="S113" s="83"/>
      <c r="T113" s="80"/>
      <c r="V113" s="10"/>
      <c r="W113" s="86"/>
      <c r="X113" s="11"/>
    </row>
    <row r="114" spans="1:24" x14ac:dyDescent="0.25">
      <c r="A114" s="14"/>
      <c r="B114" s="15"/>
      <c r="C114" s="15"/>
      <c r="G114" s="14"/>
      <c r="H114" s="15"/>
      <c r="L114" s="82"/>
      <c r="M114" s="16"/>
      <c r="N114" s="83"/>
      <c r="O114" s="84"/>
      <c r="Q114" s="82"/>
      <c r="R114" s="16"/>
      <c r="S114" s="83"/>
      <c r="T114" s="80"/>
      <c r="V114" s="10"/>
      <c r="W114" s="86"/>
      <c r="X114" s="11"/>
    </row>
    <row r="115" spans="1:24" x14ac:dyDescent="0.25">
      <c r="A115" s="14"/>
      <c r="B115" s="15"/>
      <c r="C115" s="15"/>
      <c r="G115" s="14"/>
      <c r="H115" s="15"/>
      <c r="L115" s="82"/>
      <c r="M115" s="16"/>
      <c r="N115" s="83"/>
      <c r="O115" s="84"/>
      <c r="Q115" s="82"/>
      <c r="R115" s="16"/>
      <c r="S115" s="83"/>
      <c r="T115" s="80"/>
      <c r="V115" s="10"/>
      <c r="W115" s="86"/>
      <c r="X115" s="11"/>
    </row>
    <row r="116" spans="1:24" x14ac:dyDescent="0.25">
      <c r="A116" s="14"/>
      <c r="B116" s="15"/>
      <c r="C116" s="15"/>
      <c r="G116" s="14"/>
      <c r="H116" s="15"/>
      <c r="L116" s="82"/>
      <c r="M116" s="16"/>
      <c r="N116" s="83"/>
      <c r="O116" s="84"/>
      <c r="Q116" s="82"/>
      <c r="R116" s="16"/>
      <c r="S116" s="83"/>
      <c r="T116" s="80"/>
      <c r="V116" s="10"/>
      <c r="W116" s="86"/>
      <c r="X116" s="11"/>
    </row>
    <row r="117" spans="1:24" x14ac:dyDescent="0.25">
      <c r="A117" s="14"/>
      <c r="B117" s="15"/>
      <c r="C117" s="14"/>
      <c r="G117" s="14"/>
      <c r="H117" s="15"/>
      <c r="L117" s="82"/>
      <c r="M117" s="16"/>
      <c r="N117" s="83"/>
      <c r="O117" s="84"/>
      <c r="Q117" s="82"/>
      <c r="R117" s="16"/>
      <c r="S117" s="83"/>
      <c r="T117" s="80"/>
      <c r="V117" s="10"/>
      <c r="W117" s="86"/>
      <c r="X117" s="11"/>
    </row>
    <row r="118" spans="1:24" x14ac:dyDescent="0.25">
      <c r="A118" s="14"/>
      <c r="B118" s="14"/>
      <c r="C118" s="14"/>
      <c r="G118" s="14"/>
      <c r="H118" s="14"/>
      <c r="L118" s="82"/>
      <c r="M118" s="16"/>
      <c r="N118" s="83"/>
      <c r="O118" s="84"/>
      <c r="Q118" s="82"/>
      <c r="R118" s="16"/>
      <c r="S118" s="83"/>
      <c r="T118" s="80"/>
      <c r="V118" s="10"/>
      <c r="W118" s="86"/>
      <c r="X118" s="11"/>
    </row>
    <row r="119" spans="1:24" x14ac:dyDescent="0.25">
      <c r="A119" s="14"/>
      <c r="B119" s="14"/>
      <c r="C119" s="14"/>
      <c r="G119" s="14"/>
      <c r="H119" s="14"/>
      <c r="L119" s="82"/>
      <c r="M119" s="16"/>
      <c r="N119" s="83"/>
      <c r="O119" s="84"/>
      <c r="Q119" s="82"/>
      <c r="R119" s="16"/>
      <c r="S119" s="83"/>
      <c r="T119" s="80"/>
      <c r="V119" s="10"/>
      <c r="W119" s="86"/>
      <c r="X119" s="11"/>
    </row>
    <row r="120" spans="1:24" x14ac:dyDescent="0.25">
      <c r="A120" s="14"/>
      <c r="B120" s="14"/>
      <c r="C120" s="14"/>
      <c r="G120" s="14"/>
      <c r="H120" s="14"/>
      <c r="L120" s="82"/>
      <c r="M120" s="16"/>
      <c r="N120" s="83"/>
      <c r="O120" s="84"/>
      <c r="Q120" s="82"/>
      <c r="R120" s="16"/>
      <c r="S120" s="83"/>
      <c r="T120" s="80"/>
      <c r="V120" s="10"/>
      <c r="W120" s="86"/>
      <c r="X120" s="11"/>
    </row>
    <row r="121" spans="1:24" x14ac:dyDescent="0.25">
      <c r="A121" s="14"/>
      <c r="B121" s="14"/>
      <c r="C121" s="14"/>
      <c r="G121" s="14"/>
      <c r="H121" s="14"/>
      <c r="L121" s="82"/>
      <c r="M121" s="16"/>
      <c r="N121" s="83"/>
      <c r="O121" s="84"/>
      <c r="Q121" s="10"/>
      <c r="R121" s="16"/>
      <c r="S121" s="11"/>
      <c r="T121" s="11"/>
      <c r="V121" s="10"/>
      <c r="W121" s="86"/>
      <c r="X121" s="11"/>
    </row>
    <row r="122" spans="1:24" x14ac:dyDescent="0.25">
      <c r="A122" s="14"/>
      <c r="B122" s="14"/>
      <c r="C122" s="14"/>
      <c r="G122" s="14"/>
      <c r="H122" s="14"/>
      <c r="L122" s="82"/>
      <c r="M122" s="16"/>
      <c r="N122" s="83"/>
      <c r="O122" s="84"/>
      <c r="Q122" s="10"/>
      <c r="R122" s="16"/>
      <c r="S122" s="11"/>
      <c r="T122" s="11"/>
      <c r="V122" s="10"/>
      <c r="W122" s="86"/>
      <c r="X122" s="11"/>
    </row>
    <row r="123" spans="1:24" x14ac:dyDescent="0.25">
      <c r="A123" s="14"/>
      <c r="B123" s="14"/>
      <c r="C123" s="14"/>
      <c r="G123" s="14"/>
      <c r="H123" s="14"/>
      <c r="L123" s="82"/>
      <c r="M123" s="16"/>
      <c r="N123" s="83"/>
      <c r="O123" s="84"/>
      <c r="Q123" s="10"/>
      <c r="R123" s="16"/>
      <c r="S123" s="11"/>
      <c r="T123" s="11"/>
      <c r="V123" s="10"/>
      <c r="W123" s="86"/>
      <c r="X123" s="11"/>
    </row>
    <row r="124" spans="1:24" x14ac:dyDescent="0.25">
      <c r="A124" s="14"/>
      <c r="B124" s="14"/>
      <c r="C124" s="14"/>
      <c r="G124" s="14"/>
      <c r="H124" s="14"/>
      <c r="L124" s="82"/>
      <c r="M124" s="16"/>
      <c r="N124" s="83"/>
      <c r="O124" s="84"/>
      <c r="Q124" s="10"/>
      <c r="R124" s="16"/>
      <c r="S124" s="11"/>
      <c r="T124" s="11"/>
      <c r="V124" s="10"/>
      <c r="W124" s="86"/>
      <c r="X124" s="11"/>
    </row>
    <row r="125" spans="1:24" x14ac:dyDescent="0.25">
      <c r="A125" s="14"/>
      <c r="B125" s="14"/>
      <c r="C125" s="14"/>
      <c r="G125" s="14"/>
      <c r="H125" s="14"/>
      <c r="L125" s="82"/>
      <c r="M125" s="16"/>
      <c r="N125" s="83"/>
      <c r="O125" s="84"/>
      <c r="Q125" s="10"/>
      <c r="R125" s="16"/>
      <c r="S125" s="11"/>
      <c r="T125" s="11"/>
      <c r="V125" s="10"/>
      <c r="W125" s="86"/>
      <c r="X125" s="11"/>
    </row>
    <row r="126" spans="1:24" x14ac:dyDescent="0.25">
      <c r="A126" s="14"/>
      <c r="B126" s="14"/>
      <c r="C126" s="14"/>
      <c r="G126" s="14"/>
      <c r="H126" s="14"/>
      <c r="L126" s="82"/>
      <c r="M126" s="16"/>
      <c r="N126" s="83"/>
      <c r="O126" s="84"/>
      <c r="Q126" s="10"/>
      <c r="R126" s="16"/>
      <c r="S126" s="11"/>
      <c r="T126" s="11"/>
      <c r="V126" s="10"/>
      <c r="W126" s="86"/>
      <c r="X126" s="11"/>
    </row>
    <row r="127" spans="1:24" x14ac:dyDescent="0.25">
      <c r="A127" s="14"/>
      <c r="B127" s="14"/>
      <c r="C127" s="14"/>
      <c r="G127" s="14"/>
      <c r="H127" s="14"/>
      <c r="L127" s="82"/>
      <c r="M127" s="16"/>
      <c r="N127" s="83"/>
      <c r="O127" s="84"/>
      <c r="Q127" s="10"/>
      <c r="R127" s="16"/>
      <c r="S127" s="11"/>
      <c r="T127" s="11"/>
      <c r="V127" s="10"/>
      <c r="W127" s="86"/>
      <c r="X127" s="11"/>
    </row>
    <row r="128" spans="1:24" x14ac:dyDescent="0.25">
      <c r="A128" s="14"/>
      <c r="B128" s="14"/>
      <c r="C128" s="14"/>
      <c r="G128" s="14"/>
      <c r="H128" s="14"/>
      <c r="L128" s="82"/>
      <c r="M128" s="16"/>
      <c r="N128" s="83"/>
      <c r="O128" s="84"/>
      <c r="Q128" s="10"/>
      <c r="R128" s="16"/>
      <c r="S128" s="11"/>
      <c r="T128" s="11"/>
      <c r="V128" s="10"/>
      <c r="W128" s="86"/>
      <c r="X128" s="11"/>
    </row>
    <row r="129" spans="1:24" x14ac:dyDescent="0.25">
      <c r="A129" s="14"/>
      <c r="B129" s="14"/>
      <c r="C129" s="14"/>
      <c r="G129" s="14"/>
      <c r="H129" s="14"/>
      <c r="L129" s="82"/>
      <c r="M129" s="16"/>
      <c r="N129" s="83"/>
      <c r="O129" s="84"/>
      <c r="Q129" s="10"/>
      <c r="R129" s="16"/>
      <c r="S129" s="11"/>
      <c r="T129" s="11"/>
      <c r="V129" s="10"/>
      <c r="W129" s="86"/>
      <c r="X129" s="11"/>
    </row>
    <row r="130" spans="1:24" x14ac:dyDescent="0.25">
      <c r="A130" s="14"/>
      <c r="B130" s="14"/>
      <c r="C130" s="14"/>
      <c r="G130" s="14"/>
      <c r="H130" s="14"/>
      <c r="L130" s="82"/>
      <c r="M130" s="16"/>
      <c r="N130" s="83"/>
      <c r="O130" s="84"/>
      <c r="Q130" s="10"/>
      <c r="R130" s="16"/>
      <c r="S130" s="11"/>
      <c r="T130" s="11"/>
      <c r="V130" s="10"/>
      <c r="W130" s="86"/>
      <c r="X130" s="11"/>
    </row>
    <row r="131" spans="1:24" x14ac:dyDescent="0.25">
      <c r="A131" s="14"/>
      <c r="B131" s="14"/>
      <c r="C131" s="14"/>
      <c r="G131" s="14"/>
      <c r="H131" s="14"/>
      <c r="L131" s="82"/>
      <c r="M131" s="16"/>
      <c r="N131" s="83"/>
      <c r="O131" s="84"/>
      <c r="Q131" s="10"/>
      <c r="R131" s="16"/>
      <c r="S131" s="11"/>
      <c r="T131" s="11"/>
      <c r="V131" s="10"/>
      <c r="W131" s="86"/>
      <c r="X131" s="11"/>
    </row>
    <row r="132" spans="1:24" x14ac:dyDescent="0.25">
      <c r="A132" s="14"/>
      <c r="B132" s="14"/>
      <c r="C132" s="14"/>
      <c r="G132" s="14"/>
      <c r="H132" s="14"/>
      <c r="L132" s="82"/>
      <c r="M132" s="16"/>
      <c r="N132" s="83"/>
      <c r="O132" s="84"/>
      <c r="Q132" s="10"/>
      <c r="R132" s="16"/>
      <c r="S132" s="11"/>
      <c r="T132" s="11"/>
      <c r="V132" s="10"/>
      <c r="W132" s="86"/>
      <c r="X132" s="11"/>
    </row>
    <row r="133" spans="1:24" x14ac:dyDescent="0.25">
      <c r="A133" s="14"/>
      <c r="B133" s="14"/>
      <c r="C133" s="14"/>
      <c r="G133" s="14"/>
      <c r="H133" s="14"/>
      <c r="L133" s="82"/>
      <c r="M133" s="16"/>
      <c r="N133" s="83"/>
      <c r="O133" s="84"/>
      <c r="Q133" s="10"/>
      <c r="R133" s="16"/>
      <c r="S133" s="11"/>
      <c r="T133" s="11"/>
      <c r="V133" s="10"/>
      <c r="W133" s="86"/>
      <c r="X133" s="11"/>
    </row>
    <row r="134" spans="1:24" x14ac:dyDescent="0.25">
      <c r="A134" s="14"/>
      <c r="B134" s="14"/>
      <c r="C134" s="14"/>
      <c r="G134" s="14"/>
      <c r="H134" s="14"/>
      <c r="L134" s="82"/>
      <c r="M134" s="16"/>
      <c r="N134" s="83"/>
      <c r="O134" s="84"/>
      <c r="Q134" s="10"/>
      <c r="R134" s="16"/>
      <c r="S134" s="11"/>
      <c r="T134" s="11"/>
      <c r="V134" s="10"/>
      <c r="W134" s="86"/>
      <c r="X134" s="11"/>
    </row>
    <row r="135" spans="1:24" x14ac:dyDescent="0.25">
      <c r="A135" s="14"/>
      <c r="B135" s="14"/>
      <c r="C135" s="14"/>
      <c r="G135" s="14"/>
      <c r="H135" s="14"/>
      <c r="L135" s="82"/>
      <c r="M135" s="16"/>
      <c r="N135" s="83"/>
      <c r="O135" s="84"/>
      <c r="Q135" s="10"/>
      <c r="R135" s="16"/>
      <c r="S135" s="11"/>
      <c r="T135" s="11"/>
      <c r="V135" s="10"/>
      <c r="W135" s="86"/>
      <c r="X135" s="11"/>
    </row>
    <row r="136" spans="1:24" x14ac:dyDescent="0.25">
      <c r="A136" s="14"/>
      <c r="B136" s="14"/>
      <c r="C136" s="14"/>
      <c r="G136" s="14"/>
      <c r="H136" s="14"/>
      <c r="L136" s="82"/>
      <c r="M136" s="16"/>
      <c r="N136" s="83"/>
      <c r="O136" s="84"/>
      <c r="Q136" s="10"/>
      <c r="R136" s="16"/>
      <c r="S136" s="11"/>
      <c r="T136" s="11"/>
      <c r="V136" s="10"/>
      <c r="W136" s="86"/>
      <c r="X136" s="11"/>
    </row>
    <row r="137" spans="1:24" x14ac:dyDescent="0.25">
      <c r="A137" s="14"/>
      <c r="B137" s="14"/>
      <c r="C137" s="14"/>
      <c r="G137" s="14"/>
      <c r="H137" s="14"/>
      <c r="L137" s="82"/>
      <c r="M137" s="16"/>
      <c r="N137" s="83"/>
      <c r="O137" s="84"/>
      <c r="Q137" s="10"/>
      <c r="R137" s="16"/>
      <c r="S137" s="11"/>
      <c r="T137" s="11"/>
      <c r="V137" s="10"/>
      <c r="W137" s="86"/>
      <c r="X137" s="11"/>
    </row>
    <row r="138" spans="1:24" x14ac:dyDescent="0.25">
      <c r="A138" s="14"/>
      <c r="B138" s="14"/>
      <c r="C138" s="14"/>
      <c r="G138" s="14"/>
      <c r="H138" s="14"/>
      <c r="L138" s="82"/>
      <c r="M138" s="16"/>
      <c r="N138" s="83"/>
      <c r="O138" s="84"/>
      <c r="Q138" s="10"/>
      <c r="R138" s="16"/>
      <c r="S138" s="11"/>
      <c r="T138" s="11"/>
      <c r="V138" s="10"/>
      <c r="W138" s="86"/>
      <c r="X138" s="11"/>
    </row>
    <row r="139" spans="1:24" x14ac:dyDescent="0.25">
      <c r="A139" s="14"/>
      <c r="B139" s="14"/>
      <c r="C139" s="14"/>
      <c r="G139" s="14"/>
      <c r="H139" s="14"/>
      <c r="L139" s="82"/>
      <c r="M139" s="16"/>
      <c r="N139" s="83"/>
      <c r="O139" s="84"/>
      <c r="Q139" s="10"/>
      <c r="R139" s="16"/>
      <c r="S139" s="11"/>
      <c r="T139" s="11"/>
      <c r="V139" s="10"/>
      <c r="W139" s="86"/>
      <c r="X139" s="11"/>
    </row>
    <row r="140" spans="1:24" x14ac:dyDescent="0.25">
      <c r="A140" s="14"/>
      <c r="B140" s="14"/>
      <c r="C140" s="14"/>
      <c r="G140" s="14"/>
      <c r="H140" s="14"/>
      <c r="L140" s="82"/>
      <c r="M140" s="16"/>
      <c r="N140" s="83"/>
      <c r="O140" s="84"/>
      <c r="Q140" s="10"/>
      <c r="R140" s="16"/>
      <c r="S140" s="11"/>
      <c r="T140" s="11"/>
      <c r="V140" s="10"/>
      <c r="W140" s="86"/>
      <c r="X140" s="11"/>
    </row>
    <row r="141" spans="1:24" x14ac:dyDescent="0.25">
      <c r="A141" s="14"/>
      <c r="B141" s="14"/>
      <c r="C141" s="14"/>
      <c r="G141" s="14"/>
      <c r="H141" s="14"/>
      <c r="L141" s="82"/>
      <c r="M141" s="16"/>
      <c r="N141" s="83"/>
      <c r="O141" s="84"/>
      <c r="Q141" s="10"/>
      <c r="R141" s="16"/>
      <c r="S141" s="11"/>
      <c r="T141" s="11"/>
      <c r="V141" s="10"/>
      <c r="W141" s="86"/>
      <c r="X141" s="11"/>
    </row>
    <row r="142" spans="1:24" x14ac:dyDescent="0.25">
      <c r="A142" s="14"/>
      <c r="B142" s="14"/>
      <c r="C142" s="14"/>
      <c r="G142" s="14"/>
      <c r="H142" s="14"/>
      <c r="L142" s="82"/>
      <c r="M142" s="16"/>
      <c r="N142" s="83"/>
      <c r="O142" s="84"/>
      <c r="Q142" s="10"/>
      <c r="R142" s="16"/>
      <c r="S142" s="11"/>
      <c r="T142" s="11"/>
      <c r="V142" s="10"/>
      <c r="W142" s="86"/>
      <c r="X142" s="11"/>
    </row>
    <row r="143" spans="1:24" x14ac:dyDescent="0.25">
      <c r="A143" s="14"/>
      <c r="B143" s="14"/>
      <c r="C143" s="14"/>
      <c r="G143" s="14"/>
      <c r="H143" s="14"/>
      <c r="L143" s="82"/>
      <c r="M143" s="16"/>
      <c r="N143" s="83"/>
      <c r="O143" s="84"/>
      <c r="Q143" s="10"/>
      <c r="R143" s="16"/>
      <c r="S143" s="11"/>
      <c r="T143" s="11"/>
      <c r="V143" s="10"/>
      <c r="W143" s="86"/>
      <c r="X143" s="11"/>
    </row>
    <row r="144" spans="1:24" x14ac:dyDescent="0.25">
      <c r="A144" s="14"/>
      <c r="B144" s="14"/>
      <c r="C144" s="14"/>
      <c r="G144" s="14"/>
      <c r="H144" s="14"/>
      <c r="L144" s="82"/>
      <c r="M144" s="16"/>
      <c r="N144" s="83"/>
      <c r="O144" s="84"/>
      <c r="Q144" s="10"/>
      <c r="R144" s="16"/>
      <c r="S144" s="11"/>
      <c r="T144" s="11"/>
      <c r="V144" s="10"/>
      <c r="W144" s="86"/>
      <c r="X144" s="11"/>
    </row>
    <row r="145" spans="1:24" x14ac:dyDescent="0.25">
      <c r="A145" s="14"/>
      <c r="B145" s="14"/>
      <c r="C145" s="14"/>
      <c r="G145" s="14"/>
      <c r="H145" s="14"/>
      <c r="L145" s="82"/>
      <c r="M145" s="16"/>
      <c r="N145" s="83"/>
      <c r="O145" s="84"/>
      <c r="Q145" s="10"/>
      <c r="R145" s="16"/>
      <c r="S145" s="11"/>
      <c r="T145" s="11"/>
      <c r="V145" s="10"/>
      <c r="W145" s="86"/>
      <c r="X145" s="11"/>
    </row>
    <row r="146" spans="1:24" x14ac:dyDescent="0.25">
      <c r="A146" s="14"/>
      <c r="B146" s="14"/>
      <c r="C146" s="14"/>
      <c r="G146" s="14"/>
      <c r="H146" s="14"/>
      <c r="L146" s="82"/>
      <c r="M146" s="16"/>
      <c r="N146" s="83"/>
      <c r="O146" s="84"/>
      <c r="Q146" s="10"/>
      <c r="R146" s="16"/>
      <c r="S146" s="11"/>
      <c r="T146" s="11"/>
      <c r="V146" s="10"/>
      <c r="W146" s="86"/>
      <c r="X146" s="11"/>
    </row>
    <row r="147" spans="1:24" x14ac:dyDescent="0.25">
      <c r="A147" s="14"/>
      <c r="B147" s="14"/>
      <c r="C147" s="14"/>
      <c r="G147" s="14"/>
      <c r="H147" s="14"/>
      <c r="L147" s="10"/>
      <c r="M147" s="16"/>
      <c r="N147" s="11"/>
      <c r="O147" s="11"/>
      <c r="Q147" s="10"/>
      <c r="R147" s="16"/>
      <c r="S147" s="11"/>
      <c r="T147" s="11"/>
      <c r="V147" s="10"/>
      <c r="W147" s="86"/>
      <c r="X147" s="11"/>
    </row>
    <row r="148" spans="1:24" x14ac:dyDescent="0.25">
      <c r="A148" s="14"/>
      <c r="B148" s="14"/>
      <c r="C148" s="14"/>
      <c r="G148" s="14"/>
      <c r="H148" s="14"/>
      <c r="L148" s="10"/>
      <c r="M148" s="16"/>
      <c r="N148" s="11"/>
      <c r="O148" s="11"/>
      <c r="Q148" s="10"/>
      <c r="R148" s="16"/>
      <c r="S148" s="11"/>
      <c r="T148" s="11"/>
      <c r="V148" s="10"/>
      <c r="W148" s="86"/>
      <c r="X148" s="11"/>
    </row>
    <row r="149" spans="1:24" x14ac:dyDescent="0.25">
      <c r="A149" s="14"/>
      <c r="B149" s="14"/>
      <c r="C149" s="14"/>
      <c r="G149" s="14"/>
      <c r="H149" s="14"/>
      <c r="L149" s="10"/>
      <c r="M149" s="16"/>
      <c r="N149" s="11"/>
      <c r="O149" s="11"/>
      <c r="Q149" s="10"/>
      <c r="R149" s="16"/>
      <c r="S149" s="11"/>
      <c r="T149" s="11"/>
      <c r="V149" s="10"/>
      <c r="W149" s="86"/>
      <c r="X149" s="11"/>
    </row>
    <row r="150" spans="1:24" x14ac:dyDescent="0.25">
      <c r="A150" s="14"/>
      <c r="B150" s="14"/>
      <c r="C150" s="14"/>
      <c r="G150" s="14"/>
      <c r="H150" s="14"/>
      <c r="L150" s="10"/>
      <c r="M150" s="16"/>
      <c r="N150" s="11"/>
      <c r="O150" s="11"/>
      <c r="Q150" s="10"/>
      <c r="R150" s="16"/>
      <c r="S150" s="11"/>
      <c r="T150" s="11"/>
      <c r="V150" s="10"/>
      <c r="W150" s="86"/>
      <c r="X150" s="11"/>
    </row>
    <row r="151" spans="1:24" x14ac:dyDescent="0.25">
      <c r="A151" s="14"/>
      <c r="B151" s="14"/>
      <c r="C151" s="14"/>
      <c r="G151" s="14"/>
      <c r="H151" s="14"/>
      <c r="L151" s="10"/>
      <c r="M151" s="16"/>
      <c r="N151" s="11"/>
      <c r="O151" s="11"/>
      <c r="Q151" s="10"/>
      <c r="R151" s="16"/>
      <c r="S151" s="11"/>
      <c r="T151" s="11"/>
      <c r="V151" s="10"/>
      <c r="W151" s="86"/>
      <c r="X151" s="11"/>
    </row>
    <row r="152" spans="1:24" x14ac:dyDescent="0.25">
      <c r="A152" s="14"/>
      <c r="B152" s="14"/>
      <c r="C152" s="14"/>
      <c r="G152" s="14"/>
      <c r="H152" s="14"/>
      <c r="L152" s="10"/>
      <c r="M152" s="16"/>
      <c r="N152" s="11"/>
      <c r="O152" s="11"/>
      <c r="Q152" s="10"/>
      <c r="R152" s="16"/>
      <c r="S152" s="11"/>
      <c r="T152" s="11"/>
      <c r="V152" s="10"/>
      <c r="W152" s="86"/>
      <c r="X152" s="11"/>
    </row>
    <row r="153" spans="1:24" x14ac:dyDescent="0.25">
      <c r="A153" s="14"/>
      <c r="B153" s="14"/>
      <c r="C153" s="14"/>
      <c r="G153" s="14"/>
      <c r="H153" s="14"/>
      <c r="L153" s="10"/>
      <c r="M153" s="16"/>
      <c r="N153" s="11"/>
      <c r="O153" s="11"/>
      <c r="Q153" s="10"/>
      <c r="R153" s="16"/>
      <c r="S153" s="11"/>
      <c r="T153" s="11"/>
      <c r="V153" s="10"/>
      <c r="W153" s="86"/>
      <c r="X153" s="11"/>
    </row>
    <row r="154" spans="1:24" x14ac:dyDescent="0.25">
      <c r="A154" s="14"/>
      <c r="B154" s="14"/>
      <c r="C154" s="14"/>
      <c r="G154" s="14"/>
      <c r="H154" s="14"/>
      <c r="L154" s="10"/>
      <c r="M154" s="16"/>
      <c r="N154" s="11"/>
      <c r="O154" s="11"/>
      <c r="Q154" s="10"/>
      <c r="R154" s="16"/>
      <c r="S154" s="11"/>
      <c r="T154" s="11"/>
      <c r="V154" s="10"/>
      <c r="W154" s="86"/>
      <c r="X154" s="11"/>
    </row>
    <row r="155" spans="1:24" x14ac:dyDescent="0.25">
      <c r="A155" s="14"/>
      <c r="B155" s="14"/>
      <c r="C155" s="14"/>
      <c r="G155" s="14"/>
      <c r="H155" s="14"/>
      <c r="L155" s="10"/>
      <c r="M155" s="16"/>
      <c r="N155" s="11"/>
      <c r="O155" s="11"/>
      <c r="Q155" s="10"/>
      <c r="R155" s="16"/>
      <c r="S155" s="11"/>
      <c r="T155" s="11"/>
      <c r="V155" s="10"/>
      <c r="W155" s="86"/>
      <c r="X155" s="11"/>
    </row>
    <row r="156" spans="1:24" x14ac:dyDescent="0.25">
      <c r="A156" s="14"/>
      <c r="B156" s="14"/>
      <c r="C156" s="14"/>
      <c r="G156" s="14"/>
      <c r="H156" s="14"/>
      <c r="L156" s="10"/>
      <c r="M156" s="16"/>
      <c r="N156" s="11"/>
      <c r="O156" s="11"/>
      <c r="Q156" s="10"/>
      <c r="R156" s="16"/>
      <c r="S156" s="11"/>
      <c r="T156" s="11"/>
      <c r="V156" s="10"/>
      <c r="W156" s="86"/>
      <c r="X156" s="11"/>
    </row>
    <row r="157" spans="1:24" x14ac:dyDescent="0.25">
      <c r="A157" s="14"/>
      <c r="B157" s="14"/>
      <c r="C157" s="14"/>
      <c r="G157" s="14"/>
      <c r="H157" s="14"/>
      <c r="L157" s="10"/>
      <c r="M157" s="16"/>
      <c r="N157" s="11"/>
      <c r="O157" s="11"/>
      <c r="Q157" s="10"/>
      <c r="R157" s="16"/>
      <c r="S157" s="11"/>
      <c r="T157" s="11"/>
      <c r="V157" s="10"/>
      <c r="W157" s="86"/>
      <c r="X157" s="11"/>
    </row>
    <row r="158" spans="1:24" x14ac:dyDescent="0.25">
      <c r="A158" s="14"/>
      <c r="B158" s="14"/>
      <c r="C158" s="14"/>
      <c r="G158" s="14"/>
      <c r="H158" s="14"/>
      <c r="L158" s="10"/>
      <c r="M158" s="16"/>
      <c r="N158" s="11"/>
      <c r="O158" s="11"/>
      <c r="Q158" s="10"/>
      <c r="R158" s="16"/>
      <c r="S158" s="11"/>
      <c r="T158" s="11"/>
      <c r="V158" s="10"/>
      <c r="W158" s="86"/>
      <c r="X158" s="11"/>
    </row>
    <row r="159" spans="1:24" x14ac:dyDescent="0.25">
      <c r="A159" s="14"/>
      <c r="B159" s="14"/>
      <c r="C159" s="14"/>
      <c r="G159" s="14"/>
      <c r="H159" s="14"/>
      <c r="L159" s="10"/>
      <c r="M159" s="16"/>
      <c r="N159" s="11"/>
      <c r="O159" s="11"/>
      <c r="Q159" s="10"/>
      <c r="R159" s="16"/>
      <c r="S159" s="11"/>
      <c r="T159" s="11"/>
      <c r="V159" s="10"/>
      <c r="W159" s="86"/>
      <c r="X159" s="11"/>
    </row>
    <row r="160" spans="1:24" x14ac:dyDescent="0.25">
      <c r="A160" s="14"/>
      <c r="B160" s="14"/>
      <c r="C160" s="14"/>
      <c r="G160" s="14"/>
      <c r="H160" s="14"/>
      <c r="L160" s="10"/>
      <c r="M160" s="16"/>
      <c r="N160" s="11"/>
      <c r="O160" s="11"/>
      <c r="Q160" s="10"/>
      <c r="R160" s="16"/>
      <c r="S160" s="11"/>
      <c r="T160" s="11"/>
      <c r="V160" s="10"/>
      <c r="W160" s="86"/>
      <c r="X160" s="11"/>
    </row>
    <row r="161" spans="1:24" x14ac:dyDescent="0.25">
      <c r="A161" s="14"/>
      <c r="B161" s="14"/>
      <c r="C161" s="14"/>
      <c r="G161" s="14"/>
      <c r="H161" s="14"/>
      <c r="L161" s="10"/>
      <c r="M161" s="16"/>
      <c r="N161" s="11"/>
      <c r="O161" s="11"/>
      <c r="Q161" s="10"/>
      <c r="R161" s="16"/>
      <c r="S161" s="11"/>
      <c r="T161" s="11"/>
      <c r="V161" s="10"/>
      <c r="W161" s="86"/>
      <c r="X161" s="11"/>
    </row>
    <row r="162" spans="1:24" x14ac:dyDescent="0.25">
      <c r="A162" s="14"/>
      <c r="B162" s="14"/>
      <c r="C162" s="14"/>
      <c r="G162" s="14"/>
      <c r="H162" s="14"/>
      <c r="L162" s="10"/>
      <c r="M162" s="16"/>
      <c r="N162" s="11"/>
      <c r="O162" s="11"/>
      <c r="Q162" s="10"/>
      <c r="R162" s="16"/>
      <c r="S162" s="11"/>
      <c r="T162" s="11"/>
      <c r="V162" s="10"/>
      <c r="W162" s="86"/>
      <c r="X162" s="11"/>
    </row>
    <row r="163" spans="1:24" x14ac:dyDescent="0.25">
      <c r="A163" s="14"/>
      <c r="B163" s="14"/>
      <c r="C163" s="14"/>
      <c r="G163" s="14"/>
      <c r="H163" s="14"/>
      <c r="L163" s="10"/>
      <c r="M163" s="16"/>
      <c r="N163" s="11"/>
      <c r="O163" s="11"/>
      <c r="Q163" s="10"/>
      <c r="R163" s="16"/>
      <c r="S163" s="11"/>
      <c r="T163" s="11"/>
      <c r="V163" s="10"/>
      <c r="W163" s="86"/>
      <c r="X163" s="11"/>
    </row>
    <row r="164" spans="1:24" x14ac:dyDescent="0.25">
      <c r="A164" s="14"/>
      <c r="B164" s="14"/>
      <c r="C164" s="14"/>
      <c r="G164" s="14"/>
      <c r="H164" s="14"/>
      <c r="L164" s="10"/>
      <c r="M164" s="16"/>
      <c r="N164" s="11"/>
      <c r="O164" s="11"/>
      <c r="Q164" s="10"/>
      <c r="R164" s="16"/>
      <c r="S164" s="11"/>
      <c r="T164" s="11"/>
      <c r="V164" s="10"/>
      <c r="W164" s="86"/>
      <c r="X164" s="11"/>
    </row>
    <row r="165" spans="1:24" x14ac:dyDescent="0.25">
      <c r="B165" s="14"/>
      <c r="C165" s="14"/>
      <c r="H165" s="14"/>
      <c r="L165" s="10"/>
      <c r="M165" s="16"/>
      <c r="N165" s="11"/>
      <c r="O165" s="11"/>
      <c r="Q165" s="10"/>
      <c r="R165" s="16"/>
      <c r="S165" s="11"/>
      <c r="T165" s="11"/>
      <c r="V165" s="10"/>
      <c r="W165" s="86"/>
      <c r="X165" s="11"/>
    </row>
    <row r="166" spans="1:24" x14ac:dyDescent="0.25">
      <c r="B166" s="14"/>
      <c r="C166" s="14"/>
      <c r="H166" s="14"/>
      <c r="L166" s="10"/>
      <c r="M166" s="16"/>
      <c r="N166" s="11"/>
      <c r="O166" s="11"/>
      <c r="Q166" s="10"/>
      <c r="R166" s="16"/>
      <c r="S166" s="11"/>
      <c r="T166" s="11"/>
      <c r="V166" s="10"/>
      <c r="W166" s="86"/>
      <c r="X166" s="11"/>
    </row>
    <row r="167" spans="1:24" x14ac:dyDescent="0.25">
      <c r="B167" s="14"/>
      <c r="C167" s="14"/>
      <c r="H167" s="14"/>
      <c r="L167" s="10"/>
      <c r="M167" s="16"/>
      <c r="N167" s="11"/>
      <c r="O167" s="11"/>
      <c r="Q167" s="10"/>
      <c r="R167" s="16"/>
      <c r="S167" s="11"/>
      <c r="T167" s="11"/>
      <c r="V167" s="10"/>
      <c r="W167" s="86"/>
      <c r="X167" s="11"/>
    </row>
    <row r="168" spans="1:24" x14ac:dyDescent="0.25">
      <c r="B168" s="14"/>
      <c r="C168" s="14"/>
      <c r="H168" s="14"/>
      <c r="L168" s="10"/>
      <c r="M168" s="16"/>
      <c r="N168" s="11"/>
      <c r="O168" s="11"/>
      <c r="Q168" s="10"/>
      <c r="R168" s="16"/>
      <c r="S168" s="11"/>
      <c r="T168" s="11"/>
      <c r="V168" s="10"/>
      <c r="W168" s="86"/>
      <c r="X168" s="11"/>
    </row>
    <row r="169" spans="1:24" x14ac:dyDescent="0.25">
      <c r="B169" s="14"/>
      <c r="C169" s="14"/>
      <c r="H169" s="14"/>
      <c r="L169" s="10"/>
      <c r="M169" s="16"/>
      <c r="N169" s="11"/>
      <c r="O169" s="11"/>
      <c r="Q169" s="10"/>
      <c r="R169" s="16"/>
      <c r="S169" s="11"/>
      <c r="T169" s="11"/>
      <c r="V169" s="10"/>
      <c r="W169" s="86"/>
      <c r="X169" s="11"/>
    </row>
    <row r="170" spans="1:24" x14ac:dyDescent="0.25">
      <c r="B170" s="14"/>
      <c r="C170" s="14"/>
      <c r="H170" s="14"/>
      <c r="L170" s="10"/>
      <c r="M170" s="16"/>
      <c r="N170" s="11"/>
      <c r="O170" s="11"/>
      <c r="Q170" s="10"/>
      <c r="R170" s="16"/>
      <c r="S170" s="11"/>
      <c r="T170" s="11"/>
      <c r="V170" s="10"/>
      <c r="W170" s="86"/>
      <c r="X170" s="11"/>
    </row>
    <row r="171" spans="1:24" x14ac:dyDescent="0.25">
      <c r="B171" s="14"/>
      <c r="C171" s="14"/>
      <c r="H171" s="14"/>
      <c r="L171" s="10"/>
      <c r="M171" s="16"/>
      <c r="N171" s="11"/>
      <c r="O171" s="11"/>
      <c r="Q171" s="10"/>
      <c r="R171" s="16"/>
      <c r="S171" s="11"/>
      <c r="T171" s="11"/>
      <c r="V171" s="10"/>
      <c r="W171" s="86"/>
      <c r="X171" s="11"/>
    </row>
    <row r="172" spans="1:24" x14ac:dyDescent="0.25">
      <c r="B172" s="14"/>
      <c r="C172" s="14"/>
      <c r="H172" s="14"/>
      <c r="L172" s="10"/>
      <c r="M172" s="16"/>
      <c r="N172" s="11"/>
      <c r="O172" s="11"/>
      <c r="Q172" s="10"/>
      <c r="R172" s="16"/>
      <c r="S172" s="11"/>
      <c r="T172" s="11"/>
      <c r="V172" s="10"/>
      <c r="W172" s="86"/>
      <c r="X172" s="11"/>
    </row>
    <row r="173" spans="1:24" x14ac:dyDescent="0.25">
      <c r="B173" s="14"/>
      <c r="C173" s="14"/>
      <c r="H173" s="14"/>
      <c r="L173" s="10"/>
      <c r="M173" s="16"/>
      <c r="N173" s="11"/>
      <c r="O173" s="11"/>
      <c r="Q173" s="10"/>
      <c r="R173" s="16"/>
      <c r="S173" s="11"/>
      <c r="T173" s="11"/>
      <c r="V173" s="10"/>
      <c r="W173" s="86"/>
      <c r="X173" s="11"/>
    </row>
    <row r="174" spans="1:24" x14ac:dyDescent="0.25">
      <c r="B174" s="14"/>
      <c r="C174" s="14"/>
      <c r="H174" s="14"/>
      <c r="L174" s="10"/>
      <c r="M174" s="16"/>
      <c r="N174" s="11"/>
      <c r="O174" s="11"/>
      <c r="Q174" s="10"/>
      <c r="R174" s="16"/>
      <c r="S174" s="11"/>
      <c r="T174" s="11"/>
      <c r="V174" s="10"/>
      <c r="W174" s="86"/>
      <c r="X174" s="11"/>
    </row>
    <row r="175" spans="1:24" x14ac:dyDescent="0.25">
      <c r="B175" s="14"/>
      <c r="C175" s="14"/>
      <c r="H175" s="14"/>
      <c r="L175" s="10"/>
      <c r="M175" s="16"/>
      <c r="N175" s="16"/>
      <c r="O175" s="16"/>
      <c r="Q175" s="10"/>
      <c r="R175" s="16"/>
      <c r="S175" s="11"/>
      <c r="T175" s="11"/>
      <c r="V175" s="10"/>
      <c r="W175" s="86"/>
      <c r="X175" s="11"/>
    </row>
    <row r="176" spans="1:24" x14ac:dyDescent="0.25">
      <c r="B176" s="14"/>
      <c r="C176" s="14"/>
      <c r="H176" s="14"/>
      <c r="L176" s="10"/>
      <c r="M176" s="16"/>
      <c r="N176" s="16"/>
      <c r="O176" s="16"/>
      <c r="Q176" s="10"/>
      <c r="R176" s="16"/>
      <c r="S176" s="11"/>
      <c r="T176" s="11"/>
      <c r="V176" s="10"/>
      <c r="W176" s="86"/>
      <c r="X176" s="11"/>
    </row>
    <row r="177" spans="2:24" x14ac:dyDescent="0.25">
      <c r="B177" s="14"/>
      <c r="C177" s="14"/>
      <c r="H177" s="14"/>
      <c r="L177" s="10"/>
      <c r="M177" s="16"/>
      <c r="N177" s="16"/>
      <c r="O177" s="16"/>
      <c r="Q177" s="10"/>
      <c r="R177" s="16"/>
      <c r="S177" s="11"/>
      <c r="T177" s="11"/>
      <c r="V177" s="10"/>
      <c r="W177" s="86"/>
      <c r="X177" s="11"/>
    </row>
    <row r="178" spans="2:24" x14ac:dyDescent="0.25">
      <c r="B178" s="14"/>
      <c r="C178" s="14"/>
      <c r="H178" s="14"/>
      <c r="L178" s="10"/>
      <c r="M178" s="16"/>
      <c r="N178" s="16"/>
      <c r="O178" s="16"/>
      <c r="Q178" s="10"/>
      <c r="R178" s="16"/>
      <c r="S178" s="11"/>
      <c r="T178" s="11"/>
      <c r="V178" s="10"/>
      <c r="W178" s="86"/>
      <c r="X178" s="11"/>
    </row>
    <row r="179" spans="2:24" x14ac:dyDescent="0.25">
      <c r="B179" s="14"/>
      <c r="C179" s="14"/>
      <c r="H179" s="14"/>
      <c r="L179" s="10"/>
      <c r="M179" s="16"/>
      <c r="N179" s="16"/>
      <c r="O179" s="16"/>
      <c r="Q179" s="10"/>
      <c r="R179" s="16"/>
      <c r="S179" s="11"/>
      <c r="T179" s="11"/>
      <c r="V179" s="10"/>
      <c r="W179" s="86"/>
      <c r="X179" s="11"/>
    </row>
    <row r="180" spans="2:24" x14ac:dyDescent="0.25">
      <c r="B180" s="14"/>
      <c r="C180" s="14"/>
      <c r="H180" s="14"/>
      <c r="L180" s="10"/>
      <c r="M180" s="16"/>
      <c r="N180" s="16"/>
      <c r="O180" s="16"/>
      <c r="Q180" s="10"/>
      <c r="R180" s="16"/>
      <c r="S180" s="11"/>
      <c r="T180" s="11"/>
      <c r="V180" s="10"/>
      <c r="W180" s="86"/>
      <c r="X180" s="11"/>
    </row>
    <row r="181" spans="2:24" x14ac:dyDescent="0.25">
      <c r="B181" s="14"/>
      <c r="C181" s="14"/>
      <c r="H181" s="14"/>
      <c r="L181" s="10"/>
      <c r="M181" s="16"/>
      <c r="N181" s="16"/>
      <c r="O181" s="16"/>
      <c r="Q181" s="10"/>
      <c r="R181" s="16"/>
      <c r="S181" s="11"/>
      <c r="T181" s="11"/>
      <c r="V181" s="10"/>
      <c r="W181" s="86"/>
      <c r="X181" s="11"/>
    </row>
    <row r="182" spans="2:24" x14ac:dyDescent="0.25">
      <c r="B182" s="14"/>
      <c r="C182" s="14"/>
      <c r="H182" s="14"/>
      <c r="L182" s="10"/>
      <c r="M182" s="16"/>
      <c r="N182" s="16"/>
      <c r="O182" s="16"/>
      <c r="Q182" s="10"/>
      <c r="R182" s="16"/>
      <c r="S182" s="11"/>
      <c r="T182" s="11"/>
      <c r="V182" s="13"/>
      <c r="W182" s="86"/>
      <c r="X182" s="11"/>
    </row>
    <row r="183" spans="2:24" x14ac:dyDescent="0.25">
      <c r="B183" s="14"/>
      <c r="C183" s="14"/>
      <c r="H183" s="14"/>
      <c r="L183" s="10"/>
      <c r="M183" s="16"/>
      <c r="N183" s="16"/>
      <c r="O183" s="16"/>
      <c r="Q183" s="10"/>
      <c r="R183" s="16"/>
      <c r="S183" s="11"/>
      <c r="T183" s="11"/>
      <c r="V183" s="13"/>
      <c r="W183" s="86"/>
      <c r="X183" s="11"/>
    </row>
    <row r="184" spans="2:24" x14ac:dyDescent="0.25">
      <c r="B184" s="14"/>
      <c r="C184" s="14"/>
      <c r="H184" s="14"/>
      <c r="L184" s="10"/>
      <c r="M184" s="16"/>
      <c r="N184" s="16"/>
      <c r="O184" s="16"/>
      <c r="Q184" s="10"/>
      <c r="R184" s="16"/>
      <c r="S184" s="16"/>
      <c r="T184" s="16"/>
      <c r="V184" s="13"/>
      <c r="W184" s="86"/>
      <c r="X184" s="11"/>
    </row>
    <row r="185" spans="2:24" x14ac:dyDescent="0.25">
      <c r="B185" s="14"/>
      <c r="C185" s="14"/>
      <c r="H185" s="14"/>
      <c r="L185" s="13"/>
      <c r="M185" s="16"/>
      <c r="N185" s="16"/>
      <c r="O185" s="16"/>
      <c r="Q185" s="13"/>
      <c r="R185" s="16"/>
      <c r="S185" s="16"/>
      <c r="T185" s="16"/>
      <c r="V185" s="13"/>
      <c r="W185" s="86"/>
      <c r="X185" s="11"/>
    </row>
    <row r="186" spans="2:24" x14ac:dyDescent="0.25">
      <c r="B186" s="14"/>
      <c r="C186" s="14"/>
      <c r="H186" s="14"/>
      <c r="L186" s="13"/>
      <c r="M186" s="16"/>
      <c r="N186" s="16"/>
      <c r="O186" s="16"/>
      <c r="Q186" s="13"/>
      <c r="R186" s="16"/>
      <c r="S186" s="16"/>
      <c r="T186" s="16"/>
      <c r="V186" s="13"/>
      <c r="W186" s="86"/>
      <c r="X186" s="11"/>
    </row>
    <row r="187" spans="2:24" x14ac:dyDescent="0.25">
      <c r="B187" s="14"/>
      <c r="C187" s="14"/>
      <c r="H187" s="14"/>
      <c r="L187" s="13"/>
      <c r="M187" s="16"/>
      <c r="N187" s="16"/>
      <c r="O187" s="16"/>
      <c r="Q187" s="13"/>
      <c r="R187" s="16"/>
      <c r="S187" s="16"/>
      <c r="T187" s="16"/>
      <c r="V187" s="13"/>
      <c r="W187" s="86"/>
      <c r="X187" s="11"/>
    </row>
    <row r="188" spans="2:24" x14ac:dyDescent="0.25">
      <c r="B188" s="14"/>
      <c r="C188" s="14"/>
      <c r="H188" s="14"/>
      <c r="L188" s="13"/>
      <c r="M188" s="16"/>
      <c r="N188" s="16"/>
      <c r="O188" s="16"/>
      <c r="Q188" s="13"/>
      <c r="R188" s="16"/>
      <c r="S188" s="16"/>
      <c r="T188" s="16"/>
      <c r="V188" s="13"/>
      <c r="W188" s="86"/>
      <c r="X188" s="11"/>
    </row>
    <row r="189" spans="2:24" x14ac:dyDescent="0.25">
      <c r="B189" s="14"/>
      <c r="C189" s="14"/>
      <c r="H189" s="14"/>
      <c r="L189" s="13"/>
      <c r="M189" s="16"/>
      <c r="N189" s="16"/>
      <c r="O189" s="16"/>
      <c r="Q189" s="13"/>
      <c r="R189" s="16"/>
      <c r="S189" s="16"/>
      <c r="T189" s="16"/>
      <c r="V189" s="13"/>
      <c r="W189" s="86"/>
      <c r="X189" s="11"/>
    </row>
    <row r="190" spans="2:24" x14ac:dyDescent="0.25">
      <c r="B190" s="14"/>
      <c r="C190" s="14"/>
      <c r="H190" s="14"/>
      <c r="L190" s="13"/>
      <c r="M190" s="16"/>
      <c r="N190" s="16"/>
      <c r="O190" s="16"/>
      <c r="Q190" s="13"/>
      <c r="R190" s="16"/>
      <c r="S190" s="16"/>
      <c r="T190" s="16"/>
      <c r="V190" s="13"/>
      <c r="W190" s="86"/>
      <c r="X190" s="11"/>
    </row>
    <row r="191" spans="2:24" x14ac:dyDescent="0.25">
      <c r="B191" s="14"/>
      <c r="C191" s="14"/>
      <c r="H191" s="14"/>
      <c r="L191" s="13"/>
      <c r="M191" s="16"/>
      <c r="N191" s="16"/>
      <c r="O191" s="16"/>
      <c r="Q191" s="13"/>
      <c r="R191" s="16"/>
      <c r="S191" s="16"/>
      <c r="T191" s="16"/>
      <c r="V191" s="13"/>
      <c r="W191" s="86"/>
      <c r="X191" s="11"/>
    </row>
    <row r="192" spans="2:24" x14ac:dyDescent="0.25">
      <c r="B192" s="14"/>
      <c r="C192" s="14"/>
      <c r="H192" s="14"/>
      <c r="L192" s="13"/>
      <c r="M192" s="16"/>
      <c r="N192" s="16"/>
      <c r="O192" s="16"/>
      <c r="Q192" s="13"/>
      <c r="R192" s="16"/>
      <c r="S192" s="16"/>
      <c r="T192" s="16"/>
      <c r="V192" s="13"/>
      <c r="W192" s="86"/>
      <c r="X192" s="11"/>
    </row>
    <row r="193" spans="2:24" x14ac:dyDescent="0.25">
      <c r="B193" s="14"/>
      <c r="C193" s="14"/>
      <c r="H193" s="14"/>
      <c r="L193" s="13"/>
      <c r="M193" s="16"/>
      <c r="N193" s="16"/>
      <c r="O193" s="16"/>
      <c r="Q193" s="13"/>
      <c r="R193" s="16"/>
      <c r="S193" s="16"/>
      <c r="T193" s="16"/>
      <c r="V193" s="13"/>
      <c r="W193" s="86"/>
      <c r="X193" s="11"/>
    </row>
    <row r="194" spans="2:24" x14ac:dyDescent="0.25">
      <c r="B194" s="14"/>
      <c r="C194" s="14"/>
      <c r="H194" s="14"/>
      <c r="L194" s="13"/>
      <c r="M194" s="16"/>
      <c r="N194" s="16"/>
      <c r="O194" s="16"/>
      <c r="Q194" s="13"/>
      <c r="R194" s="16"/>
      <c r="S194" s="16"/>
      <c r="T194" s="16"/>
      <c r="V194" s="13"/>
      <c r="W194" s="86"/>
      <c r="X194" s="11"/>
    </row>
    <row r="195" spans="2:24" x14ac:dyDescent="0.25">
      <c r="B195" s="14"/>
      <c r="C195" s="14"/>
      <c r="H195" s="14"/>
      <c r="L195" s="13"/>
      <c r="M195" s="16"/>
      <c r="N195" s="16"/>
      <c r="O195" s="16"/>
      <c r="Q195" s="13"/>
      <c r="R195" s="16"/>
      <c r="S195" s="16"/>
      <c r="T195" s="16"/>
      <c r="V195" s="13"/>
      <c r="W195" s="86"/>
      <c r="X195" s="11"/>
    </row>
    <row r="196" spans="2:24" x14ac:dyDescent="0.25">
      <c r="B196" s="14"/>
      <c r="C196" s="14"/>
      <c r="H196" s="14"/>
      <c r="L196" s="13"/>
      <c r="M196" s="16"/>
      <c r="N196" s="16"/>
      <c r="O196" s="16"/>
      <c r="Q196" s="13"/>
      <c r="R196" s="16"/>
      <c r="S196" s="16"/>
      <c r="T196" s="16"/>
      <c r="V196" s="13"/>
      <c r="W196" s="86"/>
      <c r="X196" s="11"/>
    </row>
    <row r="197" spans="2:24" x14ac:dyDescent="0.25">
      <c r="B197" s="14"/>
      <c r="C197" s="14"/>
      <c r="H197" s="14"/>
      <c r="L197" s="13"/>
      <c r="M197" s="16"/>
      <c r="N197" s="16"/>
      <c r="O197" s="16"/>
      <c r="Q197" s="13"/>
      <c r="R197" s="16"/>
      <c r="S197" s="16"/>
      <c r="T197" s="16"/>
      <c r="V197" s="13"/>
      <c r="W197" s="86"/>
      <c r="X197" s="11"/>
    </row>
    <row r="198" spans="2:24" x14ac:dyDescent="0.25">
      <c r="B198" s="14"/>
      <c r="C198" s="14"/>
      <c r="H198" s="14"/>
      <c r="L198" s="13"/>
      <c r="M198" s="16"/>
      <c r="N198" s="16"/>
      <c r="O198" s="16"/>
      <c r="Q198" s="13"/>
      <c r="R198" s="16"/>
      <c r="S198" s="16"/>
      <c r="T198" s="16"/>
      <c r="V198" s="13"/>
      <c r="W198" s="86"/>
      <c r="X198" s="11"/>
    </row>
    <row r="199" spans="2:24" x14ac:dyDescent="0.25">
      <c r="B199" s="14"/>
      <c r="C199" s="14"/>
      <c r="H199" s="14"/>
      <c r="L199" s="13"/>
      <c r="M199" s="16"/>
      <c r="N199" s="16"/>
      <c r="O199" s="16"/>
      <c r="Q199" s="13"/>
      <c r="R199" s="16"/>
      <c r="S199" s="16"/>
      <c r="T199" s="16"/>
      <c r="V199" s="13"/>
      <c r="W199" s="86"/>
      <c r="X199" s="11"/>
    </row>
    <row r="200" spans="2:24" x14ac:dyDescent="0.25">
      <c r="B200" s="14"/>
      <c r="C200" s="14"/>
      <c r="H200" s="14"/>
      <c r="L200" s="13"/>
      <c r="M200" s="16"/>
      <c r="N200" s="16"/>
      <c r="O200" s="16"/>
      <c r="Q200" s="13"/>
      <c r="R200" s="16"/>
      <c r="S200" s="16"/>
      <c r="T200" s="16"/>
      <c r="V200" s="13"/>
      <c r="W200" s="86"/>
      <c r="X200" s="11"/>
    </row>
    <row r="201" spans="2:24" x14ac:dyDescent="0.25">
      <c r="B201" s="14"/>
      <c r="C201" s="14"/>
      <c r="H201" s="14"/>
      <c r="L201" s="13"/>
      <c r="M201" s="16"/>
      <c r="N201" s="16"/>
      <c r="O201" s="16"/>
      <c r="Q201" s="13"/>
      <c r="R201" s="16"/>
      <c r="S201" s="16"/>
      <c r="T201" s="16"/>
      <c r="V201" s="13"/>
      <c r="W201" s="86"/>
      <c r="X201" s="11"/>
    </row>
    <row r="202" spans="2:24" x14ac:dyDescent="0.25">
      <c r="B202" s="14"/>
      <c r="C202" s="14"/>
      <c r="H202" s="14"/>
      <c r="L202" s="13"/>
      <c r="M202" s="16"/>
      <c r="N202" s="16"/>
      <c r="O202" s="16"/>
      <c r="Q202" s="13"/>
      <c r="R202" s="16"/>
      <c r="S202" s="16"/>
      <c r="T202" s="16"/>
      <c r="V202" s="13"/>
      <c r="W202" s="86"/>
      <c r="X202" s="11"/>
    </row>
    <row r="203" spans="2:24" x14ac:dyDescent="0.25">
      <c r="B203" s="14"/>
      <c r="C203" s="14"/>
      <c r="H203" s="14"/>
      <c r="L203" s="13"/>
      <c r="M203" s="16"/>
      <c r="N203" s="16"/>
      <c r="O203" s="16"/>
      <c r="Q203" s="13"/>
      <c r="R203" s="16"/>
      <c r="S203" s="16"/>
      <c r="T203" s="16"/>
      <c r="V203" s="13"/>
      <c r="W203" s="86"/>
      <c r="X203" s="11"/>
    </row>
    <row r="204" spans="2:24" x14ac:dyDescent="0.25">
      <c r="B204" s="14"/>
      <c r="C204" s="14"/>
      <c r="H204" s="14"/>
      <c r="L204" s="13"/>
      <c r="M204" s="16"/>
      <c r="N204" s="16"/>
      <c r="O204" s="16"/>
      <c r="Q204" s="13"/>
      <c r="R204" s="16"/>
      <c r="S204" s="16"/>
      <c r="T204" s="16"/>
      <c r="V204" s="13"/>
      <c r="W204" s="86"/>
      <c r="X204" s="11"/>
    </row>
    <row r="205" spans="2:24" x14ac:dyDescent="0.25">
      <c r="B205" s="14"/>
      <c r="C205" s="14"/>
      <c r="H205" s="14"/>
      <c r="L205" s="13"/>
      <c r="M205" s="16"/>
      <c r="N205" s="16"/>
      <c r="O205" s="16"/>
      <c r="Q205" s="13"/>
      <c r="R205" s="16"/>
      <c r="S205" s="16"/>
      <c r="T205" s="16"/>
      <c r="V205" s="13"/>
      <c r="W205" s="86"/>
      <c r="X205" s="11"/>
    </row>
    <row r="206" spans="2:24" x14ac:dyDescent="0.25">
      <c r="B206" s="14"/>
      <c r="C206" s="14"/>
      <c r="H206" s="14"/>
      <c r="L206" s="13"/>
      <c r="M206" s="16"/>
      <c r="N206" s="16"/>
      <c r="O206" s="16"/>
      <c r="Q206" s="13"/>
      <c r="R206" s="16"/>
      <c r="S206" s="16"/>
      <c r="T206" s="16"/>
      <c r="V206" s="13"/>
      <c r="W206" s="86"/>
      <c r="X206" s="11"/>
    </row>
    <row r="207" spans="2:24" x14ac:dyDescent="0.25">
      <c r="B207" s="14"/>
      <c r="C207" s="14"/>
      <c r="H207" s="14"/>
      <c r="L207" s="13"/>
      <c r="M207" s="16"/>
      <c r="N207" s="16"/>
      <c r="O207" s="16"/>
      <c r="Q207" s="13"/>
      <c r="R207" s="16"/>
      <c r="S207" s="16"/>
      <c r="T207" s="16"/>
      <c r="V207" s="13"/>
      <c r="W207" s="86"/>
      <c r="X207" s="11"/>
    </row>
    <row r="208" spans="2:24" x14ac:dyDescent="0.25">
      <c r="B208" s="14"/>
      <c r="C208" s="14"/>
      <c r="H208" s="14"/>
      <c r="L208" s="13"/>
      <c r="M208" s="16"/>
      <c r="N208" s="16"/>
      <c r="O208" s="16"/>
      <c r="Q208" s="13"/>
      <c r="R208" s="16"/>
      <c r="S208" s="16"/>
      <c r="T208" s="16"/>
      <c r="V208" s="13"/>
      <c r="W208" s="86"/>
      <c r="X208" s="11"/>
    </row>
    <row r="209" spans="2:24" x14ac:dyDescent="0.25">
      <c r="B209" s="14"/>
      <c r="C209" s="14"/>
      <c r="H209" s="14"/>
      <c r="L209" s="13"/>
      <c r="M209" s="16"/>
      <c r="N209" s="16"/>
      <c r="O209" s="16"/>
      <c r="Q209" s="13"/>
      <c r="R209" s="16"/>
      <c r="S209" s="16"/>
      <c r="T209" s="16"/>
      <c r="V209" s="13"/>
      <c r="W209" s="86"/>
      <c r="X209" s="11"/>
    </row>
    <row r="210" spans="2:24" x14ac:dyDescent="0.25">
      <c r="B210" s="14"/>
      <c r="C210" s="14"/>
      <c r="H210" s="14"/>
      <c r="L210" s="13"/>
      <c r="M210" s="16"/>
      <c r="N210" s="16"/>
      <c r="O210" s="16"/>
      <c r="Q210" s="13"/>
      <c r="R210" s="16"/>
      <c r="S210" s="16"/>
      <c r="T210" s="16"/>
      <c r="V210" s="13"/>
      <c r="W210" s="86"/>
      <c r="X210" s="11"/>
    </row>
    <row r="211" spans="2:24" x14ac:dyDescent="0.25">
      <c r="B211" s="14"/>
      <c r="C211" s="14"/>
      <c r="H211" s="14"/>
      <c r="L211" s="13"/>
      <c r="M211" s="16"/>
      <c r="N211" s="16"/>
      <c r="O211" s="16"/>
      <c r="Q211" s="13"/>
      <c r="R211" s="16"/>
      <c r="S211" s="16"/>
      <c r="T211" s="16"/>
      <c r="V211" s="13"/>
      <c r="W211" s="86"/>
      <c r="X211" s="11"/>
    </row>
    <row r="212" spans="2:24" x14ac:dyDescent="0.25">
      <c r="B212" s="14"/>
      <c r="C212" s="14"/>
      <c r="H212" s="14"/>
      <c r="L212" s="13"/>
      <c r="M212" s="16"/>
      <c r="N212" s="16"/>
      <c r="O212" s="16"/>
      <c r="Q212" s="13"/>
      <c r="R212" s="16"/>
      <c r="S212" s="16"/>
      <c r="T212" s="16"/>
      <c r="V212" s="13"/>
      <c r="W212" s="86"/>
      <c r="X212" s="11"/>
    </row>
    <row r="213" spans="2:24" x14ac:dyDescent="0.25">
      <c r="B213" s="14"/>
      <c r="C213" s="14"/>
      <c r="H213" s="14"/>
      <c r="L213" s="13"/>
      <c r="M213" s="16"/>
      <c r="N213" s="16"/>
      <c r="O213" s="16"/>
      <c r="Q213" s="13"/>
      <c r="R213" s="16"/>
      <c r="S213" s="16"/>
      <c r="T213" s="16"/>
      <c r="V213" s="13"/>
      <c r="W213" s="86"/>
      <c r="X213" s="11"/>
    </row>
    <row r="214" spans="2:24" x14ac:dyDescent="0.25">
      <c r="B214" s="14"/>
      <c r="C214" s="14"/>
      <c r="H214" s="14"/>
      <c r="L214" s="13"/>
      <c r="M214" s="16"/>
      <c r="N214" s="16"/>
      <c r="O214" s="16"/>
      <c r="Q214" s="13"/>
      <c r="R214" s="16"/>
      <c r="S214" s="16"/>
      <c r="T214" s="16"/>
      <c r="V214" s="13"/>
      <c r="W214" s="86"/>
      <c r="X214" s="11"/>
    </row>
    <row r="215" spans="2:24" x14ac:dyDescent="0.25">
      <c r="B215" s="14"/>
      <c r="C215" s="14"/>
      <c r="H215" s="14"/>
      <c r="L215" s="13"/>
      <c r="M215" s="16"/>
      <c r="N215" s="16"/>
      <c r="O215" s="16"/>
      <c r="Q215" s="13"/>
      <c r="R215" s="16"/>
      <c r="S215" s="16"/>
      <c r="T215" s="16"/>
      <c r="V215" s="13"/>
      <c r="W215" s="86"/>
      <c r="X215" s="11"/>
    </row>
    <row r="216" spans="2:24" x14ac:dyDescent="0.25">
      <c r="B216" s="14"/>
      <c r="C216" s="14"/>
      <c r="H216" s="14"/>
      <c r="L216" s="13"/>
      <c r="M216" s="16"/>
      <c r="N216" s="16"/>
      <c r="O216" s="16"/>
      <c r="Q216" s="13"/>
      <c r="R216" s="16"/>
      <c r="S216" s="16"/>
      <c r="T216" s="16"/>
      <c r="V216" s="13"/>
      <c r="W216" s="86"/>
      <c r="X216" s="11"/>
    </row>
    <row r="217" spans="2:24" x14ac:dyDescent="0.25">
      <c r="B217" s="14"/>
      <c r="C217" s="14"/>
      <c r="H217" s="14"/>
      <c r="L217" s="13"/>
      <c r="M217" s="16"/>
      <c r="N217" s="16"/>
      <c r="O217" s="16"/>
      <c r="Q217" s="13"/>
      <c r="R217" s="16"/>
      <c r="S217" s="16"/>
      <c r="T217" s="16"/>
      <c r="V217" s="13"/>
      <c r="W217" s="86"/>
      <c r="X217" s="11"/>
    </row>
    <row r="218" spans="2:24" x14ac:dyDescent="0.25">
      <c r="B218" s="14"/>
      <c r="C218" s="14"/>
      <c r="H218" s="14"/>
      <c r="L218" s="13"/>
      <c r="M218" s="16"/>
      <c r="N218" s="16"/>
      <c r="O218" s="16"/>
      <c r="Q218" s="13"/>
      <c r="R218" s="16"/>
      <c r="S218" s="16"/>
      <c r="T218" s="16"/>
      <c r="V218" s="13"/>
      <c r="W218" s="86"/>
      <c r="X218" s="11"/>
    </row>
    <row r="219" spans="2:24" x14ac:dyDescent="0.25">
      <c r="B219" s="14"/>
      <c r="C219" s="14"/>
      <c r="H219" s="14"/>
      <c r="L219" s="13"/>
      <c r="M219" s="16"/>
      <c r="N219" s="16"/>
      <c r="O219" s="16"/>
      <c r="Q219" s="13"/>
      <c r="R219" s="16"/>
      <c r="S219" s="16"/>
      <c r="T219" s="16"/>
      <c r="V219" s="13"/>
      <c r="W219" s="86"/>
      <c r="X219" s="11"/>
    </row>
    <row r="220" spans="2:24" x14ac:dyDescent="0.25">
      <c r="B220" s="14"/>
      <c r="C220" s="14"/>
      <c r="H220" s="14"/>
      <c r="L220" s="13"/>
      <c r="M220" s="16"/>
      <c r="N220" s="16"/>
      <c r="O220" s="16"/>
      <c r="Q220" s="13"/>
      <c r="R220" s="16"/>
      <c r="S220" s="16"/>
      <c r="T220" s="16"/>
      <c r="V220" s="13"/>
      <c r="W220" s="86"/>
      <c r="X220" s="11"/>
    </row>
    <row r="221" spans="2:24" x14ac:dyDescent="0.25">
      <c r="B221" s="14"/>
      <c r="C221" s="14"/>
      <c r="H221" s="14"/>
      <c r="L221" s="13"/>
      <c r="M221" s="16"/>
      <c r="N221" s="16"/>
      <c r="O221" s="16"/>
      <c r="Q221" s="13"/>
      <c r="R221" s="16"/>
      <c r="S221" s="16"/>
      <c r="T221" s="16"/>
      <c r="V221" s="13"/>
      <c r="W221" s="86"/>
      <c r="X221" s="11"/>
    </row>
    <row r="222" spans="2:24" x14ac:dyDescent="0.25">
      <c r="B222" s="14"/>
      <c r="C222" s="14"/>
      <c r="H222" s="14"/>
      <c r="L222" s="13"/>
      <c r="M222" s="16"/>
      <c r="N222" s="16"/>
      <c r="O222" s="16"/>
      <c r="Q222" s="13"/>
      <c r="R222" s="16"/>
      <c r="S222" s="16"/>
      <c r="T222" s="16"/>
      <c r="V222" s="13"/>
      <c r="W222" s="86"/>
      <c r="X222" s="11"/>
    </row>
    <row r="223" spans="2:24" x14ac:dyDescent="0.25">
      <c r="B223" s="14"/>
      <c r="C223" s="14"/>
      <c r="H223" s="14"/>
      <c r="L223" s="13"/>
      <c r="M223" s="16"/>
      <c r="N223" s="16"/>
      <c r="O223" s="16"/>
      <c r="Q223" s="13"/>
      <c r="R223" s="16"/>
      <c r="S223" s="16"/>
      <c r="T223" s="16"/>
      <c r="V223" s="13"/>
      <c r="W223" s="86"/>
      <c r="X223" s="11"/>
    </row>
    <row r="224" spans="2:24" x14ac:dyDescent="0.25">
      <c r="B224" s="14"/>
      <c r="C224" s="14"/>
      <c r="H224" s="14"/>
      <c r="L224" s="13"/>
      <c r="M224" s="16"/>
      <c r="N224" s="16"/>
      <c r="O224" s="16"/>
      <c r="Q224" s="13"/>
      <c r="R224" s="16"/>
      <c r="S224" s="16"/>
      <c r="T224" s="16"/>
      <c r="V224" s="13"/>
      <c r="W224" s="86"/>
      <c r="X224" s="11"/>
    </row>
    <row r="225" spans="2:24" x14ac:dyDescent="0.25">
      <c r="B225" s="14"/>
      <c r="C225" s="14"/>
      <c r="H225" s="14"/>
      <c r="L225" s="13"/>
      <c r="M225" s="16"/>
      <c r="N225" s="16"/>
      <c r="O225" s="16"/>
      <c r="Q225" s="13"/>
      <c r="R225" s="16"/>
      <c r="S225" s="16"/>
      <c r="T225" s="16"/>
      <c r="V225" s="13"/>
      <c r="W225" s="86"/>
      <c r="X225" s="11"/>
    </row>
    <row r="226" spans="2:24" x14ac:dyDescent="0.25">
      <c r="B226" s="14"/>
      <c r="C226" s="14"/>
      <c r="H226" s="14"/>
      <c r="L226" s="13"/>
      <c r="M226" s="16"/>
      <c r="N226" s="16"/>
      <c r="O226" s="16"/>
      <c r="Q226" s="14"/>
      <c r="R226" s="15"/>
      <c r="S226" s="15"/>
      <c r="T226" s="15"/>
      <c r="V226" s="13"/>
      <c r="W226" s="86"/>
      <c r="X226" s="11"/>
    </row>
    <row r="227" spans="2:24" x14ac:dyDescent="0.25">
      <c r="B227" s="14"/>
      <c r="C227" s="14"/>
      <c r="H227" s="14"/>
      <c r="L227" s="13"/>
      <c r="M227" s="16"/>
      <c r="N227" s="16"/>
      <c r="O227" s="16"/>
      <c r="Q227" s="14"/>
      <c r="R227" s="15"/>
      <c r="S227" s="15"/>
      <c r="T227" s="15"/>
      <c r="V227" s="13"/>
      <c r="W227" s="86"/>
      <c r="X227" s="11"/>
    </row>
    <row r="228" spans="2:24" x14ac:dyDescent="0.25">
      <c r="B228" s="14"/>
      <c r="C228" s="14"/>
      <c r="H228" s="14"/>
      <c r="L228" s="13"/>
      <c r="M228" s="16"/>
      <c r="N228" s="16"/>
      <c r="O228" s="16"/>
      <c r="Q228" s="14"/>
      <c r="R228" s="15"/>
      <c r="S228" s="15"/>
      <c r="T228" s="15"/>
      <c r="V228" s="13"/>
      <c r="W228" s="86"/>
      <c r="X228" s="11"/>
    </row>
    <row r="229" spans="2:24" x14ac:dyDescent="0.25">
      <c r="B229" s="14"/>
      <c r="C229" s="14"/>
      <c r="H229" s="14"/>
      <c r="L229" s="13"/>
      <c r="M229" s="16"/>
      <c r="N229" s="16"/>
      <c r="O229" s="16"/>
      <c r="Q229" s="14"/>
      <c r="R229" s="15"/>
      <c r="S229" s="15"/>
      <c r="T229" s="15"/>
      <c r="V229" s="13"/>
      <c r="W229" s="86"/>
      <c r="X229" s="11"/>
    </row>
    <row r="230" spans="2:24" x14ac:dyDescent="0.25">
      <c r="B230" s="14"/>
      <c r="C230" s="14"/>
      <c r="H230" s="14"/>
      <c r="L230" s="13"/>
      <c r="M230" s="16"/>
      <c r="N230" s="16"/>
      <c r="O230" s="16"/>
      <c r="Q230" s="14"/>
      <c r="R230" s="15"/>
      <c r="S230" s="15"/>
      <c r="T230" s="15"/>
      <c r="V230" s="13"/>
      <c r="W230" s="86"/>
      <c r="X230" s="11"/>
    </row>
    <row r="231" spans="2:24" x14ac:dyDescent="0.25">
      <c r="B231" s="14"/>
      <c r="C231" s="14"/>
      <c r="H231" s="14"/>
      <c r="L231" s="13"/>
      <c r="M231" s="16"/>
      <c r="N231" s="16"/>
      <c r="O231" s="16"/>
      <c r="Q231" s="14"/>
      <c r="R231" s="15"/>
      <c r="S231" s="15"/>
      <c r="T231" s="15"/>
      <c r="V231" s="13"/>
      <c r="W231" s="86"/>
      <c r="X231" s="11"/>
    </row>
    <row r="232" spans="2:24" x14ac:dyDescent="0.25">
      <c r="B232" s="14"/>
      <c r="C232" s="14"/>
      <c r="H232" s="14"/>
      <c r="L232" s="13"/>
      <c r="M232" s="16"/>
      <c r="N232" s="16"/>
      <c r="O232" s="16"/>
      <c r="Q232" s="14"/>
      <c r="R232" s="15"/>
      <c r="S232" s="15"/>
      <c r="T232" s="15"/>
      <c r="V232" s="13"/>
      <c r="W232" s="86"/>
      <c r="X232" s="11"/>
    </row>
    <row r="233" spans="2:24" x14ac:dyDescent="0.25">
      <c r="B233" s="14"/>
      <c r="C233" s="14"/>
      <c r="H233" s="14"/>
      <c r="L233" s="13"/>
      <c r="M233" s="16"/>
      <c r="N233" s="16"/>
      <c r="O233" s="16"/>
      <c r="Q233" s="14"/>
      <c r="R233" s="15"/>
      <c r="S233" s="15"/>
      <c r="T233" s="15"/>
      <c r="V233" s="13"/>
      <c r="W233" s="86"/>
      <c r="X233" s="11"/>
    </row>
    <row r="234" spans="2:24" x14ac:dyDescent="0.25">
      <c r="B234" s="14"/>
      <c r="C234" s="14"/>
      <c r="H234" s="14"/>
      <c r="L234" s="13"/>
      <c r="M234" s="16"/>
      <c r="N234" s="16"/>
      <c r="O234" s="16"/>
      <c r="Q234" s="14"/>
      <c r="R234" s="15"/>
      <c r="S234" s="15"/>
      <c r="T234" s="15"/>
      <c r="V234" s="13"/>
      <c r="W234" s="86"/>
      <c r="X234" s="11"/>
    </row>
    <row r="235" spans="2:24" x14ac:dyDescent="0.25">
      <c r="B235" s="14"/>
      <c r="C235" s="14"/>
      <c r="H235" s="14"/>
      <c r="L235" s="13"/>
      <c r="M235" s="16"/>
      <c r="N235" s="16"/>
      <c r="O235" s="16"/>
      <c r="Q235" s="14"/>
      <c r="R235" s="15"/>
      <c r="S235" s="15"/>
      <c r="T235" s="15"/>
      <c r="V235" s="13"/>
      <c r="W235" s="86"/>
      <c r="X235" s="11"/>
    </row>
    <row r="236" spans="2:24" x14ac:dyDescent="0.25">
      <c r="B236" s="14"/>
      <c r="C236" s="14"/>
      <c r="H236" s="14"/>
      <c r="L236" s="13"/>
      <c r="M236" s="16"/>
      <c r="N236" s="16"/>
      <c r="O236" s="16"/>
      <c r="Q236" s="14"/>
      <c r="R236" s="15"/>
      <c r="S236" s="15"/>
      <c r="T236" s="15"/>
      <c r="V236" s="13"/>
      <c r="W236" s="86"/>
      <c r="X236" s="11"/>
    </row>
    <row r="237" spans="2:24" x14ac:dyDescent="0.25">
      <c r="B237" s="14"/>
      <c r="C237" s="14"/>
      <c r="H237" s="14"/>
      <c r="L237" s="13"/>
      <c r="M237" s="16"/>
      <c r="N237" s="16"/>
      <c r="O237" s="16"/>
      <c r="Q237" s="14"/>
      <c r="R237" s="15"/>
      <c r="S237" s="15"/>
      <c r="T237" s="15"/>
      <c r="V237" s="13"/>
      <c r="W237" s="86"/>
      <c r="X237" s="11"/>
    </row>
    <row r="238" spans="2:24" x14ac:dyDescent="0.25">
      <c r="B238" s="14"/>
      <c r="C238" s="14"/>
      <c r="H238" s="14"/>
      <c r="L238" s="13"/>
      <c r="M238" s="16"/>
      <c r="N238" s="16"/>
      <c r="O238" s="16"/>
      <c r="Q238" s="14"/>
      <c r="R238" s="15"/>
      <c r="S238" s="15"/>
      <c r="T238" s="15"/>
      <c r="V238" s="13"/>
      <c r="W238" s="86"/>
      <c r="X238" s="11"/>
    </row>
    <row r="239" spans="2:24" x14ac:dyDescent="0.25">
      <c r="B239" s="14"/>
      <c r="C239" s="14"/>
      <c r="H239" s="14"/>
      <c r="L239" s="13"/>
      <c r="M239" s="16"/>
      <c r="N239" s="16"/>
      <c r="O239" s="16"/>
      <c r="Q239" s="14"/>
      <c r="R239" s="15"/>
      <c r="S239" s="15"/>
      <c r="T239" s="15"/>
      <c r="V239" s="13"/>
      <c r="W239" s="86"/>
      <c r="X239" s="11"/>
    </row>
    <row r="240" spans="2:24" x14ac:dyDescent="0.25">
      <c r="B240" s="14"/>
      <c r="C240" s="14"/>
      <c r="H240" s="14"/>
      <c r="L240" s="13"/>
      <c r="M240" s="16"/>
      <c r="N240" s="16"/>
      <c r="O240" s="16"/>
      <c r="Q240" s="14"/>
      <c r="R240" s="15"/>
      <c r="S240" s="15"/>
      <c r="T240" s="15"/>
      <c r="V240" s="13"/>
      <c r="W240" s="86"/>
      <c r="X240" s="11"/>
    </row>
    <row r="241" spans="2:24" x14ac:dyDescent="0.25">
      <c r="B241" s="14"/>
      <c r="C241" s="14"/>
      <c r="H241" s="14"/>
      <c r="L241" s="13"/>
      <c r="M241" s="16"/>
      <c r="N241" s="16"/>
      <c r="O241" s="16"/>
      <c r="Q241" s="14"/>
      <c r="R241" s="15"/>
      <c r="S241" s="15"/>
      <c r="T241" s="15"/>
      <c r="V241" s="13"/>
      <c r="W241" s="86"/>
      <c r="X241" s="11"/>
    </row>
    <row r="242" spans="2:24" x14ac:dyDescent="0.25">
      <c r="B242" s="14"/>
      <c r="C242" s="14"/>
      <c r="H242" s="14"/>
      <c r="L242" s="13"/>
      <c r="M242" s="16"/>
      <c r="N242" s="16"/>
      <c r="O242" s="16"/>
      <c r="Q242" s="14"/>
      <c r="R242" s="15"/>
      <c r="S242" s="15"/>
      <c r="T242" s="15"/>
      <c r="V242" s="13"/>
      <c r="W242" s="86"/>
      <c r="X242" s="11"/>
    </row>
    <row r="243" spans="2:24" x14ac:dyDescent="0.25">
      <c r="B243" s="14"/>
      <c r="C243" s="14"/>
      <c r="H243" s="14"/>
      <c r="L243" s="13"/>
      <c r="M243" s="16"/>
      <c r="N243" s="16"/>
      <c r="O243" s="16"/>
      <c r="Q243" s="14"/>
      <c r="R243" s="15"/>
      <c r="S243" s="15"/>
      <c r="T243" s="15"/>
      <c r="V243" s="13"/>
      <c r="W243" s="86"/>
      <c r="X243" s="11"/>
    </row>
    <row r="244" spans="2:24" x14ac:dyDescent="0.25">
      <c r="B244" s="14"/>
      <c r="C244" s="14"/>
      <c r="H244" s="14"/>
      <c r="L244" s="13"/>
      <c r="M244" s="16"/>
      <c r="N244" s="16"/>
      <c r="O244" s="16"/>
      <c r="Q244" s="14"/>
      <c r="R244" s="15"/>
      <c r="S244" s="15"/>
      <c r="T244" s="15"/>
      <c r="V244" s="13"/>
      <c r="W244" s="86"/>
      <c r="X244" s="11"/>
    </row>
    <row r="245" spans="2:24" x14ac:dyDescent="0.25">
      <c r="B245" s="14"/>
      <c r="C245" s="14"/>
      <c r="H245" s="14"/>
      <c r="L245" s="13"/>
      <c r="M245" s="16"/>
      <c r="N245" s="16"/>
      <c r="O245" s="16"/>
      <c r="Q245" s="14"/>
      <c r="R245" s="15"/>
      <c r="S245" s="15"/>
      <c r="T245" s="15"/>
      <c r="V245" s="13"/>
      <c r="W245" s="86"/>
      <c r="X245" s="11"/>
    </row>
    <row r="246" spans="2:24" x14ac:dyDescent="0.25">
      <c r="B246" s="14"/>
      <c r="C246" s="14"/>
      <c r="H246" s="14"/>
      <c r="L246" s="13"/>
      <c r="M246" s="16"/>
      <c r="N246" s="16"/>
      <c r="O246" s="16"/>
      <c r="Q246" s="14"/>
      <c r="R246" s="15"/>
      <c r="S246" s="15"/>
      <c r="T246" s="15"/>
      <c r="V246" s="13"/>
      <c r="W246" s="86"/>
      <c r="X246" s="11"/>
    </row>
    <row r="247" spans="2:24" x14ac:dyDescent="0.25">
      <c r="B247" s="14"/>
      <c r="C247" s="14"/>
      <c r="H247" s="14"/>
      <c r="L247" s="13"/>
      <c r="M247" s="13"/>
      <c r="N247" s="16"/>
      <c r="O247" s="13"/>
      <c r="Q247" s="14"/>
      <c r="R247" s="14"/>
      <c r="S247" s="15"/>
      <c r="T247" s="14"/>
      <c r="V247" s="13"/>
      <c r="W247" s="86"/>
      <c r="X247" s="11"/>
    </row>
    <row r="248" spans="2:24" x14ac:dyDescent="0.25">
      <c r="B248" s="14"/>
      <c r="C248" s="14"/>
      <c r="H248" s="14"/>
      <c r="L248" s="13"/>
      <c r="M248" s="13"/>
      <c r="N248" s="16"/>
      <c r="O248" s="13"/>
      <c r="Q248" s="14"/>
      <c r="R248" s="14"/>
      <c r="S248" s="15"/>
      <c r="T248" s="14"/>
      <c r="V248" s="13"/>
      <c r="W248" s="86"/>
      <c r="X248" s="11"/>
    </row>
    <row r="249" spans="2:24" x14ac:dyDescent="0.25">
      <c r="B249" s="14"/>
      <c r="C249" s="14"/>
      <c r="H249" s="14"/>
      <c r="L249" s="13"/>
      <c r="M249" s="13"/>
      <c r="N249" s="16"/>
      <c r="O249" s="13"/>
      <c r="Q249" s="14"/>
      <c r="R249" s="14"/>
      <c r="S249" s="15"/>
      <c r="T249" s="14"/>
      <c r="V249" s="13"/>
      <c r="W249" s="86"/>
      <c r="X249" s="11"/>
    </row>
    <row r="250" spans="2:24" x14ac:dyDescent="0.25">
      <c r="B250" s="14"/>
      <c r="C250" s="14"/>
      <c r="H250" s="14"/>
      <c r="L250" s="13"/>
      <c r="M250" s="13"/>
      <c r="N250" s="16"/>
      <c r="O250" s="13"/>
      <c r="Q250" s="14"/>
      <c r="R250" s="14"/>
      <c r="S250" s="15"/>
      <c r="T250" s="14"/>
      <c r="V250" s="13"/>
      <c r="W250" s="86"/>
      <c r="X250" s="11"/>
    </row>
    <row r="251" spans="2:24" x14ac:dyDescent="0.25">
      <c r="B251" s="14"/>
      <c r="C251" s="14"/>
      <c r="H251" s="14"/>
      <c r="L251" s="13"/>
      <c r="M251" s="13"/>
      <c r="N251" s="16"/>
      <c r="O251" s="13"/>
      <c r="Q251" s="14"/>
      <c r="R251" s="14"/>
      <c r="S251" s="15"/>
      <c r="T251" s="14"/>
      <c r="V251" s="13"/>
      <c r="W251" s="86"/>
      <c r="X251" s="11"/>
    </row>
    <row r="252" spans="2:24" x14ac:dyDescent="0.25">
      <c r="B252" s="14"/>
      <c r="C252" s="14"/>
      <c r="H252" s="14"/>
      <c r="L252" s="13"/>
      <c r="M252" s="13"/>
      <c r="N252" s="16"/>
      <c r="O252" s="13"/>
      <c r="Q252" s="14"/>
      <c r="R252" s="14"/>
      <c r="S252" s="15"/>
      <c r="T252" s="14"/>
      <c r="V252" s="13"/>
      <c r="W252" s="86"/>
      <c r="X252" s="11"/>
    </row>
    <row r="253" spans="2:24" x14ac:dyDescent="0.25">
      <c r="B253" s="14"/>
      <c r="C253" s="14"/>
      <c r="H253" s="14"/>
      <c r="L253" s="13"/>
      <c r="M253" s="13"/>
      <c r="N253" s="16"/>
      <c r="O253" s="13"/>
      <c r="Q253" s="14"/>
      <c r="R253" s="14"/>
      <c r="S253" s="15"/>
      <c r="T253" s="14"/>
      <c r="V253" s="13"/>
      <c r="W253" s="86"/>
      <c r="X253" s="11"/>
    </row>
    <row r="254" spans="2:24" x14ac:dyDescent="0.25">
      <c r="B254" s="14"/>
      <c r="C254" s="14"/>
      <c r="H254" s="14"/>
      <c r="L254" s="13"/>
      <c r="M254" s="13"/>
      <c r="N254" s="16"/>
      <c r="O254" s="13"/>
      <c r="Q254" s="14"/>
      <c r="R254" s="14"/>
      <c r="S254" s="15"/>
      <c r="T254" s="14"/>
      <c r="V254" s="13"/>
      <c r="W254" s="86"/>
      <c r="X254" s="11"/>
    </row>
    <row r="255" spans="2:24" x14ac:dyDescent="0.25">
      <c r="B255" s="14"/>
      <c r="C255" s="14"/>
      <c r="H255" s="14"/>
      <c r="L255" s="13"/>
      <c r="M255" s="13"/>
      <c r="N255" s="16"/>
      <c r="O255" s="13"/>
      <c r="Q255" s="14"/>
      <c r="R255" s="14"/>
      <c r="S255" s="15"/>
      <c r="T255" s="14"/>
      <c r="V255" s="13"/>
      <c r="W255" s="86"/>
      <c r="X255" s="11"/>
    </row>
    <row r="256" spans="2:24" x14ac:dyDescent="0.25">
      <c r="B256" s="14"/>
      <c r="C256" s="14"/>
      <c r="H256" s="14"/>
      <c r="L256" s="13"/>
      <c r="M256" s="13"/>
      <c r="N256" s="16"/>
      <c r="O256" s="13"/>
      <c r="Q256" s="14"/>
      <c r="R256" s="14"/>
      <c r="S256" s="15"/>
      <c r="T256" s="14"/>
      <c r="V256" s="13"/>
      <c r="W256" s="86"/>
      <c r="X256" s="11"/>
    </row>
    <row r="257" spans="2:24" x14ac:dyDescent="0.25">
      <c r="B257" s="14"/>
      <c r="C257" s="14"/>
      <c r="H257" s="14"/>
      <c r="L257" s="13"/>
      <c r="M257" s="13"/>
      <c r="N257" s="16"/>
      <c r="O257" s="13"/>
      <c r="Q257" s="14"/>
      <c r="R257" s="14"/>
      <c r="S257" s="15"/>
      <c r="T257" s="14"/>
      <c r="V257" s="13"/>
      <c r="W257" s="86"/>
      <c r="X257" s="11"/>
    </row>
    <row r="258" spans="2:24" x14ac:dyDescent="0.25">
      <c r="B258" s="14"/>
      <c r="C258" s="14"/>
      <c r="H258" s="14"/>
      <c r="L258" s="13"/>
      <c r="M258" s="13"/>
      <c r="N258" s="16"/>
      <c r="O258" s="13"/>
      <c r="Q258" s="14"/>
      <c r="R258" s="14"/>
      <c r="S258" s="15"/>
      <c r="T258" s="14"/>
      <c r="V258" s="13"/>
      <c r="W258" s="86"/>
      <c r="X258" s="11"/>
    </row>
    <row r="259" spans="2:24" x14ac:dyDescent="0.25">
      <c r="B259" s="14"/>
      <c r="C259" s="14"/>
      <c r="H259" s="14"/>
      <c r="L259" s="13"/>
      <c r="M259" s="13"/>
      <c r="N259" s="16"/>
      <c r="O259" s="13"/>
      <c r="Q259" s="14"/>
      <c r="R259" s="14"/>
      <c r="S259" s="15"/>
      <c r="T259" s="14"/>
      <c r="V259" s="13"/>
      <c r="W259" s="86"/>
      <c r="X259" s="11"/>
    </row>
    <row r="260" spans="2:24" x14ac:dyDescent="0.25">
      <c r="B260" s="14"/>
      <c r="C260" s="14"/>
      <c r="H260" s="14"/>
      <c r="L260" s="13"/>
      <c r="M260" s="13"/>
      <c r="N260" s="16"/>
      <c r="O260" s="13"/>
      <c r="Q260" s="14"/>
      <c r="R260" s="14"/>
      <c r="S260" s="15"/>
      <c r="T260" s="14"/>
      <c r="V260" s="13"/>
      <c r="W260" s="86"/>
      <c r="X260" s="11"/>
    </row>
    <row r="261" spans="2:24" x14ac:dyDescent="0.25">
      <c r="B261" s="14"/>
      <c r="C261" s="14"/>
      <c r="H261" s="14"/>
      <c r="L261" s="13"/>
      <c r="M261" s="13"/>
      <c r="N261" s="16"/>
      <c r="O261" s="13"/>
      <c r="Q261" s="14"/>
      <c r="R261" s="14"/>
      <c r="S261" s="15"/>
      <c r="T261" s="14"/>
      <c r="V261" s="13"/>
      <c r="W261" s="86"/>
      <c r="X261" s="11"/>
    </row>
    <row r="262" spans="2:24" x14ac:dyDescent="0.25">
      <c r="B262" s="14"/>
      <c r="C262" s="14"/>
      <c r="H262" s="14"/>
      <c r="L262" s="13"/>
      <c r="M262" s="13"/>
      <c r="N262" s="16"/>
      <c r="O262" s="13"/>
      <c r="Q262" s="14"/>
      <c r="R262" s="14"/>
      <c r="S262" s="15"/>
      <c r="T262" s="14"/>
      <c r="V262" s="13"/>
      <c r="W262" s="86"/>
      <c r="X262" s="11"/>
    </row>
    <row r="263" spans="2:24" x14ac:dyDescent="0.25">
      <c r="B263" s="14"/>
      <c r="C263" s="14"/>
      <c r="H263" s="14"/>
      <c r="L263" s="13"/>
      <c r="M263" s="13"/>
      <c r="N263" s="16"/>
      <c r="O263" s="13"/>
      <c r="Q263" s="14"/>
      <c r="R263" s="14"/>
      <c r="S263" s="15"/>
      <c r="T263" s="14"/>
      <c r="V263" s="13"/>
      <c r="W263" s="86"/>
      <c r="X263" s="11"/>
    </row>
    <row r="264" spans="2:24" x14ac:dyDescent="0.25">
      <c r="B264" s="14"/>
      <c r="C264" s="14"/>
      <c r="H264" s="14"/>
      <c r="L264" s="13"/>
      <c r="M264" s="13"/>
      <c r="N264" s="16"/>
      <c r="O264" s="13"/>
      <c r="Q264" s="14"/>
      <c r="R264" s="14"/>
      <c r="S264" s="15"/>
      <c r="T264" s="14"/>
      <c r="V264" s="13"/>
      <c r="W264" s="86"/>
      <c r="X264" s="11"/>
    </row>
    <row r="265" spans="2:24" x14ac:dyDescent="0.25">
      <c r="B265" s="14"/>
      <c r="C265" s="14"/>
      <c r="H265" s="14"/>
      <c r="L265" s="13"/>
      <c r="M265" s="13"/>
      <c r="N265" s="16"/>
      <c r="O265" s="13"/>
      <c r="Q265" s="14"/>
      <c r="R265" s="14"/>
      <c r="S265" s="15"/>
      <c r="T265" s="14"/>
      <c r="V265" s="13"/>
      <c r="W265" s="86"/>
      <c r="X265" s="11"/>
    </row>
    <row r="266" spans="2:24" x14ac:dyDescent="0.25">
      <c r="B266" s="14"/>
      <c r="C266" s="14"/>
      <c r="H266" s="14"/>
      <c r="L266" s="13"/>
      <c r="M266" s="13"/>
      <c r="N266" s="16"/>
      <c r="O266" s="13"/>
      <c r="Q266" s="14"/>
      <c r="R266" s="14"/>
      <c r="S266" s="15"/>
      <c r="T266" s="14"/>
      <c r="V266" s="13"/>
      <c r="W266" s="86"/>
      <c r="X266" s="11"/>
    </row>
    <row r="267" spans="2:24" x14ac:dyDescent="0.25">
      <c r="B267" s="14"/>
      <c r="C267" s="14"/>
      <c r="H267" s="14"/>
      <c r="L267" s="13"/>
      <c r="M267" s="13"/>
      <c r="N267" s="16"/>
      <c r="O267" s="13"/>
      <c r="Q267" s="14"/>
      <c r="R267" s="14"/>
      <c r="S267" s="15"/>
      <c r="T267" s="14"/>
      <c r="V267" s="13"/>
      <c r="W267" s="86"/>
      <c r="X267" s="11"/>
    </row>
    <row r="268" spans="2:24" x14ac:dyDescent="0.25">
      <c r="B268" s="14"/>
      <c r="C268" s="14"/>
      <c r="H268" s="14"/>
      <c r="L268" s="13"/>
      <c r="M268" s="13"/>
      <c r="N268" s="16"/>
      <c r="O268" s="13"/>
      <c r="Q268" s="14"/>
      <c r="R268" s="14"/>
      <c r="S268" s="15"/>
      <c r="T268" s="14"/>
      <c r="V268" s="13"/>
      <c r="W268" s="86"/>
      <c r="X268" s="11"/>
    </row>
    <row r="269" spans="2:24" x14ac:dyDescent="0.25">
      <c r="B269" s="14"/>
      <c r="C269" s="14"/>
      <c r="H269" s="14"/>
      <c r="L269" s="13"/>
      <c r="M269" s="13"/>
      <c r="N269" s="16"/>
      <c r="O269" s="13"/>
      <c r="Q269" s="14"/>
      <c r="R269" s="14"/>
      <c r="S269" s="15"/>
      <c r="T269" s="14"/>
      <c r="V269" s="13"/>
      <c r="W269" s="86"/>
      <c r="X269" s="11"/>
    </row>
    <row r="270" spans="2:24" x14ac:dyDescent="0.25">
      <c r="B270" s="14"/>
      <c r="C270" s="14"/>
      <c r="H270" s="14"/>
      <c r="L270" s="13"/>
      <c r="M270" s="13"/>
      <c r="N270" s="16"/>
      <c r="O270" s="13"/>
      <c r="Q270" s="14"/>
      <c r="R270" s="14"/>
      <c r="S270" s="15"/>
      <c r="T270" s="14"/>
      <c r="V270" s="13"/>
      <c r="W270" s="86"/>
      <c r="X270" s="11"/>
    </row>
    <row r="271" spans="2:24" x14ac:dyDescent="0.25">
      <c r="B271" s="14"/>
      <c r="C271" s="14"/>
      <c r="H271" s="14"/>
      <c r="L271" s="13"/>
      <c r="M271" s="13"/>
      <c r="N271" s="16"/>
      <c r="O271" s="13"/>
      <c r="Q271" s="14"/>
      <c r="R271" s="14"/>
      <c r="S271" s="15"/>
      <c r="T271" s="14"/>
      <c r="V271" s="13"/>
      <c r="W271" s="86"/>
      <c r="X271" s="11"/>
    </row>
    <row r="272" spans="2:24" x14ac:dyDescent="0.25">
      <c r="B272" s="14"/>
      <c r="C272" s="14"/>
      <c r="H272" s="14"/>
      <c r="L272" s="13"/>
      <c r="M272" s="13"/>
      <c r="N272" s="16"/>
      <c r="O272" s="13"/>
      <c r="Q272" s="14"/>
      <c r="R272" s="14"/>
      <c r="S272" s="15"/>
      <c r="T272" s="14"/>
      <c r="V272" s="13"/>
      <c r="W272" s="86"/>
      <c r="X272" s="11"/>
    </row>
    <row r="273" spans="2:24" x14ac:dyDescent="0.25">
      <c r="B273" s="14"/>
      <c r="C273" s="14"/>
      <c r="H273" s="14"/>
      <c r="L273" s="13"/>
      <c r="M273" s="13"/>
      <c r="N273" s="16"/>
      <c r="O273" s="13"/>
      <c r="Q273" s="14"/>
      <c r="R273" s="14"/>
      <c r="S273" s="15"/>
      <c r="T273" s="14"/>
      <c r="V273" s="13"/>
      <c r="W273" s="86"/>
      <c r="X273" s="11"/>
    </row>
    <row r="274" spans="2:24" x14ac:dyDescent="0.25">
      <c r="B274" s="14"/>
      <c r="C274" s="14"/>
      <c r="H274" s="14"/>
      <c r="L274" s="13"/>
      <c r="M274" s="13"/>
      <c r="N274" s="16"/>
      <c r="O274" s="13"/>
      <c r="Q274" s="14"/>
      <c r="R274" s="14"/>
      <c r="S274" s="15"/>
      <c r="T274" s="14"/>
      <c r="V274" s="13"/>
      <c r="W274" s="86"/>
      <c r="X274" s="11"/>
    </row>
    <row r="275" spans="2:24" x14ac:dyDescent="0.25">
      <c r="B275" s="14"/>
      <c r="C275" s="14"/>
      <c r="H275" s="14"/>
      <c r="L275" s="13"/>
      <c r="M275" s="13"/>
      <c r="N275" s="16"/>
      <c r="O275" s="13"/>
      <c r="Q275" s="14"/>
      <c r="R275" s="14"/>
      <c r="S275" s="15"/>
      <c r="T275" s="14"/>
      <c r="V275" s="13"/>
      <c r="W275" s="86"/>
      <c r="X275" s="11"/>
    </row>
    <row r="276" spans="2:24" x14ac:dyDescent="0.25">
      <c r="B276" s="14"/>
      <c r="C276" s="14"/>
      <c r="H276" s="14"/>
      <c r="L276" s="13"/>
      <c r="M276" s="13"/>
      <c r="N276" s="16"/>
      <c r="O276" s="13"/>
      <c r="Q276" s="14"/>
      <c r="R276" s="14"/>
      <c r="S276" s="15"/>
      <c r="T276" s="14"/>
      <c r="V276" s="13"/>
      <c r="W276" s="86"/>
      <c r="X276" s="11"/>
    </row>
    <row r="277" spans="2:24" x14ac:dyDescent="0.25">
      <c r="B277" s="14"/>
      <c r="C277" s="14"/>
      <c r="H277" s="14"/>
      <c r="L277" s="13"/>
      <c r="M277" s="13"/>
      <c r="N277" s="16"/>
      <c r="O277" s="13"/>
      <c r="Q277" s="14"/>
      <c r="R277" s="14"/>
      <c r="S277" s="15"/>
      <c r="T277" s="14"/>
      <c r="V277" s="13"/>
      <c r="W277" s="86"/>
      <c r="X277" s="11"/>
    </row>
    <row r="278" spans="2:24" x14ac:dyDescent="0.25">
      <c r="B278" s="14"/>
      <c r="C278" s="14"/>
      <c r="H278" s="14"/>
      <c r="L278" s="13"/>
      <c r="M278" s="13"/>
      <c r="N278" s="16"/>
      <c r="O278" s="13"/>
      <c r="Q278" s="14"/>
      <c r="R278" s="14"/>
      <c r="S278" s="15"/>
      <c r="T278" s="14"/>
      <c r="V278" s="13"/>
      <c r="W278" s="86"/>
      <c r="X278" s="11"/>
    </row>
    <row r="279" spans="2:24" x14ac:dyDescent="0.25">
      <c r="B279" s="14"/>
      <c r="C279" s="14"/>
      <c r="H279" s="14"/>
      <c r="L279" s="13"/>
      <c r="M279" s="13"/>
      <c r="N279" s="16"/>
      <c r="O279" s="13"/>
      <c r="Q279" s="14"/>
      <c r="R279" s="14"/>
      <c r="S279" s="15"/>
      <c r="T279" s="14"/>
      <c r="V279" s="13"/>
      <c r="W279" s="86"/>
      <c r="X279" s="11"/>
    </row>
    <row r="280" spans="2:24" x14ac:dyDescent="0.25">
      <c r="B280" s="14"/>
      <c r="C280" s="14"/>
      <c r="H280" s="14"/>
      <c r="L280" s="13"/>
      <c r="M280" s="13"/>
      <c r="N280" s="16"/>
      <c r="O280" s="13"/>
      <c r="Q280" s="14"/>
      <c r="R280" s="14"/>
      <c r="S280" s="15"/>
      <c r="T280" s="14"/>
      <c r="V280" s="13"/>
      <c r="W280" s="86"/>
      <c r="X280" s="11"/>
    </row>
    <row r="281" spans="2:24" x14ac:dyDescent="0.25">
      <c r="B281" s="14"/>
      <c r="C281" s="14"/>
      <c r="H281" s="14"/>
      <c r="L281" s="13"/>
      <c r="M281" s="13"/>
      <c r="N281" s="16"/>
      <c r="O281" s="13"/>
      <c r="Q281" s="14"/>
      <c r="R281" s="14"/>
      <c r="S281" s="15"/>
      <c r="T281" s="14"/>
      <c r="V281" s="13"/>
      <c r="W281" s="86"/>
      <c r="X281" s="11"/>
    </row>
    <row r="282" spans="2:24" x14ac:dyDescent="0.25">
      <c r="B282" s="14"/>
      <c r="C282" s="14"/>
      <c r="H282" s="14"/>
      <c r="L282" s="13"/>
      <c r="M282" s="13"/>
      <c r="N282" s="16"/>
      <c r="O282" s="13"/>
      <c r="Q282" s="14"/>
      <c r="R282" s="14"/>
      <c r="S282" s="15"/>
      <c r="T282" s="14"/>
      <c r="V282" s="13"/>
      <c r="W282" s="86"/>
      <c r="X282" s="11"/>
    </row>
    <row r="283" spans="2:24" x14ac:dyDescent="0.25">
      <c r="B283" s="14"/>
      <c r="C283" s="14"/>
      <c r="H283" s="14"/>
      <c r="L283" s="13"/>
      <c r="M283" s="13"/>
      <c r="N283" s="16"/>
      <c r="O283" s="13"/>
      <c r="Q283" s="14"/>
      <c r="R283" s="14"/>
      <c r="S283" s="15"/>
      <c r="T283" s="14"/>
      <c r="V283" s="13"/>
      <c r="W283" s="86"/>
      <c r="X283" s="11"/>
    </row>
    <row r="284" spans="2:24" x14ac:dyDescent="0.25">
      <c r="B284" s="14"/>
      <c r="C284" s="14"/>
      <c r="H284" s="14"/>
      <c r="L284" s="13"/>
      <c r="M284" s="13"/>
      <c r="N284" s="16"/>
      <c r="O284" s="13"/>
      <c r="Q284" s="14"/>
      <c r="R284" s="14"/>
      <c r="S284" s="15"/>
      <c r="T284" s="14"/>
      <c r="V284" s="13"/>
      <c r="W284" s="86"/>
      <c r="X284" s="11"/>
    </row>
    <row r="285" spans="2:24" x14ac:dyDescent="0.25">
      <c r="B285" s="14"/>
      <c r="C285" s="14"/>
      <c r="H285" s="14"/>
      <c r="L285" s="13"/>
      <c r="M285" s="13"/>
      <c r="N285" s="16"/>
      <c r="O285" s="13"/>
      <c r="Q285" s="14"/>
      <c r="R285" s="14"/>
      <c r="S285" s="15"/>
      <c r="T285" s="14"/>
      <c r="V285" s="13"/>
      <c r="W285" s="86"/>
      <c r="X285" s="11"/>
    </row>
    <row r="286" spans="2:24" x14ac:dyDescent="0.25">
      <c r="B286" s="14"/>
      <c r="C286" s="14"/>
      <c r="H286" s="14"/>
      <c r="L286" s="13"/>
      <c r="M286" s="13"/>
      <c r="N286" s="16"/>
      <c r="O286" s="13"/>
      <c r="Q286" s="14"/>
      <c r="R286" s="14"/>
      <c r="S286" s="15"/>
      <c r="T286" s="14"/>
      <c r="V286" s="13"/>
      <c r="W286" s="86"/>
      <c r="X286" s="11"/>
    </row>
    <row r="287" spans="2:24" x14ac:dyDescent="0.25">
      <c r="B287" s="14"/>
      <c r="C287" s="14"/>
      <c r="H287" s="14"/>
      <c r="L287" s="13"/>
      <c r="M287" s="13"/>
      <c r="N287" s="16"/>
      <c r="O287" s="13"/>
      <c r="Q287" s="14"/>
      <c r="R287" s="14"/>
      <c r="S287" s="15"/>
      <c r="T287" s="14"/>
      <c r="V287" s="13"/>
      <c r="W287" s="86"/>
      <c r="X287" s="11"/>
    </row>
    <row r="288" spans="2:24" x14ac:dyDescent="0.25">
      <c r="B288" s="14"/>
      <c r="C288" s="14"/>
      <c r="H288" s="14"/>
      <c r="L288" s="13"/>
      <c r="M288" s="13"/>
      <c r="N288" s="16"/>
      <c r="O288" s="13"/>
      <c r="Q288" s="14"/>
      <c r="R288" s="14"/>
      <c r="S288" s="15"/>
      <c r="T288" s="14"/>
      <c r="V288" s="13"/>
      <c r="W288" s="86"/>
      <c r="X288" s="11"/>
    </row>
    <row r="289" spans="2:24" x14ac:dyDescent="0.25">
      <c r="B289" s="14"/>
      <c r="C289" s="14"/>
      <c r="H289" s="14"/>
      <c r="L289" s="13"/>
      <c r="M289" s="13"/>
      <c r="N289" s="16"/>
      <c r="O289" s="13"/>
      <c r="Q289" s="14"/>
      <c r="R289" s="14"/>
      <c r="S289" s="15"/>
      <c r="T289" s="14"/>
      <c r="V289" s="13"/>
      <c r="W289" s="86"/>
      <c r="X289" s="11"/>
    </row>
    <row r="290" spans="2:24" x14ac:dyDescent="0.25">
      <c r="B290" s="14"/>
      <c r="C290" s="14"/>
      <c r="H290" s="14"/>
      <c r="L290" s="13"/>
      <c r="M290" s="13"/>
      <c r="N290" s="16"/>
      <c r="O290" s="13"/>
      <c r="Q290" s="14"/>
      <c r="R290" s="14"/>
      <c r="S290" s="15"/>
      <c r="T290" s="14"/>
      <c r="V290" s="13"/>
      <c r="W290" s="86"/>
      <c r="X290" s="11"/>
    </row>
    <row r="291" spans="2:24" x14ac:dyDescent="0.25">
      <c r="B291" s="14"/>
      <c r="C291" s="14"/>
      <c r="H291" s="14"/>
      <c r="L291" s="13"/>
      <c r="M291" s="13"/>
      <c r="N291" s="16"/>
      <c r="O291" s="13"/>
      <c r="Q291" s="14"/>
      <c r="R291" s="14"/>
      <c r="S291" s="15"/>
      <c r="T291" s="14"/>
      <c r="V291" s="13"/>
      <c r="W291" s="86"/>
      <c r="X291" s="11"/>
    </row>
    <row r="292" spans="2:24" x14ac:dyDescent="0.25">
      <c r="B292" s="14"/>
      <c r="C292" s="14"/>
      <c r="H292" s="14"/>
      <c r="L292" s="13"/>
      <c r="M292" s="13"/>
      <c r="N292" s="16"/>
      <c r="O292" s="13"/>
      <c r="Q292" s="14"/>
      <c r="R292" s="14"/>
      <c r="S292" s="15"/>
      <c r="T292" s="14"/>
      <c r="V292" s="12"/>
      <c r="W292" s="86"/>
      <c r="X292" s="11"/>
    </row>
    <row r="293" spans="2:24" x14ac:dyDescent="0.25">
      <c r="B293" s="14"/>
      <c r="C293" s="14"/>
      <c r="H293" s="14"/>
      <c r="L293" s="13"/>
      <c r="M293" s="13"/>
      <c r="N293" s="16"/>
      <c r="O293" s="13"/>
      <c r="Q293" s="14"/>
      <c r="R293" s="14"/>
      <c r="S293" s="15"/>
      <c r="T293" s="14"/>
      <c r="V293" s="12"/>
      <c r="W293" s="86"/>
      <c r="X293" s="11"/>
    </row>
    <row r="294" spans="2:24" x14ac:dyDescent="0.25">
      <c r="B294" s="14"/>
      <c r="C294" s="14"/>
      <c r="H294" s="14"/>
      <c r="L294" s="13"/>
      <c r="M294" s="13"/>
      <c r="N294" s="16"/>
      <c r="O294" s="13"/>
      <c r="Q294" s="14"/>
      <c r="R294" s="14"/>
      <c r="S294" s="15"/>
      <c r="T294" s="14"/>
      <c r="V294" s="12"/>
      <c r="W294" s="86"/>
      <c r="X294" s="11"/>
    </row>
    <row r="295" spans="2:24" x14ac:dyDescent="0.25">
      <c r="B295" s="14"/>
      <c r="C295" s="14"/>
      <c r="H295" s="14"/>
      <c r="L295" s="12"/>
      <c r="M295" s="13"/>
      <c r="N295" s="16"/>
      <c r="O295" s="13"/>
      <c r="R295" s="14"/>
      <c r="S295" s="15"/>
      <c r="T295" s="14"/>
      <c r="V295" s="12"/>
      <c r="W295" s="86"/>
      <c r="X295" s="11"/>
    </row>
    <row r="296" spans="2:24" x14ac:dyDescent="0.25">
      <c r="B296" s="14"/>
      <c r="C296" s="14"/>
      <c r="H296" s="14"/>
      <c r="L296" s="12"/>
      <c r="M296" s="13"/>
      <c r="N296" s="16"/>
      <c r="O296" s="13"/>
      <c r="R296" s="14"/>
      <c r="S296" s="15"/>
      <c r="T296" s="14"/>
      <c r="V296" s="12"/>
      <c r="W296" s="86"/>
      <c r="X296" s="11"/>
    </row>
    <row r="297" spans="2:24" x14ac:dyDescent="0.25">
      <c r="B297" s="14"/>
      <c r="C297" s="14"/>
      <c r="H297" s="14"/>
      <c r="L297" s="12"/>
      <c r="M297" s="13"/>
      <c r="N297" s="16"/>
      <c r="O297" s="13"/>
      <c r="R297" s="14"/>
      <c r="S297" s="15"/>
      <c r="T297" s="14"/>
      <c r="V297" s="12"/>
      <c r="W297" s="86"/>
      <c r="X297" s="11"/>
    </row>
    <row r="298" spans="2:24" x14ac:dyDescent="0.25">
      <c r="B298" s="14"/>
      <c r="C298" s="14"/>
      <c r="H298" s="14"/>
      <c r="L298" s="12"/>
      <c r="M298" s="13"/>
      <c r="N298" s="16"/>
      <c r="O298" s="13"/>
      <c r="R298" s="14"/>
      <c r="S298" s="15"/>
      <c r="T298" s="14"/>
      <c r="V298" s="12"/>
      <c r="W298" s="86"/>
      <c r="X298" s="11"/>
    </row>
    <row r="299" spans="2:24" x14ac:dyDescent="0.25">
      <c r="B299" s="14"/>
      <c r="C299" s="14"/>
      <c r="H299" s="14"/>
      <c r="L299" s="12"/>
      <c r="M299" s="13"/>
      <c r="N299" s="16"/>
      <c r="O299" s="13"/>
      <c r="R299" s="14"/>
      <c r="S299" s="15"/>
      <c r="T299" s="14"/>
      <c r="V299" s="12"/>
      <c r="W299" s="86"/>
      <c r="X299" s="11"/>
    </row>
    <row r="300" spans="2:24" x14ac:dyDescent="0.25">
      <c r="B300" s="14"/>
      <c r="C300" s="14"/>
      <c r="H300" s="14"/>
      <c r="L300" s="12"/>
      <c r="M300" s="13"/>
      <c r="N300" s="16"/>
      <c r="O300" s="13"/>
      <c r="R300" s="14"/>
      <c r="S300" s="15"/>
      <c r="T300" s="14"/>
      <c r="V300" s="12"/>
      <c r="W300" s="86"/>
      <c r="X300" s="11"/>
    </row>
    <row r="301" spans="2:24" x14ac:dyDescent="0.25">
      <c r="B301" s="14"/>
      <c r="C301" s="14"/>
      <c r="H301" s="14"/>
      <c r="L301" s="12"/>
      <c r="M301" s="13"/>
      <c r="N301" s="16"/>
      <c r="O301" s="13"/>
      <c r="R301" s="14"/>
      <c r="S301" s="15"/>
      <c r="T301" s="14"/>
      <c r="V301" s="12"/>
      <c r="W301" s="86"/>
      <c r="X301" s="11"/>
    </row>
    <row r="302" spans="2:24" x14ac:dyDescent="0.25">
      <c r="B302" s="14"/>
      <c r="C302" s="14"/>
      <c r="H302" s="14"/>
      <c r="L302" s="12"/>
      <c r="M302" s="13"/>
      <c r="N302" s="16"/>
      <c r="O302" s="13"/>
      <c r="R302" s="14"/>
      <c r="S302" s="15"/>
      <c r="T302" s="14"/>
      <c r="V302" s="12"/>
      <c r="W302" s="86"/>
      <c r="X302" s="11"/>
    </row>
    <row r="303" spans="2:24" x14ac:dyDescent="0.25">
      <c r="B303" s="14"/>
      <c r="C303" s="14"/>
      <c r="H303" s="14"/>
      <c r="L303" s="12"/>
      <c r="M303" s="13"/>
      <c r="N303" s="16"/>
      <c r="O303" s="13"/>
      <c r="R303" s="14"/>
      <c r="S303" s="15"/>
      <c r="T303" s="14"/>
      <c r="V303" s="12"/>
      <c r="W303" s="86"/>
      <c r="X303" s="11"/>
    </row>
    <row r="304" spans="2:24" x14ac:dyDescent="0.25">
      <c r="B304" s="14"/>
      <c r="C304" s="14"/>
      <c r="H304" s="14"/>
      <c r="L304" s="12"/>
      <c r="M304" s="13"/>
      <c r="N304" s="16"/>
      <c r="O304" s="13"/>
      <c r="R304" s="14"/>
      <c r="S304" s="15"/>
      <c r="T304" s="14"/>
      <c r="V304" s="12"/>
      <c r="W304" s="86"/>
      <c r="X304" s="11"/>
    </row>
    <row r="305" spans="2:24" x14ac:dyDescent="0.25">
      <c r="B305" s="14"/>
      <c r="C305" s="14"/>
      <c r="H305" s="14"/>
      <c r="L305" s="12"/>
      <c r="M305" s="13"/>
      <c r="N305" s="16"/>
      <c r="O305" s="13"/>
      <c r="R305" s="14"/>
      <c r="S305" s="15"/>
      <c r="T305" s="14"/>
      <c r="V305" s="12"/>
      <c r="W305" s="86"/>
      <c r="X305" s="11"/>
    </row>
    <row r="306" spans="2:24" x14ac:dyDescent="0.25">
      <c r="B306" s="14"/>
      <c r="C306" s="14"/>
      <c r="H306" s="14"/>
      <c r="L306" s="12"/>
      <c r="M306" s="13"/>
      <c r="N306" s="16"/>
      <c r="O306" s="13"/>
      <c r="R306" s="14"/>
      <c r="S306" s="15"/>
      <c r="T306" s="14"/>
      <c r="V306" s="12"/>
      <c r="W306" s="86"/>
      <c r="X306" s="11"/>
    </row>
    <row r="307" spans="2:24" x14ac:dyDescent="0.25">
      <c r="B307" s="14"/>
      <c r="C307" s="14"/>
      <c r="H307" s="14"/>
      <c r="L307" s="12"/>
      <c r="M307" s="13"/>
      <c r="N307" s="16"/>
      <c r="O307" s="13"/>
      <c r="R307" s="14"/>
      <c r="S307" s="15"/>
      <c r="T307" s="14"/>
      <c r="V307" s="12"/>
      <c r="W307" s="86"/>
      <c r="X307" s="11"/>
    </row>
    <row r="308" spans="2:24" x14ac:dyDescent="0.25">
      <c r="B308" s="14"/>
      <c r="C308" s="14"/>
      <c r="H308" s="14"/>
      <c r="L308" s="12"/>
      <c r="M308" s="13"/>
      <c r="N308" s="16"/>
      <c r="O308" s="13"/>
      <c r="R308" s="14"/>
      <c r="S308" s="15"/>
      <c r="T308" s="14"/>
      <c r="V308" s="12"/>
      <c r="W308" s="86"/>
      <c r="X308" s="11"/>
    </row>
    <row r="309" spans="2:24" x14ac:dyDescent="0.25">
      <c r="B309" s="14"/>
      <c r="C309" s="14"/>
      <c r="H309" s="14"/>
      <c r="L309" s="12"/>
      <c r="M309" s="13"/>
      <c r="N309" s="16"/>
      <c r="O309" s="13"/>
      <c r="R309" s="14"/>
      <c r="S309" s="15"/>
      <c r="T309" s="14"/>
      <c r="V309" s="12"/>
      <c r="W309" s="86"/>
      <c r="X309" s="11"/>
    </row>
    <row r="310" spans="2:24" x14ac:dyDescent="0.25">
      <c r="B310" s="14"/>
      <c r="C310" s="14"/>
      <c r="H310" s="14"/>
      <c r="L310" s="12"/>
      <c r="M310" s="13"/>
      <c r="N310" s="16"/>
      <c r="O310" s="13"/>
      <c r="R310" s="14"/>
      <c r="S310" s="15"/>
      <c r="T310" s="14"/>
      <c r="V310" s="12"/>
      <c r="W310" s="86"/>
      <c r="X310" s="11"/>
    </row>
    <row r="311" spans="2:24" x14ac:dyDescent="0.25">
      <c r="B311" s="14"/>
      <c r="C311" s="14"/>
      <c r="H311" s="14"/>
      <c r="L311" s="12"/>
      <c r="M311" s="13"/>
      <c r="N311" s="16"/>
      <c r="O311" s="13"/>
      <c r="R311" s="14"/>
      <c r="S311" s="15"/>
      <c r="T311" s="14"/>
      <c r="V311" s="12"/>
      <c r="W311" s="86"/>
      <c r="X311" s="11"/>
    </row>
    <row r="312" spans="2:24" x14ac:dyDescent="0.25">
      <c r="B312" s="14"/>
      <c r="C312" s="14"/>
      <c r="H312" s="14"/>
      <c r="L312" s="12"/>
      <c r="M312" s="13"/>
      <c r="N312" s="16"/>
      <c r="O312" s="13"/>
      <c r="R312" s="14"/>
      <c r="S312" s="15"/>
      <c r="T312" s="14"/>
      <c r="V312" s="12"/>
      <c r="W312" s="86"/>
      <c r="X312" s="11"/>
    </row>
    <row r="313" spans="2:24" x14ac:dyDescent="0.25">
      <c r="B313" s="14"/>
      <c r="C313" s="14"/>
      <c r="H313" s="14"/>
      <c r="L313" s="12"/>
      <c r="M313" s="13"/>
      <c r="N313" s="16"/>
      <c r="O313" s="13"/>
      <c r="R313" s="14"/>
      <c r="S313" s="15"/>
      <c r="T313" s="14"/>
      <c r="V313" s="12"/>
      <c r="W313" s="86"/>
      <c r="X313" s="11"/>
    </row>
    <row r="314" spans="2:24" x14ac:dyDescent="0.25">
      <c r="B314" s="14"/>
      <c r="C314" s="14"/>
      <c r="H314" s="14"/>
      <c r="L314" s="12"/>
      <c r="M314" s="13"/>
      <c r="N314" s="16"/>
      <c r="O314" s="13"/>
      <c r="R314" s="14"/>
      <c r="S314" s="15"/>
      <c r="T314" s="14"/>
      <c r="V314" s="12"/>
      <c r="W314" s="86"/>
      <c r="X314" s="11"/>
    </row>
    <row r="315" spans="2:24" x14ac:dyDescent="0.25">
      <c r="B315" s="14"/>
      <c r="C315" s="14"/>
      <c r="H315" s="14"/>
      <c r="L315" s="12"/>
      <c r="M315" s="13"/>
      <c r="N315" s="16"/>
      <c r="O315" s="13"/>
      <c r="R315" s="14"/>
      <c r="S315" s="15"/>
      <c r="T315" s="14"/>
      <c r="V315" s="12"/>
      <c r="W315" s="86"/>
      <c r="X315" s="11"/>
    </row>
    <row r="316" spans="2:24" x14ac:dyDescent="0.25">
      <c r="B316" s="14"/>
      <c r="C316" s="14"/>
      <c r="H316" s="14"/>
      <c r="L316" s="12"/>
      <c r="M316" s="13"/>
      <c r="N316" s="16"/>
      <c r="O316" s="13"/>
      <c r="R316" s="14"/>
      <c r="S316" s="15"/>
      <c r="T316" s="14"/>
      <c r="V316" s="12"/>
      <c r="W316" s="86"/>
      <c r="X316" s="11"/>
    </row>
    <row r="317" spans="2:24" x14ac:dyDescent="0.25">
      <c r="B317" s="14"/>
      <c r="C317" s="14"/>
      <c r="H317" s="14"/>
      <c r="L317" s="12"/>
      <c r="M317" s="13"/>
      <c r="N317" s="16"/>
      <c r="O317" s="13"/>
      <c r="R317" s="14"/>
      <c r="S317" s="15"/>
      <c r="T317" s="14"/>
      <c r="V317" s="12"/>
      <c r="W317" s="86"/>
      <c r="X317" s="11"/>
    </row>
    <row r="318" spans="2:24" x14ac:dyDescent="0.25">
      <c r="B318" s="14"/>
      <c r="C318" s="14"/>
      <c r="H318" s="14"/>
      <c r="L318" s="12"/>
      <c r="M318" s="13"/>
      <c r="N318" s="16"/>
      <c r="O318" s="13"/>
      <c r="R318" s="14"/>
      <c r="S318" s="15"/>
      <c r="T318" s="14"/>
      <c r="V318" s="12"/>
      <c r="W318" s="86"/>
      <c r="X318" s="11"/>
    </row>
    <row r="319" spans="2:24" x14ac:dyDescent="0.25">
      <c r="B319" s="14"/>
      <c r="C319" s="14"/>
      <c r="H319" s="14"/>
      <c r="L319" s="12"/>
      <c r="M319" s="13"/>
      <c r="N319" s="16"/>
      <c r="O319" s="13"/>
      <c r="R319" s="14"/>
      <c r="S319" s="15"/>
      <c r="T319" s="14"/>
      <c r="V319" s="12"/>
      <c r="W319" s="86"/>
      <c r="X319" s="11"/>
    </row>
    <row r="320" spans="2:24" x14ac:dyDescent="0.25">
      <c r="B320" s="14"/>
      <c r="C320" s="14"/>
      <c r="H320" s="14"/>
      <c r="L320" s="12"/>
      <c r="M320" s="13"/>
      <c r="N320" s="16"/>
      <c r="O320" s="13"/>
      <c r="R320" s="14"/>
      <c r="S320" s="15"/>
      <c r="T320" s="14"/>
      <c r="V320" s="12"/>
      <c r="W320" s="86"/>
      <c r="X320" s="11"/>
    </row>
    <row r="321" spans="2:24" x14ac:dyDescent="0.25">
      <c r="B321" s="14"/>
      <c r="C321" s="14"/>
      <c r="H321" s="14"/>
      <c r="L321" s="12"/>
      <c r="M321" s="13"/>
      <c r="N321" s="16"/>
      <c r="O321" s="13"/>
      <c r="R321" s="14"/>
      <c r="S321" s="15"/>
      <c r="T321" s="14"/>
      <c r="V321" s="12"/>
      <c r="W321" s="86"/>
      <c r="X321" s="11"/>
    </row>
    <row r="322" spans="2:24" x14ac:dyDescent="0.25">
      <c r="B322" s="14"/>
      <c r="C322" s="14"/>
      <c r="H322" s="14"/>
      <c r="L322" s="12"/>
      <c r="M322" s="13"/>
      <c r="N322" s="16"/>
      <c r="O322" s="13"/>
      <c r="R322" s="14"/>
      <c r="S322" s="15"/>
      <c r="T322" s="14"/>
      <c r="V322" s="12"/>
      <c r="W322" s="86"/>
      <c r="X322" s="11"/>
    </row>
    <row r="323" spans="2:24" x14ac:dyDescent="0.25">
      <c r="B323" s="14"/>
      <c r="C323" s="14"/>
      <c r="H323" s="14"/>
      <c r="L323" s="12"/>
      <c r="M323" s="13"/>
      <c r="N323" s="16"/>
      <c r="O323" s="13"/>
      <c r="R323" s="14"/>
      <c r="S323" s="15"/>
      <c r="T323" s="14"/>
      <c r="V323" s="12"/>
      <c r="W323" s="86"/>
      <c r="X323" s="11"/>
    </row>
    <row r="324" spans="2:24" x14ac:dyDescent="0.25">
      <c r="B324" s="14"/>
      <c r="C324" s="14"/>
      <c r="H324" s="14"/>
      <c r="L324" s="12"/>
      <c r="M324" s="13"/>
      <c r="N324" s="16"/>
      <c r="O324" s="13"/>
      <c r="R324" s="14"/>
      <c r="S324" s="15"/>
      <c r="T324" s="14"/>
      <c r="V324" s="12"/>
      <c r="W324" s="86"/>
      <c r="X324" s="11"/>
    </row>
    <row r="325" spans="2:24" x14ac:dyDescent="0.25">
      <c r="B325" s="14"/>
      <c r="C325" s="14"/>
      <c r="H325" s="14"/>
      <c r="L325" s="12"/>
      <c r="M325" s="13"/>
      <c r="N325" s="16"/>
      <c r="O325" s="13"/>
      <c r="R325" s="14"/>
      <c r="S325" s="15"/>
      <c r="T325" s="14"/>
      <c r="V325" s="12"/>
      <c r="W325" s="86"/>
      <c r="X325" s="11"/>
    </row>
    <row r="326" spans="2:24" x14ac:dyDescent="0.25">
      <c r="B326" s="14"/>
      <c r="C326" s="14"/>
      <c r="H326" s="14"/>
      <c r="L326" s="12"/>
      <c r="M326" s="13"/>
      <c r="N326" s="16"/>
      <c r="O326" s="13"/>
      <c r="R326" s="14"/>
      <c r="S326" s="15"/>
      <c r="T326" s="14"/>
      <c r="V326" s="12"/>
      <c r="W326" s="86"/>
      <c r="X326" s="11"/>
    </row>
    <row r="327" spans="2:24" x14ac:dyDescent="0.25">
      <c r="B327" s="14"/>
      <c r="C327" s="14"/>
      <c r="H327" s="14"/>
      <c r="L327" s="12"/>
      <c r="M327" s="13"/>
      <c r="N327" s="16"/>
      <c r="O327" s="13"/>
      <c r="R327" s="14"/>
      <c r="S327" s="15"/>
      <c r="T327" s="14"/>
      <c r="V327" s="12"/>
      <c r="W327" s="86"/>
      <c r="X327" s="11"/>
    </row>
    <row r="328" spans="2:24" x14ac:dyDescent="0.25">
      <c r="B328" s="14"/>
      <c r="C328" s="14"/>
      <c r="H328" s="14"/>
      <c r="L328" s="12"/>
      <c r="M328" s="13"/>
      <c r="N328" s="16"/>
      <c r="O328" s="13"/>
      <c r="R328" s="14"/>
      <c r="S328" s="15"/>
      <c r="T328" s="14"/>
      <c r="V328" s="12"/>
      <c r="W328" s="86"/>
      <c r="X328" s="11"/>
    </row>
    <row r="329" spans="2:24" x14ac:dyDescent="0.25">
      <c r="B329" s="14"/>
      <c r="C329" s="14"/>
      <c r="H329" s="14"/>
      <c r="L329" s="12"/>
      <c r="M329" s="13"/>
      <c r="N329" s="16"/>
      <c r="O329" s="13"/>
      <c r="R329" s="14"/>
      <c r="S329" s="15"/>
      <c r="T329" s="14"/>
      <c r="V329" s="12"/>
      <c r="W329" s="86"/>
      <c r="X329" s="11"/>
    </row>
    <row r="330" spans="2:24" x14ac:dyDescent="0.25">
      <c r="B330" s="14"/>
      <c r="C330" s="14"/>
      <c r="H330" s="14"/>
      <c r="L330" s="12"/>
      <c r="M330" s="13"/>
      <c r="N330" s="16"/>
      <c r="O330" s="13"/>
      <c r="R330" s="14"/>
      <c r="S330" s="15"/>
      <c r="T330" s="14"/>
      <c r="V330" s="12"/>
      <c r="W330" s="86"/>
      <c r="X330" s="11"/>
    </row>
    <row r="331" spans="2:24" x14ac:dyDescent="0.25">
      <c r="B331" s="14"/>
      <c r="C331" s="14"/>
      <c r="H331" s="14"/>
      <c r="L331" s="12"/>
      <c r="M331" s="13"/>
      <c r="N331" s="16"/>
      <c r="O331" s="13"/>
      <c r="R331" s="14"/>
      <c r="S331" s="15"/>
      <c r="T331" s="14"/>
      <c r="V331" s="12"/>
      <c r="W331" s="86"/>
      <c r="X331" s="11"/>
    </row>
    <row r="332" spans="2:24" x14ac:dyDescent="0.25">
      <c r="B332" s="14"/>
      <c r="C332" s="14"/>
      <c r="H332" s="14"/>
      <c r="L332" s="12"/>
      <c r="M332" s="13"/>
      <c r="N332" s="16"/>
      <c r="O332" s="13"/>
      <c r="R332" s="14"/>
      <c r="S332" s="15"/>
      <c r="T332" s="14"/>
      <c r="W332" s="86"/>
      <c r="X332" s="11"/>
    </row>
    <row r="333" spans="2:24" x14ac:dyDescent="0.25">
      <c r="B333" s="14"/>
      <c r="C333" s="14"/>
      <c r="H333" s="14"/>
      <c r="L333" s="12"/>
      <c r="M333" s="13"/>
      <c r="N333" s="16"/>
      <c r="O333" s="13"/>
      <c r="R333" s="14"/>
      <c r="S333" s="15"/>
      <c r="T333" s="14"/>
      <c r="W333" s="86"/>
      <c r="X333" s="11"/>
    </row>
    <row r="334" spans="2:24" x14ac:dyDescent="0.25">
      <c r="B334" s="14"/>
      <c r="C334" s="14"/>
      <c r="H334" s="14"/>
      <c r="L334" s="12"/>
      <c r="M334" s="13"/>
      <c r="N334" s="16"/>
      <c r="O334" s="13"/>
      <c r="R334" s="14"/>
      <c r="S334" s="15"/>
      <c r="T334" s="14"/>
      <c r="W334" s="86"/>
      <c r="X334" s="11"/>
    </row>
    <row r="335" spans="2:24" x14ac:dyDescent="0.25">
      <c r="B335" s="14"/>
      <c r="C335" s="14"/>
      <c r="H335" s="14"/>
      <c r="L335" s="12"/>
      <c r="M335" s="13"/>
      <c r="N335" s="16"/>
      <c r="O335" s="13"/>
      <c r="R335" s="14"/>
      <c r="S335" s="15"/>
      <c r="T335" s="14"/>
      <c r="W335" s="86"/>
      <c r="X335" s="11"/>
    </row>
    <row r="336" spans="2:24" x14ac:dyDescent="0.25">
      <c r="B336" s="14"/>
      <c r="C336" s="14"/>
      <c r="H336" s="14"/>
      <c r="L336" s="12"/>
      <c r="M336" s="13"/>
      <c r="N336" s="16"/>
      <c r="O336" s="13"/>
      <c r="R336" s="14"/>
      <c r="S336" s="15"/>
      <c r="T336" s="14"/>
      <c r="W336" s="86"/>
      <c r="X336" s="11"/>
    </row>
    <row r="337" spans="2:24" x14ac:dyDescent="0.25">
      <c r="B337" s="14"/>
      <c r="C337" s="14"/>
      <c r="H337" s="14"/>
      <c r="L337" s="12"/>
      <c r="M337" s="13"/>
      <c r="N337" s="16"/>
      <c r="O337" s="13"/>
      <c r="R337" s="14"/>
      <c r="S337" s="15"/>
      <c r="T337" s="14"/>
      <c r="W337" s="86"/>
      <c r="X337" s="11"/>
    </row>
    <row r="338" spans="2:24" x14ac:dyDescent="0.25">
      <c r="B338" s="14"/>
      <c r="C338" s="14"/>
      <c r="H338" s="14"/>
      <c r="L338" s="12"/>
      <c r="M338" s="13"/>
      <c r="N338" s="16"/>
      <c r="O338" s="13"/>
      <c r="R338" s="14"/>
      <c r="S338" s="15"/>
      <c r="T338" s="14"/>
      <c r="W338" s="86"/>
      <c r="X338" s="11"/>
    </row>
    <row r="339" spans="2:24" x14ac:dyDescent="0.25">
      <c r="B339" s="14"/>
      <c r="C339" s="14"/>
      <c r="H339" s="14"/>
      <c r="L339" s="12"/>
      <c r="M339" s="13"/>
      <c r="N339" s="16"/>
      <c r="O339" s="13"/>
      <c r="R339" s="14"/>
      <c r="S339" s="15"/>
      <c r="T339" s="14"/>
      <c r="W339" s="86"/>
      <c r="X339" s="11"/>
    </row>
    <row r="340" spans="2:24" x14ac:dyDescent="0.25">
      <c r="B340" s="14"/>
      <c r="C340" s="14"/>
      <c r="H340" s="14"/>
      <c r="L340" s="12"/>
      <c r="M340" s="13"/>
      <c r="N340" s="16"/>
      <c r="O340" s="13"/>
      <c r="R340" s="14"/>
      <c r="S340" s="15"/>
      <c r="T340" s="14"/>
      <c r="W340" s="86"/>
      <c r="X340" s="11"/>
    </row>
    <row r="341" spans="2:24" x14ac:dyDescent="0.25">
      <c r="B341" s="14"/>
      <c r="C341" s="14"/>
      <c r="H341" s="14"/>
      <c r="L341" s="12"/>
      <c r="M341" s="13"/>
      <c r="N341" s="16"/>
      <c r="O341" s="13"/>
      <c r="R341" s="14"/>
      <c r="S341" s="15"/>
      <c r="T341" s="14"/>
      <c r="W341" s="86"/>
      <c r="X341" s="11"/>
    </row>
    <row r="342" spans="2:24" x14ac:dyDescent="0.25">
      <c r="B342" s="14"/>
      <c r="C342" s="14"/>
      <c r="H342" s="14"/>
      <c r="L342" s="12"/>
      <c r="M342" s="13"/>
      <c r="N342" s="16"/>
      <c r="O342" s="13"/>
      <c r="R342" s="14"/>
      <c r="S342" s="15"/>
      <c r="T342" s="14"/>
      <c r="W342" s="86"/>
      <c r="X342" s="11"/>
    </row>
    <row r="343" spans="2:24" x14ac:dyDescent="0.25">
      <c r="B343" s="14"/>
      <c r="C343" s="14"/>
      <c r="H343" s="14"/>
      <c r="L343" s="12"/>
      <c r="M343" s="13"/>
      <c r="N343" s="16"/>
      <c r="O343" s="13"/>
      <c r="R343" s="14"/>
      <c r="S343" s="15"/>
      <c r="T343" s="14"/>
      <c r="W343" s="86"/>
      <c r="X343" s="11"/>
    </row>
    <row r="344" spans="2:24" x14ac:dyDescent="0.25">
      <c r="B344" s="14"/>
      <c r="C344" s="14"/>
      <c r="H344" s="14"/>
      <c r="L344" s="12"/>
      <c r="M344" s="13"/>
      <c r="N344" s="16"/>
      <c r="O344" s="13"/>
      <c r="R344" s="14"/>
      <c r="S344" s="15"/>
      <c r="T344" s="14"/>
      <c r="W344" s="86"/>
      <c r="X344" s="11"/>
    </row>
    <row r="345" spans="2:24" x14ac:dyDescent="0.25">
      <c r="B345" s="14"/>
      <c r="C345" s="14"/>
      <c r="H345" s="14"/>
      <c r="L345" s="12"/>
      <c r="M345" s="13"/>
      <c r="N345" s="16"/>
      <c r="O345" s="13"/>
      <c r="R345" s="14"/>
      <c r="S345" s="15"/>
      <c r="T345" s="14"/>
      <c r="W345" s="86"/>
      <c r="X345" s="11"/>
    </row>
    <row r="346" spans="2:24" x14ac:dyDescent="0.25">
      <c r="B346" s="14"/>
      <c r="C346" s="14"/>
      <c r="H346" s="14"/>
      <c r="L346" s="12"/>
      <c r="M346" s="13"/>
      <c r="N346" s="16"/>
      <c r="O346" s="13"/>
      <c r="R346" s="14"/>
      <c r="S346" s="15"/>
      <c r="T346" s="14"/>
      <c r="W346" s="86"/>
      <c r="X346" s="11"/>
    </row>
    <row r="347" spans="2:24" x14ac:dyDescent="0.25">
      <c r="B347" s="14"/>
      <c r="C347" s="14"/>
      <c r="H347" s="14"/>
      <c r="L347" s="12"/>
      <c r="M347" s="13"/>
      <c r="N347" s="16"/>
      <c r="O347" s="13"/>
      <c r="R347" s="14"/>
      <c r="S347" s="15"/>
      <c r="T347" s="14"/>
      <c r="W347" s="86"/>
      <c r="X347" s="11"/>
    </row>
    <row r="348" spans="2:24" x14ac:dyDescent="0.25">
      <c r="B348" s="14"/>
      <c r="C348" s="14"/>
      <c r="H348" s="14"/>
      <c r="L348" s="12"/>
      <c r="M348" s="13"/>
      <c r="N348" s="16"/>
      <c r="O348" s="13"/>
      <c r="R348" s="14"/>
      <c r="S348" s="15"/>
      <c r="T348" s="14"/>
      <c r="W348" s="86"/>
      <c r="X348" s="11"/>
    </row>
    <row r="349" spans="2:24" x14ac:dyDescent="0.25">
      <c r="B349" s="14"/>
      <c r="C349" s="14"/>
      <c r="H349" s="14"/>
      <c r="L349" s="12"/>
      <c r="M349" s="13"/>
      <c r="N349" s="16"/>
      <c r="O349" s="13"/>
      <c r="R349" s="14"/>
      <c r="S349" s="15"/>
      <c r="T349" s="14"/>
      <c r="W349" s="86"/>
      <c r="X349" s="11"/>
    </row>
    <row r="350" spans="2:24" x14ac:dyDescent="0.25">
      <c r="B350" s="14"/>
      <c r="C350" s="14"/>
      <c r="H350" s="14"/>
      <c r="L350" s="12"/>
      <c r="M350" s="13"/>
      <c r="N350" s="16"/>
      <c r="O350" s="13"/>
      <c r="R350" s="14"/>
      <c r="S350" s="15"/>
      <c r="T350" s="14"/>
      <c r="W350" s="86"/>
      <c r="X350" s="11"/>
    </row>
    <row r="351" spans="2:24" x14ac:dyDescent="0.25">
      <c r="B351" s="14"/>
      <c r="C351" s="14"/>
      <c r="H351" s="14"/>
      <c r="L351" s="12"/>
      <c r="M351" s="13"/>
      <c r="N351" s="16"/>
      <c r="O351" s="13"/>
      <c r="R351" s="14"/>
      <c r="S351" s="15"/>
      <c r="T351" s="14"/>
      <c r="W351" s="86"/>
      <c r="X351" s="11"/>
    </row>
    <row r="352" spans="2:24" x14ac:dyDescent="0.25">
      <c r="B352" s="14"/>
      <c r="C352" s="14"/>
      <c r="H352" s="14"/>
      <c r="L352" s="12"/>
      <c r="M352" s="13"/>
      <c r="N352" s="16"/>
      <c r="O352" s="13"/>
      <c r="R352" s="14"/>
      <c r="S352" s="15"/>
      <c r="T352" s="14"/>
      <c r="W352" s="86"/>
      <c r="X352" s="11"/>
    </row>
    <row r="353" spans="2:24" x14ac:dyDescent="0.25">
      <c r="B353" s="14"/>
      <c r="C353" s="14"/>
      <c r="H353" s="14"/>
      <c r="L353" s="12"/>
      <c r="M353" s="13"/>
      <c r="N353" s="16"/>
      <c r="O353" s="13"/>
      <c r="R353" s="14"/>
      <c r="S353" s="15"/>
      <c r="T353" s="14"/>
      <c r="W353" s="86"/>
      <c r="X353" s="11"/>
    </row>
    <row r="354" spans="2:24" x14ac:dyDescent="0.25">
      <c r="B354" s="14"/>
      <c r="C354" s="14"/>
      <c r="H354" s="14"/>
      <c r="L354" s="12"/>
      <c r="M354" s="13"/>
      <c r="N354" s="16"/>
      <c r="O354" s="13"/>
      <c r="R354" s="14"/>
      <c r="S354" s="15"/>
      <c r="T354" s="14"/>
      <c r="W354" s="86"/>
      <c r="X354" s="11"/>
    </row>
    <row r="355" spans="2:24" x14ac:dyDescent="0.25">
      <c r="B355" s="14"/>
      <c r="C355" s="14"/>
      <c r="H355" s="14"/>
      <c r="L355" s="12"/>
      <c r="M355" s="13"/>
      <c r="N355" s="16"/>
      <c r="O355" s="13"/>
      <c r="R355" s="14"/>
      <c r="S355" s="15"/>
      <c r="T355" s="14"/>
      <c r="W355" s="86"/>
      <c r="X355" s="11"/>
    </row>
    <row r="356" spans="2:24" x14ac:dyDescent="0.25">
      <c r="B356" s="14"/>
      <c r="C356" s="14"/>
      <c r="H356" s="14"/>
      <c r="L356" s="12"/>
      <c r="M356" s="13"/>
      <c r="N356" s="16"/>
      <c r="O356" s="13"/>
      <c r="R356" s="14"/>
      <c r="S356" s="15"/>
      <c r="T356" s="14"/>
      <c r="W356" s="86"/>
      <c r="X356" s="11"/>
    </row>
    <row r="357" spans="2:24" x14ac:dyDescent="0.25">
      <c r="B357" s="14"/>
      <c r="C357" s="14"/>
      <c r="H357" s="14"/>
      <c r="L357" s="12"/>
      <c r="M357" s="13"/>
      <c r="N357" s="16"/>
      <c r="O357" s="13"/>
      <c r="R357" s="14"/>
      <c r="S357" s="15"/>
      <c r="T357" s="14"/>
      <c r="W357" s="86"/>
      <c r="X357" s="11"/>
    </row>
    <row r="358" spans="2:24" x14ac:dyDescent="0.25">
      <c r="B358" s="14"/>
      <c r="C358" s="14"/>
      <c r="H358" s="14"/>
      <c r="L358" s="12"/>
      <c r="M358" s="13"/>
      <c r="N358" s="16"/>
      <c r="O358" s="13"/>
      <c r="R358" s="14"/>
      <c r="S358" s="15"/>
      <c r="T358" s="14"/>
      <c r="W358" s="86"/>
      <c r="X358" s="11"/>
    </row>
    <row r="359" spans="2:24" x14ac:dyDescent="0.25">
      <c r="B359" s="14"/>
      <c r="C359" s="14"/>
      <c r="H359" s="14"/>
      <c r="L359" s="12"/>
      <c r="M359" s="13"/>
      <c r="N359" s="16"/>
      <c r="O359" s="13"/>
      <c r="R359" s="14"/>
      <c r="S359" s="15"/>
      <c r="T359" s="14"/>
      <c r="W359" s="86"/>
      <c r="X359" s="11"/>
    </row>
    <row r="360" spans="2:24" x14ac:dyDescent="0.25">
      <c r="B360" s="14"/>
      <c r="C360" s="14"/>
      <c r="H360" s="14"/>
      <c r="M360" s="14"/>
      <c r="N360" s="15"/>
      <c r="O360" s="14"/>
      <c r="R360" s="14"/>
      <c r="S360" s="15"/>
      <c r="T360" s="14"/>
      <c r="W360" s="86"/>
      <c r="X360" s="11"/>
    </row>
    <row r="361" spans="2:24" x14ac:dyDescent="0.25">
      <c r="B361" s="14"/>
      <c r="C361" s="14"/>
      <c r="H361" s="14"/>
      <c r="M361" s="14"/>
      <c r="N361" s="15"/>
      <c r="O361" s="14"/>
      <c r="R361" s="14"/>
      <c r="S361" s="15"/>
      <c r="T361" s="14"/>
      <c r="W361" s="86"/>
      <c r="X361" s="11"/>
    </row>
    <row r="362" spans="2:24" x14ac:dyDescent="0.25">
      <c r="B362" s="14"/>
      <c r="C362" s="14"/>
      <c r="H362" s="14"/>
      <c r="M362" s="14"/>
      <c r="N362" s="15"/>
      <c r="O362" s="14"/>
      <c r="R362" s="14"/>
      <c r="S362" s="15"/>
      <c r="T362" s="14"/>
      <c r="W362" s="86"/>
      <c r="X362" s="11"/>
    </row>
    <row r="363" spans="2:24" x14ac:dyDescent="0.25">
      <c r="B363" s="14"/>
      <c r="C363" s="14"/>
      <c r="H363" s="14"/>
      <c r="M363" s="14"/>
      <c r="N363" s="15"/>
      <c r="O363" s="14"/>
      <c r="R363" s="14"/>
      <c r="S363" s="15"/>
      <c r="T363" s="14"/>
      <c r="W363" s="86"/>
      <c r="X363" s="11"/>
    </row>
    <row r="364" spans="2:24" x14ac:dyDescent="0.25">
      <c r="B364" s="14"/>
      <c r="C364" s="14"/>
      <c r="H364" s="14"/>
      <c r="M364" s="14"/>
      <c r="N364" s="15"/>
      <c r="O364" s="14"/>
      <c r="R364" s="14"/>
      <c r="S364" s="15"/>
      <c r="T364" s="14"/>
      <c r="W364" s="86"/>
      <c r="X364" s="11"/>
    </row>
    <row r="365" spans="2:24" x14ac:dyDescent="0.25">
      <c r="B365" s="14"/>
      <c r="C365" s="14"/>
      <c r="H365" s="14"/>
      <c r="M365" s="14"/>
      <c r="N365" s="15"/>
      <c r="O365" s="14"/>
      <c r="R365" s="14"/>
      <c r="S365" s="15"/>
      <c r="T365" s="14"/>
      <c r="W365" s="86"/>
      <c r="X365" s="11"/>
    </row>
    <row r="366" spans="2:24" x14ac:dyDescent="0.25">
      <c r="B366" s="14"/>
      <c r="C366" s="14"/>
      <c r="H366" s="14"/>
      <c r="M366" s="14"/>
      <c r="N366" s="15"/>
      <c r="O366" s="14"/>
      <c r="R366" s="14"/>
      <c r="S366" s="15"/>
      <c r="T366" s="14"/>
      <c r="W366" s="86"/>
      <c r="X366" s="11"/>
    </row>
    <row r="367" spans="2:24" x14ac:dyDescent="0.25">
      <c r="B367" s="14"/>
      <c r="C367" s="14"/>
      <c r="H367" s="14"/>
      <c r="M367" s="14"/>
      <c r="N367" s="15"/>
      <c r="O367" s="14"/>
      <c r="R367" s="14"/>
      <c r="S367" s="15"/>
      <c r="T367" s="14"/>
      <c r="W367" s="86"/>
      <c r="X367" s="11"/>
    </row>
    <row r="368" spans="2:24" x14ac:dyDescent="0.25">
      <c r="B368" s="14"/>
      <c r="C368" s="14"/>
      <c r="H368" s="14"/>
      <c r="M368" s="14"/>
      <c r="N368" s="15"/>
      <c r="O368" s="14"/>
      <c r="R368" s="14"/>
      <c r="S368" s="15"/>
      <c r="T368" s="14"/>
      <c r="W368" s="86"/>
      <c r="X368" s="11"/>
    </row>
    <row r="369" spans="2:24" x14ac:dyDescent="0.25">
      <c r="B369" s="14"/>
      <c r="C369" s="14"/>
      <c r="H369" s="14"/>
      <c r="M369" s="14"/>
      <c r="N369" s="15"/>
      <c r="O369" s="14"/>
      <c r="R369" s="14"/>
      <c r="S369" s="15"/>
      <c r="T369" s="14"/>
      <c r="W369" s="86"/>
      <c r="X369" s="11"/>
    </row>
    <row r="370" spans="2:24" x14ac:dyDescent="0.25">
      <c r="B370" s="14"/>
      <c r="C370" s="14"/>
      <c r="H370" s="14"/>
      <c r="M370" s="14"/>
      <c r="N370" s="15"/>
      <c r="O370" s="14"/>
      <c r="R370" s="14"/>
      <c r="S370" s="15"/>
      <c r="T370" s="14"/>
      <c r="W370" s="86"/>
      <c r="X370" s="11"/>
    </row>
    <row r="371" spans="2:24" x14ac:dyDescent="0.25">
      <c r="B371" s="14"/>
      <c r="C371" s="14"/>
      <c r="H371" s="14"/>
      <c r="M371" s="14"/>
      <c r="N371" s="15"/>
      <c r="O371" s="14"/>
      <c r="R371" s="14"/>
      <c r="S371" s="15"/>
      <c r="T371" s="14"/>
      <c r="W371" s="86"/>
      <c r="X371" s="11"/>
    </row>
    <row r="372" spans="2:24" x14ac:dyDescent="0.25">
      <c r="B372" s="14"/>
      <c r="C372" s="14"/>
      <c r="H372" s="14"/>
      <c r="M372" s="14"/>
      <c r="N372" s="15"/>
      <c r="O372" s="14"/>
      <c r="R372" s="14"/>
      <c r="S372" s="15"/>
      <c r="T372" s="14"/>
      <c r="W372" s="86"/>
      <c r="X372" s="11"/>
    </row>
    <row r="373" spans="2:24" x14ac:dyDescent="0.25">
      <c r="B373" s="14"/>
      <c r="C373" s="14"/>
      <c r="H373" s="14"/>
      <c r="M373" s="14"/>
      <c r="N373" s="15"/>
      <c r="O373" s="14"/>
      <c r="R373" s="14"/>
      <c r="S373" s="15"/>
      <c r="T373" s="14"/>
      <c r="W373" s="86"/>
      <c r="X373" s="11"/>
    </row>
    <row r="374" spans="2:24" x14ac:dyDescent="0.25">
      <c r="B374" s="14"/>
      <c r="C374" s="14"/>
      <c r="H374" s="14"/>
      <c r="M374" s="14"/>
      <c r="N374" s="15"/>
      <c r="O374" s="14"/>
      <c r="R374" s="14"/>
      <c r="S374" s="15"/>
      <c r="T374" s="14"/>
      <c r="W374" s="86"/>
      <c r="X374" s="11"/>
    </row>
    <row r="375" spans="2:24" x14ac:dyDescent="0.25">
      <c r="B375" s="14"/>
      <c r="C375" s="14"/>
      <c r="H375" s="14"/>
      <c r="M375" s="14"/>
      <c r="N375" s="15"/>
      <c r="O375" s="14"/>
      <c r="R375" s="14"/>
      <c r="S375" s="15"/>
      <c r="T375" s="14"/>
      <c r="W375" s="86"/>
      <c r="X375" s="11"/>
    </row>
    <row r="376" spans="2:24" x14ac:dyDescent="0.25">
      <c r="B376" s="14"/>
      <c r="C376" s="14"/>
      <c r="H376" s="14"/>
      <c r="M376" s="14"/>
      <c r="N376" s="15"/>
      <c r="O376" s="14"/>
      <c r="R376" s="14"/>
      <c r="S376" s="15"/>
      <c r="T376" s="14"/>
      <c r="W376" s="86"/>
      <c r="X376" s="11"/>
    </row>
    <row r="377" spans="2:24" x14ac:dyDescent="0.25">
      <c r="B377" s="14"/>
      <c r="C377" s="14"/>
      <c r="H377" s="14"/>
      <c r="M377" s="14"/>
      <c r="N377" s="15"/>
      <c r="O377" s="14"/>
      <c r="R377" s="14"/>
      <c r="S377" s="15"/>
      <c r="T377" s="14"/>
      <c r="W377" s="86"/>
      <c r="X377" s="11"/>
    </row>
    <row r="378" spans="2:24" x14ac:dyDescent="0.25">
      <c r="B378" s="14"/>
      <c r="C378" s="14"/>
      <c r="H378" s="14"/>
      <c r="M378" s="14"/>
      <c r="N378" s="15"/>
      <c r="O378" s="14"/>
      <c r="R378" s="14"/>
      <c r="S378" s="15"/>
      <c r="T378" s="14"/>
      <c r="W378" s="86"/>
      <c r="X378" s="11"/>
    </row>
    <row r="379" spans="2:24" x14ac:dyDescent="0.25">
      <c r="B379" s="14"/>
      <c r="C379" s="14"/>
      <c r="H379" s="14"/>
      <c r="M379" s="14"/>
      <c r="N379" s="15"/>
      <c r="O379" s="14"/>
      <c r="R379" s="14"/>
      <c r="S379" s="15"/>
      <c r="T379" s="14"/>
      <c r="W379" s="86"/>
      <c r="X379" s="11"/>
    </row>
    <row r="380" spans="2:24" x14ac:dyDescent="0.25">
      <c r="B380" s="14"/>
      <c r="C380" s="14"/>
      <c r="H380" s="14"/>
      <c r="M380" s="14"/>
      <c r="N380" s="15"/>
      <c r="O380" s="14"/>
      <c r="R380" s="14"/>
      <c r="S380" s="15"/>
      <c r="T380" s="14"/>
      <c r="W380" s="86"/>
      <c r="X380" s="11"/>
    </row>
    <row r="381" spans="2:24" x14ac:dyDescent="0.25">
      <c r="B381" s="14"/>
      <c r="C381" s="14"/>
      <c r="H381" s="14"/>
      <c r="M381" s="14"/>
      <c r="N381" s="15"/>
      <c r="O381" s="14"/>
      <c r="R381" s="14"/>
      <c r="S381" s="15"/>
      <c r="T381" s="14"/>
      <c r="W381" s="86"/>
      <c r="X381" s="11"/>
    </row>
    <row r="382" spans="2:24" x14ac:dyDescent="0.25">
      <c r="B382" s="14"/>
      <c r="C382" s="14"/>
      <c r="H382" s="14"/>
      <c r="M382" s="14"/>
      <c r="N382" s="15"/>
      <c r="O382" s="14"/>
      <c r="R382" s="14"/>
      <c r="S382" s="15"/>
      <c r="T382" s="14"/>
      <c r="W382" s="86"/>
      <c r="X382" s="11"/>
    </row>
    <row r="383" spans="2:24" x14ac:dyDescent="0.25">
      <c r="B383" s="14"/>
      <c r="C383" s="14"/>
      <c r="H383" s="14"/>
      <c r="M383" s="14"/>
      <c r="N383" s="15"/>
      <c r="O383" s="14"/>
      <c r="R383" s="14"/>
      <c r="S383" s="15"/>
      <c r="T383" s="14"/>
      <c r="W383" s="86"/>
      <c r="X383" s="11"/>
    </row>
    <row r="384" spans="2:24" x14ac:dyDescent="0.25">
      <c r="B384" s="14"/>
      <c r="C384" s="14"/>
      <c r="H384" s="14"/>
      <c r="M384" s="14"/>
      <c r="N384" s="15"/>
      <c r="O384" s="14"/>
      <c r="R384" s="14"/>
      <c r="S384" s="15"/>
      <c r="T384" s="14"/>
      <c r="W384" s="86"/>
      <c r="X384" s="11"/>
    </row>
    <row r="385" spans="2:24" x14ac:dyDescent="0.25">
      <c r="B385" s="14"/>
      <c r="C385" s="14"/>
      <c r="H385" s="14"/>
      <c r="M385" s="14"/>
      <c r="N385" s="15"/>
      <c r="O385" s="14"/>
      <c r="R385" s="14"/>
      <c r="S385" s="15"/>
      <c r="T385" s="14"/>
      <c r="W385" s="86"/>
      <c r="X385" s="11"/>
    </row>
    <row r="386" spans="2:24" x14ac:dyDescent="0.25">
      <c r="B386" s="14"/>
      <c r="C386" s="14"/>
      <c r="H386" s="14"/>
      <c r="M386" s="14"/>
      <c r="N386" s="15"/>
      <c r="O386" s="14"/>
      <c r="R386" s="14"/>
      <c r="S386" s="15"/>
      <c r="T386" s="14"/>
      <c r="W386" s="86"/>
      <c r="X386" s="11"/>
    </row>
    <row r="387" spans="2:24" x14ac:dyDescent="0.25">
      <c r="B387" s="14"/>
      <c r="C387" s="14"/>
      <c r="H387" s="14"/>
      <c r="M387" s="14"/>
      <c r="N387" s="15"/>
      <c r="O387" s="14"/>
      <c r="R387" s="14"/>
      <c r="S387" s="15"/>
      <c r="T387" s="14"/>
      <c r="W387" s="86"/>
      <c r="X387" s="11"/>
    </row>
    <row r="388" spans="2:24" x14ac:dyDescent="0.25">
      <c r="B388" s="14"/>
      <c r="C388" s="14"/>
      <c r="H388" s="14"/>
      <c r="M388" s="14"/>
      <c r="N388" s="15"/>
      <c r="O388" s="14"/>
      <c r="R388" s="14"/>
      <c r="S388" s="15"/>
      <c r="T388" s="14"/>
      <c r="W388" s="86"/>
      <c r="X388" s="11"/>
    </row>
    <row r="389" spans="2:24" x14ac:dyDescent="0.25">
      <c r="B389" s="14"/>
      <c r="C389" s="14"/>
      <c r="H389" s="14"/>
      <c r="M389" s="14"/>
      <c r="N389" s="15"/>
      <c r="O389" s="14"/>
      <c r="R389" s="14"/>
      <c r="S389" s="15"/>
      <c r="T389" s="14"/>
      <c r="W389" s="86"/>
      <c r="X389" s="11"/>
    </row>
    <row r="390" spans="2:24" x14ac:dyDescent="0.25">
      <c r="B390" s="14"/>
      <c r="C390" s="14"/>
      <c r="H390" s="14"/>
      <c r="M390" s="14"/>
      <c r="N390" s="15"/>
      <c r="O390" s="14"/>
      <c r="R390" s="14"/>
      <c r="S390" s="15"/>
      <c r="T390" s="14"/>
      <c r="W390" s="86"/>
      <c r="X390" s="11"/>
    </row>
    <row r="391" spans="2:24" x14ac:dyDescent="0.25">
      <c r="B391" s="14"/>
      <c r="C391" s="14"/>
      <c r="H391" s="14"/>
      <c r="M391" s="14"/>
      <c r="N391" s="15"/>
      <c r="O391" s="14"/>
      <c r="R391" s="14"/>
      <c r="S391" s="15"/>
      <c r="T391" s="14"/>
      <c r="W391" s="86"/>
      <c r="X391" s="11"/>
    </row>
    <row r="392" spans="2:24" x14ac:dyDescent="0.25">
      <c r="B392" s="14"/>
      <c r="C392" s="14"/>
      <c r="H392" s="14"/>
      <c r="M392" s="14"/>
      <c r="N392" s="15"/>
      <c r="O392" s="14"/>
      <c r="R392" s="14"/>
      <c r="S392" s="15"/>
      <c r="T392" s="14"/>
      <c r="W392" s="86"/>
      <c r="X392" s="11"/>
    </row>
    <row r="393" spans="2:24" x14ac:dyDescent="0.25">
      <c r="B393" s="14"/>
      <c r="C393" s="14"/>
      <c r="H393" s="14"/>
      <c r="M393" s="14"/>
      <c r="N393" s="15"/>
      <c r="O393" s="14"/>
      <c r="R393" s="14"/>
      <c r="S393" s="15"/>
      <c r="T393" s="14"/>
      <c r="W393" s="86"/>
      <c r="X393" s="11"/>
    </row>
    <row r="394" spans="2:24" x14ac:dyDescent="0.25">
      <c r="B394" s="14"/>
      <c r="C394" s="14"/>
      <c r="H394" s="14"/>
      <c r="M394" s="14"/>
      <c r="N394" s="15"/>
      <c r="O394" s="14"/>
      <c r="R394" s="14"/>
      <c r="S394" s="15"/>
      <c r="T394" s="14"/>
      <c r="W394" s="86"/>
      <c r="X394" s="11"/>
    </row>
    <row r="395" spans="2:24" x14ac:dyDescent="0.25">
      <c r="B395" s="14"/>
      <c r="C395" s="14"/>
      <c r="H395" s="14"/>
      <c r="M395" s="14"/>
      <c r="N395" s="15"/>
      <c r="O395" s="14"/>
      <c r="R395" s="14"/>
      <c r="S395" s="15"/>
      <c r="T395" s="14"/>
      <c r="W395" s="86"/>
      <c r="X395" s="11"/>
    </row>
    <row r="396" spans="2:24" x14ac:dyDescent="0.25">
      <c r="B396" s="14"/>
      <c r="C396" s="14"/>
      <c r="H396" s="14"/>
      <c r="M396" s="14"/>
      <c r="N396" s="15"/>
      <c r="O396" s="14"/>
      <c r="R396" s="14"/>
      <c r="S396" s="15"/>
      <c r="T396" s="14"/>
      <c r="W396" s="86"/>
      <c r="X396" s="11"/>
    </row>
    <row r="397" spans="2:24" x14ac:dyDescent="0.25">
      <c r="B397" s="14"/>
      <c r="C397" s="14"/>
      <c r="H397" s="14"/>
      <c r="M397" s="14"/>
      <c r="N397" s="15"/>
      <c r="O397" s="14"/>
      <c r="R397" s="14"/>
      <c r="S397" s="15"/>
      <c r="T397" s="14"/>
      <c r="W397" s="14"/>
      <c r="X397" s="14"/>
    </row>
    <row r="398" spans="2:24" x14ac:dyDescent="0.25">
      <c r="B398" s="14"/>
      <c r="C398" s="14"/>
      <c r="H398" s="14"/>
      <c r="M398" s="14"/>
      <c r="N398" s="15"/>
      <c r="O398" s="14"/>
      <c r="R398" s="14"/>
      <c r="S398" s="15"/>
      <c r="T398" s="14"/>
      <c r="W398" s="14"/>
      <c r="X398" s="14"/>
    </row>
    <row r="399" spans="2:24" x14ac:dyDescent="0.25">
      <c r="B399" s="14"/>
      <c r="C399" s="14"/>
      <c r="H399" s="14"/>
      <c r="M399" s="14"/>
      <c r="N399" s="15"/>
      <c r="O399" s="14"/>
      <c r="R399" s="14"/>
      <c r="S399" s="15"/>
      <c r="T399" s="14"/>
      <c r="W399" s="14"/>
      <c r="X399" s="14"/>
    </row>
    <row r="400" spans="2:24" x14ac:dyDescent="0.25">
      <c r="B400" s="14"/>
      <c r="C400" s="14"/>
      <c r="H400" s="14"/>
      <c r="M400" s="14"/>
      <c r="N400" s="15"/>
      <c r="O400" s="14"/>
      <c r="R400" s="14"/>
      <c r="S400" s="15"/>
      <c r="T400" s="14"/>
      <c r="W400" s="14"/>
      <c r="X400" s="14"/>
    </row>
    <row r="401" spans="2:24" x14ac:dyDescent="0.25">
      <c r="B401" s="14"/>
      <c r="C401" s="14"/>
      <c r="H401" s="14"/>
      <c r="M401" s="14"/>
      <c r="N401" s="15"/>
      <c r="O401" s="14"/>
      <c r="R401" s="14"/>
      <c r="S401" s="15"/>
      <c r="T401" s="14"/>
      <c r="W401" s="14"/>
      <c r="X401" s="14"/>
    </row>
    <row r="402" spans="2:24" x14ac:dyDescent="0.25">
      <c r="B402" s="14"/>
      <c r="C402" s="14"/>
      <c r="H402" s="14"/>
      <c r="M402" s="14"/>
      <c r="N402" s="15"/>
      <c r="O402" s="14"/>
      <c r="R402" s="14"/>
      <c r="S402" s="15"/>
      <c r="T402" s="14"/>
      <c r="W402" s="14"/>
      <c r="X402" s="14"/>
    </row>
    <row r="403" spans="2:24" x14ac:dyDescent="0.25">
      <c r="B403" s="14"/>
      <c r="C403" s="14"/>
      <c r="H403" s="14"/>
      <c r="M403" s="14"/>
      <c r="N403" s="15"/>
      <c r="O403" s="14"/>
      <c r="R403" s="14"/>
      <c r="S403" s="15"/>
      <c r="T403" s="14"/>
      <c r="W403" s="14"/>
      <c r="X403" s="14"/>
    </row>
    <row r="404" spans="2:24" x14ac:dyDescent="0.25">
      <c r="B404" s="14"/>
      <c r="C404" s="14"/>
      <c r="H404" s="14"/>
      <c r="M404" s="14"/>
      <c r="N404" s="15"/>
      <c r="O404" s="14"/>
      <c r="R404" s="14"/>
      <c r="S404" s="15"/>
      <c r="T404" s="14"/>
      <c r="W404" s="14"/>
      <c r="X404" s="14"/>
    </row>
    <row r="405" spans="2:24" x14ac:dyDescent="0.25">
      <c r="B405" s="14"/>
      <c r="C405" s="14"/>
      <c r="H405" s="14"/>
      <c r="M405" s="14"/>
      <c r="N405" s="15"/>
      <c r="O405" s="14"/>
      <c r="R405" s="14"/>
      <c r="S405" s="15"/>
      <c r="T405" s="14"/>
      <c r="W405" s="14"/>
      <c r="X405" s="14"/>
    </row>
    <row r="406" spans="2:24" x14ac:dyDescent="0.25">
      <c r="B406" s="14"/>
      <c r="C406" s="14"/>
      <c r="H406" s="14"/>
      <c r="M406" s="14"/>
      <c r="N406" s="15"/>
      <c r="O406" s="14"/>
      <c r="R406" s="14"/>
      <c r="S406" s="15"/>
      <c r="T406" s="14"/>
      <c r="W406" s="14"/>
      <c r="X406" s="14"/>
    </row>
    <row r="407" spans="2:24" x14ac:dyDescent="0.25">
      <c r="B407" s="14"/>
      <c r="C407" s="14"/>
      <c r="H407" s="14"/>
      <c r="M407" s="14"/>
      <c r="N407" s="15"/>
      <c r="O407" s="14"/>
      <c r="R407" s="14"/>
      <c r="S407" s="15"/>
      <c r="T407" s="14"/>
      <c r="W407" s="14"/>
      <c r="X407" s="14"/>
    </row>
    <row r="408" spans="2:24" x14ac:dyDescent="0.25">
      <c r="B408" s="14"/>
      <c r="C408" s="14"/>
      <c r="H408" s="14"/>
      <c r="M408" s="14"/>
      <c r="N408" s="15"/>
      <c r="O408" s="14"/>
      <c r="R408" s="14"/>
      <c r="S408" s="15"/>
      <c r="T408" s="14"/>
      <c r="W408" s="14"/>
      <c r="X408" s="14"/>
    </row>
    <row r="409" spans="2:24" x14ac:dyDescent="0.25">
      <c r="B409" s="14"/>
      <c r="C409" s="14"/>
      <c r="H409" s="14"/>
      <c r="M409" s="14"/>
      <c r="N409" s="15"/>
      <c r="O409" s="14"/>
      <c r="R409" s="14"/>
      <c r="S409" s="15"/>
      <c r="T409" s="14"/>
      <c r="W409" s="14"/>
      <c r="X409" s="14"/>
    </row>
    <row r="410" spans="2:24" x14ac:dyDescent="0.25">
      <c r="B410" s="14"/>
      <c r="C410" s="14"/>
      <c r="H410" s="14"/>
      <c r="M410" s="14"/>
      <c r="N410" s="15"/>
      <c r="O410" s="14"/>
      <c r="R410" s="14"/>
      <c r="S410" s="15"/>
      <c r="T410" s="14"/>
      <c r="W410" s="14"/>
      <c r="X410" s="14"/>
    </row>
    <row r="411" spans="2:24" x14ac:dyDescent="0.25">
      <c r="B411" s="14"/>
      <c r="C411" s="14"/>
      <c r="H411" s="14"/>
      <c r="M411" s="14"/>
      <c r="N411" s="15"/>
      <c r="O411" s="14"/>
      <c r="R411" s="14"/>
      <c r="S411" s="15"/>
      <c r="T411" s="14"/>
      <c r="W411" s="14"/>
      <c r="X411" s="14"/>
    </row>
    <row r="412" spans="2:24" x14ac:dyDescent="0.25">
      <c r="B412" s="14"/>
      <c r="C412" s="14"/>
      <c r="H412" s="14"/>
      <c r="M412" s="14"/>
      <c r="N412" s="15"/>
      <c r="O412" s="14"/>
      <c r="R412" s="14"/>
      <c r="S412" s="15"/>
      <c r="T412" s="14"/>
      <c r="W412" s="14"/>
      <c r="X412" s="14"/>
    </row>
    <row r="413" spans="2:24" x14ac:dyDescent="0.25">
      <c r="B413" s="14"/>
      <c r="C413" s="14"/>
      <c r="H413" s="14"/>
      <c r="M413" s="14"/>
      <c r="N413" s="15"/>
      <c r="O413" s="14"/>
      <c r="R413" s="14"/>
      <c r="S413" s="15"/>
      <c r="T413" s="14"/>
      <c r="W413" s="14"/>
      <c r="X413" s="14"/>
    </row>
    <row r="414" spans="2:24" x14ac:dyDescent="0.25">
      <c r="B414" s="14"/>
      <c r="C414" s="14"/>
      <c r="H414" s="14"/>
      <c r="M414" s="14"/>
      <c r="N414" s="15"/>
      <c r="O414" s="14"/>
      <c r="R414" s="14"/>
      <c r="S414" s="15"/>
      <c r="T414" s="14"/>
      <c r="W414" s="14"/>
      <c r="X414" s="14"/>
    </row>
    <row r="415" spans="2:24" x14ac:dyDescent="0.25">
      <c r="B415" s="14"/>
      <c r="C415" s="14"/>
      <c r="H415" s="14"/>
      <c r="M415" s="14"/>
      <c r="N415" s="15"/>
      <c r="O415" s="14"/>
      <c r="R415" s="14"/>
      <c r="S415" s="15"/>
      <c r="T415" s="14"/>
      <c r="W415" s="14"/>
      <c r="X415" s="14"/>
    </row>
    <row r="416" spans="2:24" x14ac:dyDescent="0.25">
      <c r="B416" s="14"/>
      <c r="C416" s="14"/>
      <c r="H416" s="14"/>
      <c r="M416" s="14"/>
      <c r="N416" s="15"/>
      <c r="O416" s="14"/>
      <c r="R416" s="14"/>
      <c r="S416" s="15"/>
      <c r="T416" s="14"/>
      <c r="W416" s="14"/>
      <c r="X416" s="14"/>
    </row>
    <row r="417" spans="2:24" x14ac:dyDescent="0.25">
      <c r="B417" s="14"/>
      <c r="C417" s="14"/>
      <c r="H417" s="14"/>
      <c r="M417" s="14"/>
      <c r="N417" s="15"/>
      <c r="O417" s="14"/>
      <c r="R417" s="14"/>
      <c r="S417" s="15"/>
      <c r="T417" s="14"/>
      <c r="W417" s="14"/>
      <c r="X417" s="14"/>
    </row>
    <row r="418" spans="2:24" x14ac:dyDescent="0.25">
      <c r="B418" s="14"/>
      <c r="C418" s="14"/>
      <c r="H418" s="14"/>
      <c r="M418" s="14"/>
      <c r="N418" s="15"/>
      <c r="O418" s="14"/>
      <c r="R418" s="14"/>
      <c r="S418" s="15"/>
      <c r="T418" s="14"/>
      <c r="W418" s="14"/>
      <c r="X418" s="14"/>
    </row>
    <row r="419" spans="2:24" x14ac:dyDescent="0.25">
      <c r="B419" s="14"/>
      <c r="C419" s="14"/>
      <c r="H419" s="14"/>
      <c r="M419" s="14"/>
      <c r="N419" s="15"/>
      <c r="O419" s="14"/>
      <c r="R419" s="14"/>
      <c r="S419" s="15"/>
      <c r="T419" s="14"/>
      <c r="W419" s="14"/>
      <c r="X419" s="14"/>
    </row>
    <row r="420" spans="2:24" x14ac:dyDescent="0.25">
      <c r="B420" s="14"/>
      <c r="C420" s="14"/>
      <c r="H420" s="14"/>
      <c r="M420" s="14"/>
      <c r="N420" s="15"/>
      <c r="O420" s="14"/>
      <c r="R420" s="14"/>
      <c r="S420" s="15"/>
      <c r="T420" s="14"/>
      <c r="W420" s="14"/>
      <c r="X420" s="14"/>
    </row>
    <row r="421" spans="2:24" x14ac:dyDescent="0.25">
      <c r="B421" s="14"/>
      <c r="C421" s="14"/>
      <c r="H421" s="14"/>
      <c r="M421" s="14"/>
      <c r="N421" s="15"/>
      <c r="O421" s="14"/>
      <c r="R421" s="14"/>
      <c r="S421" s="15"/>
      <c r="T421" s="14"/>
      <c r="W421" s="14"/>
      <c r="X421" s="14"/>
    </row>
    <row r="422" spans="2:24" x14ac:dyDescent="0.25">
      <c r="B422" s="14"/>
      <c r="C422" s="14"/>
      <c r="H422" s="14"/>
      <c r="M422" s="14"/>
      <c r="N422" s="15"/>
      <c r="O422" s="14"/>
      <c r="R422" s="14"/>
      <c r="S422" s="15"/>
      <c r="T422" s="14"/>
      <c r="W422" s="14"/>
      <c r="X422" s="14"/>
    </row>
    <row r="423" spans="2:24" x14ac:dyDescent="0.25">
      <c r="B423" s="14"/>
      <c r="C423" s="14"/>
      <c r="H423" s="14"/>
      <c r="M423" s="14"/>
      <c r="N423" s="15"/>
      <c r="O423" s="14"/>
      <c r="R423" s="14"/>
      <c r="S423" s="15"/>
      <c r="T423" s="14"/>
      <c r="W423" s="14"/>
      <c r="X423" s="14"/>
    </row>
    <row r="424" spans="2:24" x14ac:dyDescent="0.25">
      <c r="B424" s="14"/>
      <c r="C424" s="14"/>
      <c r="H424" s="14"/>
      <c r="M424" s="14"/>
      <c r="N424" s="15"/>
      <c r="O424" s="14"/>
      <c r="R424" s="14"/>
      <c r="S424" s="15"/>
      <c r="T424" s="14"/>
      <c r="W424" s="14"/>
      <c r="X424" s="14"/>
    </row>
    <row r="425" spans="2:24" x14ac:dyDescent="0.25">
      <c r="B425" s="14"/>
      <c r="C425" s="14"/>
      <c r="H425" s="14"/>
      <c r="M425" s="14"/>
      <c r="N425" s="15"/>
      <c r="O425" s="14"/>
      <c r="R425" s="14"/>
      <c r="S425" s="15"/>
      <c r="T425" s="14"/>
      <c r="W425" s="14"/>
      <c r="X425" s="14"/>
    </row>
    <row r="426" spans="2:24" x14ac:dyDescent="0.25">
      <c r="B426" s="14"/>
      <c r="C426" s="14"/>
      <c r="H426" s="14"/>
      <c r="M426" s="14"/>
      <c r="N426" s="15"/>
      <c r="O426" s="14"/>
      <c r="R426" s="14"/>
      <c r="S426" s="15"/>
      <c r="T426" s="14"/>
      <c r="W426" s="14"/>
      <c r="X426" s="14"/>
    </row>
    <row r="427" spans="2:24" x14ac:dyDescent="0.25">
      <c r="B427" s="14"/>
      <c r="C427" s="14"/>
      <c r="H427" s="14"/>
      <c r="M427" s="14"/>
      <c r="N427" s="15"/>
      <c r="O427" s="14"/>
      <c r="R427" s="14"/>
      <c r="S427" s="15"/>
      <c r="T427" s="14"/>
      <c r="W427" s="14"/>
      <c r="X427" s="14"/>
    </row>
    <row r="428" spans="2:24" x14ac:dyDescent="0.25">
      <c r="B428" s="14"/>
      <c r="C428" s="14"/>
      <c r="H428" s="14"/>
      <c r="M428" s="14"/>
      <c r="N428" s="15"/>
      <c r="O428" s="14"/>
      <c r="R428" s="14"/>
      <c r="S428" s="15"/>
      <c r="T428" s="14"/>
      <c r="W428" s="14"/>
      <c r="X428" s="14"/>
    </row>
    <row r="429" spans="2:24" x14ac:dyDescent="0.25">
      <c r="B429" s="14"/>
      <c r="C429" s="14"/>
      <c r="H429" s="14"/>
      <c r="M429" s="14"/>
      <c r="N429" s="15"/>
      <c r="O429" s="14"/>
      <c r="R429" s="14"/>
      <c r="S429" s="15"/>
      <c r="T429" s="14"/>
      <c r="W429" s="14"/>
      <c r="X429" s="14"/>
    </row>
    <row r="430" spans="2:24" x14ac:dyDescent="0.25">
      <c r="B430" s="14"/>
      <c r="C430" s="14"/>
      <c r="H430" s="14"/>
      <c r="M430" s="14"/>
      <c r="N430" s="15"/>
      <c r="O430" s="14"/>
      <c r="R430" s="14"/>
      <c r="S430" s="15"/>
      <c r="T430" s="14"/>
      <c r="W430" s="14"/>
      <c r="X430" s="14"/>
    </row>
    <row r="431" spans="2:24" x14ac:dyDescent="0.25">
      <c r="B431" s="14"/>
      <c r="C431" s="14"/>
      <c r="H431" s="14"/>
      <c r="M431" s="14"/>
      <c r="N431" s="15"/>
      <c r="O431" s="14"/>
      <c r="R431" s="14"/>
      <c r="S431" s="15"/>
      <c r="T431" s="14"/>
      <c r="W431" s="14"/>
      <c r="X431" s="14"/>
    </row>
    <row r="432" spans="2:24" x14ac:dyDescent="0.25">
      <c r="B432" s="14"/>
      <c r="C432" s="14"/>
      <c r="H432" s="14"/>
      <c r="M432" s="14"/>
      <c r="N432" s="15"/>
      <c r="O432" s="14"/>
      <c r="R432" s="14"/>
      <c r="S432" s="15"/>
      <c r="T432" s="14"/>
      <c r="W432" s="14"/>
      <c r="X432" s="14"/>
    </row>
    <row r="433" spans="2:24" x14ac:dyDescent="0.25">
      <c r="B433" s="14"/>
      <c r="C433" s="14"/>
      <c r="H433" s="14"/>
      <c r="M433" s="14"/>
      <c r="N433" s="15"/>
      <c r="O433" s="14"/>
      <c r="R433" s="14"/>
      <c r="S433" s="15"/>
      <c r="T433" s="14"/>
      <c r="W433" s="14"/>
      <c r="X433" s="14"/>
    </row>
    <row r="434" spans="2:24" x14ac:dyDescent="0.25">
      <c r="B434" s="14"/>
      <c r="C434" s="14"/>
      <c r="H434" s="14"/>
      <c r="M434" s="14"/>
      <c r="N434" s="15"/>
      <c r="O434" s="14"/>
      <c r="R434" s="14"/>
      <c r="S434" s="15"/>
      <c r="T434" s="14"/>
      <c r="W434" s="14"/>
      <c r="X434" s="14"/>
    </row>
    <row r="435" spans="2:24" x14ac:dyDescent="0.25">
      <c r="B435" s="14"/>
      <c r="C435" s="14"/>
      <c r="H435" s="14"/>
      <c r="M435" s="14"/>
      <c r="N435" s="15"/>
      <c r="O435" s="14"/>
      <c r="R435" s="14"/>
      <c r="S435" s="15"/>
      <c r="T435" s="14"/>
      <c r="W435" s="14"/>
      <c r="X435" s="14"/>
    </row>
    <row r="436" spans="2:24" x14ac:dyDescent="0.25">
      <c r="B436" s="14"/>
      <c r="C436" s="14"/>
      <c r="H436" s="14"/>
      <c r="M436" s="14"/>
      <c r="N436" s="15"/>
      <c r="O436" s="14"/>
      <c r="R436" s="14"/>
      <c r="S436" s="15"/>
      <c r="T436" s="14"/>
      <c r="W436" s="14"/>
      <c r="X436" s="14"/>
    </row>
    <row r="437" spans="2:24" x14ac:dyDescent="0.25">
      <c r="B437" s="14"/>
      <c r="C437" s="14"/>
      <c r="H437" s="14"/>
      <c r="M437" s="14"/>
      <c r="N437" s="15"/>
      <c r="O437" s="14"/>
      <c r="R437" s="14"/>
      <c r="S437" s="15"/>
      <c r="T437" s="14"/>
      <c r="W437" s="14"/>
      <c r="X437" s="14"/>
    </row>
    <row r="438" spans="2:24" x14ac:dyDescent="0.25">
      <c r="B438" s="14"/>
      <c r="C438" s="14"/>
      <c r="H438" s="14"/>
      <c r="M438" s="14"/>
      <c r="N438" s="15"/>
      <c r="O438" s="14"/>
      <c r="R438" s="14"/>
      <c r="S438" s="15"/>
      <c r="T438" s="14"/>
      <c r="W438" s="14"/>
      <c r="X438" s="14"/>
    </row>
    <row r="439" spans="2:24" x14ac:dyDescent="0.25">
      <c r="B439" s="14"/>
      <c r="C439" s="14"/>
      <c r="H439" s="14"/>
      <c r="M439" s="14"/>
      <c r="N439" s="15"/>
      <c r="O439" s="14"/>
      <c r="R439" s="14"/>
      <c r="S439" s="15"/>
      <c r="T439" s="14"/>
      <c r="W439" s="14"/>
      <c r="X439" s="14"/>
    </row>
    <row r="440" spans="2:24" x14ac:dyDescent="0.25">
      <c r="B440" s="14"/>
      <c r="C440" s="14"/>
      <c r="H440" s="14"/>
      <c r="M440" s="14"/>
      <c r="N440" s="15"/>
      <c r="O440" s="14"/>
      <c r="R440" s="14"/>
      <c r="S440" s="15"/>
      <c r="T440" s="14"/>
      <c r="W440" s="14"/>
      <c r="X440" s="14"/>
    </row>
    <row r="441" spans="2:24" x14ac:dyDescent="0.25">
      <c r="B441" s="14"/>
      <c r="C441" s="14"/>
      <c r="H441" s="14"/>
      <c r="M441" s="14"/>
      <c r="N441" s="15"/>
      <c r="O441" s="14"/>
      <c r="R441" s="14"/>
      <c r="S441" s="15"/>
      <c r="T441" s="14"/>
      <c r="W441" s="14"/>
      <c r="X441" s="14"/>
    </row>
    <row r="442" spans="2:24" x14ac:dyDescent="0.25">
      <c r="B442" s="14"/>
      <c r="C442" s="14"/>
      <c r="H442" s="14"/>
      <c r="M442" s="14"/>
      <c r="N442" s="15"/>
      <c r="O442" s="14"/>
      <c r="R442" s="14"/>
      <c r="S442" s="15"/>
      <c r="T442" s="14"/>
      <c r="W442" s="14"/>
      <c r="X442" s="14"/>
    </row>
    <row r="443" spans="2:24" x14ac:dyDescent="0.25">
      <c r="B443" s="14"/>
      <c r="C443" s="14"/>
      <c r="H443" s="14"/>
      <c r="M443" s="14"/>
      <c r="N443" s="15"/>
      <c r="O443" s="14"/>
      <c r="R443" s="14"/>
      <c r="S443" s="15"/>
      <c r="T443" s="14"/>
      <c r="W443" s="14"/>
      <c r="X443" s="14"/>
    </row>
    <row r="444" spans="2:24" x14ac:dyDescent="0.25">
      <c r="B444" s="14"/>
      <c r="C444" s="14"/>
      <c r="H444" s="14"/>
      <c r="M444" s="14"/>
      <c r="N444" s="15"/>
      <c r="O444" s="14"/>
      <c r="R444" s="14"/>
      <c r="S444" s="15"/>
      <c r="T444" s="14"/>
      <c r="W444" s="14"/>
      <c r="X444" s="14"/>
    </row>
    <row r="445" spans="2:24" x14ac:dyDescent="0.25">
      <c r="B445" s="14"/>
      <c r="C445" s="14"/>
      <c r="H445" s="14"/>
      <c r="M445" s="14"/>
      <c r="N445" s="15"/>
      <c r="O445" s="14"/>
      <c r="R445" s="14"/>
      <c r="S445" s="15"/>
      <c r="T445" s="14"/>
      <c r="W445" s="14"/>
      <c r="X445" s="14"/>
    </row>
    <row r="446" spans="2:24" x14ac:dyDescent="0.25">
      <c r="B446" s="14"/>
      <c r="C446" s="14"/>
      <c r="H446" s="14"/>
      <c r="M446" s="14"/>
      <c r="N446" s="15"/>
      <c r="O446" s="14"/>
      <c r="R446" s="14"/>
      <c r="S446" s="15"/>
      <c r="T446" s="14"/>
      <c r="W446" s="14"/>
      <c r="X446" s="14"/>
    </row>
    <row r="447" spans="2:24" x14ac:dyDescent="0.25">
      <c r="B447" s="14"/>
      <c r="C447" s="14"/>
      <c r="H447" s="14"/>
      <c r="M447" s="14"/>
      <c r="N447" s="15"/>
      <c r="O447" s="14"/>
      <c r="R447" s="14"/>
      <c r="S447" s="15"/>
      <c r="T447" s="14"/>
      <c r="W447" s="14"/>
      <c r="X447" s="14"/>
    </row>
    <row r="448" spans="2:24" x14ac:dyDescent="0.25">
      <c r="B448" s="14"/>
      <c r="C448" s="14"/>
      <c r="H448" s="14"/>
      <c r="M448" s="14"/>
      <c r="N448" s="15"/>
      <c r="O448" s="14"/>
      <c r="R448" s="14"/>
      <c r="S448" s="15"/>
      <c r="T448" s="14"/>
      <c r="W448" s="14"/>
      <c r="X448" s="14"/>
    </row>
    <row r="449" spans="2:24" x14ac:dyDescent="0.25">
      <c r="B449" s="14"/>
      <c r="C449" s="14"/>
      <c r="H449" s="14"/>
      <c r="M449" s="14"/>
      <c r="N449" s="15"/>
      <c r="O449" s="14"/>
      <c r="R449" s="14"/>
      <c r="S449" s="15"/>
      <c r="T449" s="14"/>
      <c r="W449" s="14"/>
      <c r="X449" s="14"/>
    </row>
    <row r="450" spans="2:24" x14ac:dyDescent="0.25">
      <c r="B450" s="14"/>
      <c r="C450" s="14"/>
      <c r="H450" s="14"/>
      <c r="M450" s="14"/>
      <c r="N450" s="15"/>
      <c r="O450" s="14"/>
      <c r="R450" s="14"/>
      <c r="S450" s="15"/>
      <c r="T450" s="14"/>
      <c r="W450" s="14"/>
      <c r="X450" s="14"/>
    </row>
    <row r="451" spans="2:24" x14ac:dyDescent="0.25">
      <c r="B451" s="14"/>
      <c r="C451" s="14"/>
      <c r="H451" s="14"/>
      <c r="M451" s="14"/>
      <c r="N451" s="15"/>
      <c r="O451" s="14"/>
      <c r="R451" s="14"/>
      <c r="S451" s="15"/>
      <c r="T451" s="14"/>
      <c r="W451" s="14"/>
      <c r="X451" s="14"/>
    </row>
    <row r="452" spans="2:24" x14ac:dyDescent="0.25">
      <c r="B452" s="14"/>
      <c r="C452" s="14"/>
      <c r="H452" s="14"/>
      <c r="M452" s="14"/>
      <c r="N452" s="15"/>
      <c r="O452" s="14"/>
      <c r="R452" s="14"/>
      <c r="S452" s="15"/>
      <c r="T452" s="14"/>
      <c r="W452" s="14"/>
      <c r="X452" s="14"/>
    </row>
    <row r="453" spans="2:24" x14ac:dyDescent="0.25">
      <c r="B453" s="14"/>
      <c r="C453" s="14"/>
      <c r="H453" s="14"/>
      <c r="M453" s="14"/>
      <c r="N453" s="15"/>
      <c r="O453" s="14"/>
      <c r="R453" s="14"/>
      <c r="S453" s="15"/>
      <c r="T453" s="14"/>
      <c r="W453" s="14"/>
      <c r="X453" s="14"/>
    </row>
    <row r="454" spans="2:24" x14ac:dyDescent="0.25">
      <c r="B454" s="14"/>
      <c r="C454" s="14"/>
      <c r="H454" s="14"/>
      <c r="M454" s="14"/>
      <c r="N454" s="15"/>
      <c r="O454" s="14"/>
      <c r="R454" s="14"/>
      <c r="S454" s="15"/>
      <c r="T454" s="14"/>
      <c r="W454" s="14"/>
      <c r="X454" s="14"/>
    </row>
    <row r="455" spans="2:24" x14ac:dyDescent="0.25">
      <c r="B455" s="14"/>
      <c r="C455" s="14"/>
      <c r="H455" s="14"/>
      <c r="M455" s="14"/>
      <c r="N455" s="15"/>
      <c r="O455" s="14"/>
      <c r="R455" s="14"/>
      <c r="S455" s="15"/>
      <c r="T455" s="14"/>
      <c r="W455" s="14"/>
      <c r="X455" s="14"/>
    </row>
    <row r="456" spans="2:24" x14ac:dyDescent="0.25">
      <c r="B456" s="14"/>
      <c r="C456" s="14"/>
      <c r="H456" s="14"/>
      <c r="M456" s="14"/>
      <c r="N456" s="15"/>
      <c r="O456" s="14"/>
      <c r="R456" s="14"/>
      <c r="S456" s="15"/>
      <c r="T456" s="14"/>
      <c r="W456" s="14"/>
      <c r="X456" s="14"/>
    </row>
    <row r="457" spans="2:24" x14ac:dyDescent="0.25">
      <c r="B457" s="14"/>
      <c r="C457" s="14"/>
      <c r="H457" s="14"/>
      <c r="M457" s="14"/>
      <c r="N457" s="15"/>
      <c r="O457" s="14"/>
      <c r="R457" s="14"/>
      <c r="S457" s="15"/>
      <c r="T457" s="14"/>
      <c r="W457" s="14"/>
      <c r="X457" s="14"/>
    </row>
    <row r="458" spans="2:24" x14ac:dyDescent="0.25">
      <c r="B458" s="14"/>
      <c r="C458" s="14"/>
      <c r="H458" s="14"/>
      <c r="M458" s="14"/>
      <c r="N458" s="15"/>
      <c r="O458" s="14"/>
      <c r="R458" s="14"/>
      <c r="S458" s="15"/>
      <c r="T458" s="14"/>
      <c r="W458" s="14"/>
      <c r="X458" s="14"/>
    </row>
    <row r="459" spans="2:24" x14ac:dyDescent="0.25">
      <c r="B459" s="14"/>
      <c r="C459" s="14"/>
      <c r="H459" s="14"/>
      <c r="M459" s="14"/>
      <c r="N459" s="15"/>
      <c r="O459" s="14"/>
      <c r="R459" s="14"/>
      <c r="S459" s="15"/>
      <c r="T459" s="14"/>
      <c r="W459" s="14"/>
      <c r="X459" s="14"/>
    </row>
    <row r="460" spans="2:24" x14ac:dyDescent="0.25">
      <c r="B460" s="14"/>
      <c r="C460" s="14"/>
      <c r="H460" s="14"/>
      <c r="M460" s="14"/>
      <c r="N460" s="15"/>
      <c r="O460" s="14"/>
      <c r="R460" s="14"/>
      <c r="S460" s="15"/>
      <c r="T460" s="14"/>
      <c r="W460" s="14"/>
      <c r="X460" s="14"/>
    </row>
    <row r="461" spans="2:24" x14ac:dyDescent="0.25">
      <c r="B461" s="14"/>
      <c r="C461" s="14"/>
      <c r="H461" s="14"/>
      <c r="M461" s="14"/>
      <c r="N461" s="15"/>
      <c r="O461" s="14"/>
      <c r="R461" s="14"/>
      <c r="S461" s="15"/>
      <c r="T461" s="14"/>
      <c r="W461" s="14"/>
      <c r="X461" s="14"/>
    </row>
    <row r="462" spans="2:24" x14ac:dyDescent="0.25">
      <c r="B462" s="14"/>
      <c r="C462" s="14"/>
      <c r="H462" s="14"/>
      <c r="M462" s="14"/>
      <c r="N462" s="15"/>
      <c r="O462" s="14"/>
      <c r="R462" s="14"/>
      <c r="S462" s="15"/>
      <c r="T462" s="14"/>
      <c r="W462" s="14"/>
      <c r="X462" s="14"/>
    </row>
    <row r="463" spans="2:24" x14ac:dyDescent="0.25">
      <c r="B463" s="14"/>
      <c r="C463" s="14"/>
      <c r="H463" s="14"/>
      <c r="M463" s="14"/>
      <c r="N463" s="15"/>
      <c r="O463" s="14"/>
      <c r="R463" s="14"/>
      <c r="S463" s="15"/>
      <c r="T463" s="14"/>
      <c r="W463" s="14"/>
      <c r="X463" s="14"/>
    </row>
    <row r="464" spans="2:24" x14ac:dyDescent="0.25">
      <c r="B464" s="14"/>
      <c r="C464" s="14"/>
      <c r="H464" s="14"/>
      <c r="M464" s="14"/>
      <c r="N464" s="15"/>
      <c r="O464" s="14"/>
      <c r="R464" s="14"/>
      <c r="S464" s="15"/>
      <c r="T464" s="14"/>
      <c r="W464" s="14"/>
      <c r="X464" s="14"/>
    </row>
    <row r="465" spans="2:24" x14ac:dyDescent="0.25">
      <c r="B465" s="14"/>
      <c r="C465" s="14"/>
      <c r="H465" s="14"/>
      <c r="M465" s="14"/>
      <c r="N465" s="15"/>
      <c r="O465" s="14"/>
      <c r="R465" s="14"/>
      <c r="S465" s="15"/>
      <c r="T465" s="14"/>
      <c r="W465" s="14"/>
      <c r="X465" s="14"/>
    </row>
    <row r="466" spans="2:24" x14ac:dyDescent="0.25">
      <c r="B466" s="14"/>
      <c r="C466" s="14"/>
      <c r="H466" s="14"/>
      <c r="M466" s="14"/>
      <c r="N466" s="15"/>
      <c r="O466" s="14"/>
      <c r="R466" s="14"/>
      <c r="S466" s="15"/>
      <c r="T466" s="14"/>
      <c r="W466" s="14"/>
      <c r="X466" s="14"/>
    </row>
    <row r="467" spans="2:24" x14ac:dyDescent="0.25">
      <c r="B467" s="14"/>
      <c r="C467" s="14"/>
      <c r="H467" s="14"/>
      <c r="M467" s="14"/>
      <c r="N467" s="15"/>
      <c r="O467" s="14"/>
      <c r="R467" s="14"/>
      <c r="S467" s="15"/>
      <c r="T467" s="14"/>
      <c r="W467" s="14"/>
      <c r="X467" s="14"/>
    </row>
    <row r="468" spans="2:24" x14ac:dyDescent="0.25">
      <c r="B468" s="14"/>
      <c r="C468" s="14"/>
      <c r="H468" s="14"/>
      <c r="M468" s="14"/>
      <c r="N468" s="15"/>
      <c r="O468" s="14"/>
      <c r="R468" s="14"/>
      <c r="S468" s="15"/>
      <c r="T468" s="14"/>
      <c r="W468" s="14"/>
      <c r="X468" s="14"/>
    </row>
    <row r="469" spans="2:24" x14ac:dyDescent="0.25">
      <c r="B469" s="14"/>
      <c r="C469" s="14"/>
      <c r="H469" s="14"/>
      <c r="M469" s="14"/>
      <c r="N469" s="15"/>
      <c r="O469" s="14"/>
      <c r="R469" s="14"/>
      <c r="S469" s="15"/>
      <c r="T469" s="14"/>
      <c r="W469" s="14"/>
      <c r="X469" s="14"/>
    </row>
    <row r="470" spans="2:24" x14ac:dyDescent="0.25">
      <c r="B470" s="14"/>
      <c r="C470" s="14"/>
      <c r="H470" s="14"/>
      <c r="M470" s="14"/>
      <c r="N470" s="15"/>
      <c r="O470" s="14"/>
      <c r="R470" s="14"/>
      <c r="S470" s="15"/>
      <c r="T470" s="14"/>
      <c r="W470" s="14"/>
      <c r="X470" s="14"/>
    </row>
    <row r="471" spans="2:24" x14ac:dyDescent="0.25">
      <c r="B471" s="14"/>
      <c r="C471" s="14"/>
      <c r="H471" s="14"/>
      <c r="M471" s="14"/>
      <c r="N471" s="15"/>
      <c r="O471" s="14"/>
      <c r="R471" s="14"/>
      <c r="S471" s="15"/>
      <c r="T471" s="14"/>
      <c r="W471" s="14"/>
      <c r="X471" s="14"/>
    </row>
    <row r="472" spans="2:24" x14ac:dyDescent="0.25">
      <c r="B472" s="14"/>
      <c r="C472" s="14"/>
      <c r="H472" s="14"/>
      <c r="M472" s="14"/>
      <c r="N472" s="15"/>
      <c r="O472" s="14"/>
      <c r="R472" s="14"/>
      <c r="S472" s="15"/>
      <c r="T472" s="14"/>
      <c r="W472" s="14"/>
      <c r="X472" s="14"/>
    </row>
    <row r="473" spans="2:24" x14ac:dyDescent="0.25">
      <c r="B473" s="14"/>
      <c r="C473" s="14"/>
      <c r="H473" s="14"/>
      <c r="M473" s="14"/>
      <c r="N473" s="15"/>
      <c r="O473" s="14"/>
      <c r="R473" s="14"/>
      <c r="S473" s="15"/>
      <c r="T473" s="14"/>
      <c r="W473" s="14"/>
      <c r="X473" s="14"/>
    </row>
    <row r="474" spans="2:24" x14ac:dyDescent="0.25">
      <c r="B474" s="14"/>
      <c r="C474" s="14"/>
      <c r="H474" s="14"/>
      <c r="M474" s="14"/>
      <c r="N474" s="15"/>
      <c r="O474" s="14"/>
      <c r="R474" s="14"/>
      <c r="S474" s="15"/>
      <c r="T474" s="14"/>
      <c r="W474" s="14"/>
      <c r="X474" s="14"/>
    </row>
    <row r="475" spans="2:24" x14ac:dyDescent="0.25">
      <c r="B475" s="14"/>
      <c r="C475" s="14"/>
      <c r="H475" s="14"/>
      <c r="M475" s="14"/>
      <c r="N475" s="15"/>
      <c r="O475" s="14"/>
      <c r="R475" s="14"/>
      <c r="S475" s="15"/>
      <c r="T475" s="14"/>
      <c r="W475" s="14"/>
      <c r="X475" s="14"/>
    </row>
    <row r="476" spans="2:24" x14ac:dyDescent="0.25">
      <c r="B476" s="14"/>
      <c r="C476" s="14"/>
      <c r="H476" s="14"/>
      <c r="M476" s="14"/>
      <c r="N476" s="15"/>
      <c r="O476" s="14"/>
      <c r="R476" s="14"/>
      <c r="S476" s="15"/>
      <c r="T476" s="14"/>
      <c r="W476" s="14"/>
      <c r="X476" s="14"/>
    </row>
    <row r="477" spans="2:24" x14ac:dyDescent="0.25">
      <c r="B477" s="14"/>
      <c r="C477" s="14"/>
      <c r="H477" s="14"/>
      <c r="M477" s="14"/>
      <c r="N477" s="15"/>
      <c r="O477" s="14"/>
      <c r="R477" s="14"/>
      <c r="S477" s="15"/>
      <c r="T477" s="14"/>
      <c r="W477" s="14"/>
      <c r="X477" s="14"/>
    </row>
    <row r="478" spans="2:24" x14ac:dyDescent="0.25">
      <c r="B478" s="14"/>
      <c r="C478" s="14"/>
      <c r="H478" s="14"/>
      <c r="M478" s="14"/>
      <c r="N478" s="15"/>
      <c r="O478" s="14"/>
      <c r="R478" s="14"/>
      <c r="S478" s="15"/>
      <c r="T478" s="14"/>
      <c r="W478" s="14"/>
      <c r="X478" s="14"/>
    </row>
    <row r="479" spans="2:24" x14ac:dyDescent="0.25">
      <c r="B479" s="14"/>
      <c r="C479" s="14"/>
      <c r="H479" s="14"/>
      <c r="M479" s="14"/>
      <c r="N479" s="15"/>
      <c r="O479" s="14"/>
      <c r="R479" s="14"/>
      <c r="S479" s="15"/>
      <c r="T479" s="14"/>
      <c r="W479" s="14"/>
      <c r="X479" s="14"/>
    </row>
    <row r="480" spans="2:24" x14ac:dyDescent="0.25">
      <c r="B480" s="14"/>
      <c r="C480" s="14"/>
      <c r="H480" s="14"/>
      <c r="M480" s="14"/>
      <c r="N480" s="15"/>
      <c r="O480" s="14"/>
      <c r="R480" s="14"/>
      <c r="S480" s="15"/>
      <c r="T480" s="14"/>
      <c r="W480" s="14"/>
      <c r="X480" s="14"/>
    </row>
    <row r="481" spans="2:24" x14ac:dyDescent="0.25">
      <c r="B481" s="14"/>
      <c r="C481" s="14"/>
      <c r="H481" s="14"/>
      <c r="M481" s="14"/>
      <c r="N481" s="15"/>
      <c r="O481" s="14"/>
      <c r="R481" s="14"/>
      <c r="S481" s="15"/>
      <c r="T481" s="14"/>
      <c r="W481" s="14"/>
      <c r="X481" s="14"/>
    </row>
    <row r="482" spans="2:24" x14ac:dyDescent="0.25">
      <c r="B482" s="14"/>
      <c r="C482" s="14"/>
      <c r="H482" s="14"/>
      <c r="M482" s="14"/>
      <c r="N482" s="15"/>
      <c r="O482" s="14"/>
      <c r="R482" s="14"/>
      <c r="S482" s="15"/>
      <c r="T482" s="14"/>
      <c r="W482" s="14"/>
      <c r="X482" s="14"/>
    </row>
    <row r="483" spans="2:24" x14ac:dyDescent="0.25">
      <c r="B483" s="14"/>
      <c r="C483" s="14"/>
      <c r="H483" s="14"/>
      <c r="M483" s="14"/>
      <c r="N483" s="15"/>
      <c r="O483" s="14"/>
      <c r="R483" s="14"/>
      <c r="S483" s="15"/>
      <c r="T483" s="14"/>
      <c r="W483" s="14"/>
      <c r="X483" s="14"/>
    </row>
    <row r="484" spans="2:24" x14ac:dyDescent="0.25">
      <c r="B484" s="14"/>
      <c r="C484" s="14"/>
      <c r="H484" s="14"/>
      <c r="M484" s="14"/>
      <c r="N484" s="15"/>
      <c r="O484" s="14"/>
      <c r="R484" s="14"/>
      <c r="S484" s="15"/>
      <c r="T484" s="14"/>
      <c r="W484" s="14"/>
      <c r="X484" s="14"/>
    </row>
    <row r="485" spans="2:24" x14ac:dyDescent="0.25">
      <c r="B485" s="14"/>
      <c r="C485" s="14"/>
      <c r="H485" s="14"/>
      <c r="M485" s="14"/>
      <c r="N485" s="15"/>
      <c r="O485" s="14"/>
      <c r="R485" s="14"/>
      <c r="S485" s="15"/>
      <c r="T485" s="14"/>
      <c r="W485" s="14"/>
      <c r="X485" s="14"/>
    </row>
    <row r="486" spans="2:24" x14ac:dyDescent="0.25">
      <c r="B486" s="14"/>
      <c r="C486" s="14"/>
      <c r="H486" s="14"/>
      <c r="M486" s="14"/>
      <c r="N486" s="15"/>
      <c r="O486" s="14"/>
      <c r="R486" s="14"/>
      <c r="S486" s="15"/>
      <c r="T486" s="14"/>
      <c r="W486" s="14"/>
      <c r="X486" s="14"/>
    </row>
    <row r="487" spans="2:24" x14ac:dyDescent="0.25">
      <c r="B487" s="14"/>
      <c r="C487" s="14"/>
      <c r="H487" s="14"/>
      <c r="M487" s="14"/>
      <c r="N487" s="15"/>
      <c r="O487" s="14"/>
      <c r="R487" s="14"/>
      <c r="S487" s="15"/>
      <c r="T487" s="14"/>
      <c r="W487" s="14"/>
      <c r="X487" s="14"/>
    </row>
    <row r="488" spans="2:24" x14ac:dyDescent="0.25">
      <c r="B488" s="14"/>
      <c r="C488" s="14"/>
      <c r="H488" s="14"/>
      <c r="M488" s="14"/>
      <c r="N488" s="15"/>
      <c r="O488" s="14"/>
      <c r="R488" s="14"/>
      <c r="S488" s="15"/>
      <c r="T488" s="14"/>
      <c r="W488" s="14"/>
      <c r="X488" s="14"/>
    </row>
    <row r="489" spans="2:24" x14ac:dyDescent="0.25">
      <c r="B489" s="14"/>
      <c r="C489" s="14"/>
      <c r="H489" s="14"/>
      <c r="M489" s="14"/>
      <c r="N489" s="15"/>
      <c r="O489" s="14"/>
      <c r="R489" s="14"/>
      <c r="S489" s="15"/>
      <c r="T489" s="14"/>
      <c r="W489" s="14"/>
      <c r="X489" s="14"/>
    </row>
    <row r="490" spans="2:24" x14ac:dyDescent="0.25">
      <c r="B490" s="14"/>
      <c r="C490" s="14"/>
      <c r="H490" s="14"/>
      <c r="M490" s="14"/>
      <c r="N490" s="15"/>
      <c r="O490" s="14"/>
      <c r="R490" s="14"/>
      <c r="S490" s="15"/>
      <c r="T490" s="14"/>
      <c r="W490" s="14"/>
      <c r="X490" s="14"/>
    </row>
    <row r="491" spans="2:24" x14ac:dyDescent="0.25">
      <c r="B491" s="14"/>
      <c r="C491" s="14"/>
      <c r="H491" s="14"/>
      <c r="M491" s="14"/>
      <c r="N491" s="15"/>
      <c r="O491" s="14"/>
      <c r="R491" s="14"/>
      <c r="S491" s="15"/>
      <c r="T491" s="14"/>
      <c r="W491" s="14"/>
      <c r="X491" s="14"/>
    </row>
    <row r="492" spans="2:24" x14ac:dyDescent="0.25">
      <c r="B492" s="14"/>
      <c r="C492" s="14"/>
      <c r="H492" s="14"/>
      <c r="M492" s="14"/>
      <c r="N492" s="15"/>
      <c r="O492" s="14"/>
      <c r="R492" s="14"/>
      <c r="S492" s="15"/>
      <c r="T492" s="14"/>
      <c r="W492" s="14"/>
      <c r="X492" s="14"/>
    </row>
    <row r="493" spans="2:24" x14ac:dyDescent="0.25">
      <c r="B493" s="14"/>
      <c r="C493" s="14"/>
      <c r="H493" s="14"/>
      <c r="M493" s="14"/>
      <c r="N493" s="15"/>
      <c r="O493" s="14"/>
      <c r="R493" s="14"/>
      <c r="S493" s="15"/>
      <c r="T493" s="14"/>
      <c r="W493" s="14"/>
      <c r="X493" s="14"/>
    </row>
    <row r="494" spans="2:24" x14ac:dyDescent="0.25">
      <c r="B494" s="14"/>
      <c r="C494" s="14"/>
      <c r="H494" s="14"/>
      <c r="M494" s="14"/>
      <c r="N494" s="15"/>
      <c r="O494" s="14"/>
      <c r="R494" s="14"/>
      <c r="S494" s="15"/>
      <c r="T494" s="14"/>
      <c r="W494" s="14"/>
      <c r="X494" s="14"/>
    </row>
    <row r="495" spans="2:24" x14ac:dyDescent="0.25">
      <c r="B495" s="14"/>
      <c r="C495" s="14"/>
      <c r="H495" s="14"/>
      <c r="M495" s="14"/>
      <c r="N495" s="15"/>
      <c r="O495" s="14"/>
      <c r="R495" s="14"/>
      <c r="S495" s="15"/>
      <c r="T495" s="14"/>
      <c r="W495" s="14"/>
      <c r="X495" s="14"/>
    </row>
    <row r="496" spans="2:24" x14ac:dyDescent="0.25">
      <c r="B496" s="14"/>
      <c r="C496" s="14"/>
      <c r="H496" s="14"/>
      <c r="M496" s="14"/>
      <c r="N496" s="15"/>
      <c r="O496" s="14"/>
      <c r="R496" s="14"/>
      <c r="S496" s="15"/>
      <c r="T496" s="14"/>
      <c r="W496" s="14"/>
      <c r="X496" s="14"/>
    </row>
    <row r="497" spans="2:24" x14ac:dyDescent="0.25">
      <c r="B497" s="14"/>
      <c r="C497" s="14"/>
      <c r="H497" s="14"/>
      <c r="M497" s="14"/>
      <c r="N497" s="15"/>
      <c r="O497" s="14"/>
      <c r="R497" s="14"/>
      <c r="S497" s="15"/>
      <c r="T497" s="14"/>
      <c r="W497" s="14"/>
      <c r="X497" s="14"/>
    </row>
    <row r="498" spans="2:24" x14ac:dyDescent="0.25">
      <c r="B498" s="14"/>
      <c r="C498" s="14"/>
      <c r="H498" s="14"/>
      <c r="M498" s="14"/>
      <c r="N498" s="15"/>
      <c r="O498" s="14"/>
      <c r="R498" s="14"/>
      <c r="S498" s="15"/>
      <c r="T498" s="14"/>
      <c r="W498" s="14"/>
      <c r="X498" s="14"/>
    </row>
    <row r="499" spans="2:24" x14ac:dyDescent="0.25">
      <c r="B499" s="14"/>
      <c r="C499" s="14"/>
      <c r="H499" s="14"/>
      <c r="M499" s="14"/>
      <c r="N499" s="15"/>
      <c r="O499" s="14"/>
      <c r="R499" s="14"/>
      <c r="S499" s="15"/>
      <c r="T499" s="14"/>
      <c r="W499" s="14"/>
      <c r="X499" s="14"/>
    </row>
    <row r="500" spans="2:24" x14ac:dyDescent="0.25">
      <c r="B500" s="14"/>
      <c r="C500" s="14"/>
      <c r="H500" s="14"/>
      <c r="M500" s="14"/>
      <c r="N500" s="15"/>
      <c r="O500" s="14"/>
      <c r="R500" s="14"/>
      <c r="S500" s="15"/>
      <c r="T500" s="14"/>
      <c r="W500" s="14"/>
      <c r="X500" s="14"/>
    </row>
    <row r="501" spans="2:24" x14ac:dyDescent="0.25">
      <c r="B501" s="14"/>
      <c r="C501" s="14"/>
      <c r="H501" s="14"/>
      <c r="M501" s="14"/>
      <c r="N501" s="15"/>
      <c r="O501" s="14"/>
      <c r="R501" s="14"/>
      <c r="S501" s="15"/>
      <c r="T501" s="14"/>
      <c r="W501" s="14"/>
      <c r="X501" s="14"/>
    </row>
    <row r="502" spans="2:24" x14ac:dyDescent="0.25">
      <c r="B502" s="14"/>
      <c r="C502" s="14"/>
      <c r="H502" s="14"/>
      <c r="M502" s="14"/>
      <c r="N502" s="15"/>
      <c r="O502" s="14"/>
      <c r="R502" s="14"/>
      <c r="S502" s="15"/>
      <c r="T502" s="14"/>
      <c r="W502" s="14"/>
      <c r="X502" s="14"/>
    </row>
    <row r="503" spans="2:24" x14ac:dyDescent="0.25">
      <c r="B503" s="14"/>
      <c r="C503" s="14"/>
      <c r="H503" s="14"/>
      <c r="M503" s="14"/>
      <c r="N503" s="15"/>
      <c r="O503" s="14"/>
      <c r="R503" s="14"/>
      <c r="S503" s="15"/>
      <c r="T503" s="14"/>
      <c r="W503" s="14"/>
      <c r="X503" s="14"/>
    </row>
    <row r="504" spans="2:24" x14ac:dyDescent="0.25">
      <c r="B504" s="14"/>
      <c r="C504" s="14"/>
      <c r="H504" s="14"/>
      <c r="M504" s="14"/>
      <c r="N504" s="15"/>
      <c r="O504" s="14"/>
      <c r="R504" s="14"/>
      <c r="S504" s="15"/>
      <c r="T504" s="14"/>
      <c r="W504" s="14"/>
      <c r="X504" s="14"/>
    </row>
    <row r="505" spans="2:24" x14ac:dyDescent="0.25">
      <c r="B505" s="14"/>
      <c r="C505" s="14"/>
      <c r="H505" s="14"/>
      <c r="M505" s="14"/>
      <c r="N505" s="15"/>
      <c r="O505" s="14"/>
      <c r="R505" s="14"/>
      <c r="S505" s="15"/>
      <c r="T505" s="14"/>
      <c r="W505" s="14"/>
      <c r="X505" s="14"/>
    </row>
    <row r="506" spans="2:24" x14ac:dyDescent="0.25">
      <c r="B506" s="14"/>
      <c r="C506" s="14"/>
      <c r="H506" s="14"/>
      <c r="M506" s="14"/>
      <c r="N506" s="15"/>
      <c r="O506" s="14"/>
      <c r="R506" s="14"/>
      <c r="S506" s="15"/>
      <c r="T506" s="14"/>
      <c r="W506" s="14"/>
      <c r="X506" s="14"/>
    </row>
    <row r="507" spans="2:24" x14ac:dyDescent="0.25">
      <c r="B507" s="14"/>
      <c r="C507" s="14"/>
      <c r="H507" s="14"/>
      <c r="M507" s="14"/>
      <c r="N507" s="15"/>
      <c r="O507" s="14"/>
      <c r="R507" s="14"/>
      <c r="S507" s="15"/>
      <c r="T507" s="14"/>
      <c r="W507" s="14"/>
      <c r="X507" s="14"/>
    </row>
    <row r="508" spans="2:24" x14ac:dyDescent="0.25">
      <c r="B508" s="14"/>
      <c r="C508" s="14"/>
      <c r="H508" s="14"/>
      <c r="M508" s="14"/>
      <c r="N508" s="15"/>
      <c r="O508" s="14"/>
      <c r="R508" s="14"/>
      <c r="S508" s="15"/>
      <c r="T508" s="14"/>
      <c r="W508" s="14"/>
      <c r="X508" s="14"/>
    </row>
    <row r="509" spans="2:24" x14ac:dyDescent="0.25">
      <c r="B509" s="14"/>
      <c r="C509" s="14"/>
      <c r="H509" s="14"/>
      <c r="M509" s="14"/>
      <c r="N509" s="15"/>
      <c r="O509" s="14"/>
      <c r="R509" s="14"/>
      <c r="S509" s="15"/>
      <c r="T509" s="14"/>
      <c r="W509" s="14"/>
      <c r="X509" s="14"/>
    </row>
    <row r="510" spans="2:24" x14ac:dyDescent="0.25">
      <c r="B510" s="14"/>
      <c r="C510" s="14"/>
      <c r="H510" s="14"/>
      <c r="M510" s="14"/>
      <c r="N510" s="15"/>
      <c r="O510" s="14"/>
      <c r="R510" s="14"/>
      <c r="S510" s="15"/>
      <c r="T510" s="14"/>
      <c r="W510" s="14"/>
      <c r="X510" s="14"/>
    </row>
    <row r="511" spans="2:24" x14ac:dyDescent="0.25">
      <c r="B511" s="14"/>
      <c r="C511" s="14"/>
      <c r="H511" s="14"/>
      <c r="M511" s="14"/>
      <c r="N511" s="15"/>
      <c r="O511" s="14"/>
      <c r="R511" s="14"/>
      <c r="S511" s="15"/>
      <c r="T511" s="14"/>
      <c r="W511" s="14"/>
      <c r="X511" s="14"/>
    </row>
    <row r="512" spans="2:24" x14ac:dyDescent="0.25">
      <c r="B512" s="14"/>
      <c r="C512" s="14"/>
      <c r="H512" s="14"/>
      <c r="M512" s="14"/>
      <c r="N512" s="15"/>
      <c r="O512" s="14"/>
      <c r="R512" s="14"/>
      <c r="S512" s="15"/>
      <c r="T512" s="14"/>
      <c r="W512" s="14"/>
      <c r="X512" s="14"/>
    </row>
    <row r="513" spans="2:24" x14ac:dyDescent="0.25">
      <c r="B513" s="14"/>
      <c r="C513" s="14"/>
      <c r="H513" s="14"/>
      <c r="M513" s="14"/>
      <c r="N513" s="15"/>
      <c r="O513" s="14"/>
      <c r="R513" s="14"/>
      <c r="S513" s="15"/>
      <c r="T513" s="14"/>
      <c r="W513" s="14"/>
      <c r="X513" s="14"/>
    </row>
    <row r="514" spans="2:24" x14ac:dyDescent="0.25">
      <c r="B514" s="14"/>
      <c r="C514" s="14"/>
      <c r="H514" s="14"/>
      <c r="M514" s="14"/>
      <c r="N514" s="15"/>
      <c r="O514" s="14"/>
      <c r="R514" s="14"/>
      <c r="S514" s="15"/>
      <c r="T514" s="14"/>
      <c r="W514" s="14"/>
      <c r="X514" s="14"/>
    </row>
    <row r="515" spans="2:24" x14ac:dyDescent="0.25">
      <c r="B515" s="14"/>
      <c r="C515" s="14"/>
      <c r="H515" s="14"/>
      <c r="M515" s="14"/>
      <c r="N515" s="15"/>
      <c r="O515" s="14"/>
      <c r="R515" s="14"/>
      <c r="S515" s="15"/>
      <c r="T515" s="14"/>
      <c r="W515" s="14"/>
      <c r="X515" s="14"/>
    </row>
    <row r="516" spans="2:24" x14ac:dyDescent="0.25">
      <c r="B516" s="14"/>
      <c r="C516" s="14"/>
      <c r="H516" s="14"/>
      <c r="M516" s="14"/>
      <c r="N516" s="15"/>
      <c r="O516" s="14"/>
      <c r="R516" s="14"/>
      <c r="S516" s="15"/>
      <c r="T516" s="14"/>
      <c r="W516" s="14"/>
      <c r="X516" s="14"/>
    </row>
    <row r="517" spans="2:24" x14ac:dyDescent="0.25">
      <c r="B517" s="14"/>
      <c r="C517" s="14"/>
      <c r="H517" s="14"/>
      <c r="M517" s="14"/>
      <c r="N517" s="15"/>
      <c r="O517" s="14"/>
      <c r="R517" s="14"/>
      <c r="S517" s="15"/>
      <c r="T517" s="14"/>
      <c r="W517" s="14"/>
      <c r="X517" s="14"/>
    </row>
    <row r="518" spans="2:24" x14ac:dyDescent="0.25">
      <c r="B518" s="14"/>
      <c r="C518" s="14"/>
      <c r="H518" s="14"/>
      <c r="M518" s="14"/>
      <c r="N518" s="15"/>
      <c r="O518" s="14"/>
      <c r="R518" s="14"/>
      <c r="S518" s="15"/>
      <c r="T518" s="14"/>
      <c r="W518" s="14"/>
      <c r="X518" s="14"/>
    </row>
    <row r="519" spans="2:24" x14ac:dyDescent="0.25">
      <c r="B519" s="14"/>
      <c r="C519" s="14"/>
      <c r="H519" s="14"/>
      <c r="M519" s="14"/>
      <c r="N519" s="15"/>
      <c r="O519" s="14"/>
      <c r="R519" s="14"/>
      <c r="S519" s="15"/>
      <c r="T519" s="14"/>
      <c r="W519" s="14"/>
      <c r="X519" s="14"/>
    </row>
    <row r="520" spans="2:24" x14ac:dyDescent="0.25">
      <c r="B520" s="14"/>
      <c r="C520" s="14"/>
      <c r="H520" s="14"/>
      <c r="M520" s="14"/>
      <c r="N520" s="15"/>
      <c r="O520" s="14"/>
      <c r="R520" s="14"/>
      <c r="S520" s="15"/>
      <c r="T520" s="14"/>
      <c r="W520" s="14"/>
      <c r="X520" s="14"/>
    </row>
    <row r="521" spans="2:24" x14ac:dyDescent="0.25">
      <c r="B521" s="14"/>
      <c r="C521" s="14"/>
      <c r="H521" s="14"/>
      <c r="M521" s="14"/>
      <c r="N521" s="15"/>
      <c r="O521" s="14"/>
      <c r="R521" s="14"/>
      <c r="S521" s="15"/>
      <c r="T521" s="14"/>
      <c r="W521" s="14"/>
      <c r="X521" s="14"/>
    </row>
    <row r="522" spans="2:24" x14ac:dyDescent="0.25">
      <c r="B522" s="14"/>
      <c r="C522" s="14"/>
      <c r="H522" s="14"/>
      <c r="M522" s="14"/>
      <c r="N522" s="15"/>
      <c r="O522" s="14"/>
      <c r="R522" s="14"/>
      <c r="S522" s="15"/>
      <c r="T522" s="14"/>
      <c r="W522" s="14"/>
      <c r="X522" s="14"/>
    </row>
    <row r="523" spans="2:24" x14ac:dyDescent="0.25">
      <c r="B523" s="14"/>
      <c r="C523" s="14"/>
      <c r="H523" s="14"/>
      <c r="M523" s="14"/>
      <c r="N523" s="15"/>
      <c r="O523" s="14"/>
      <c r="R523" s="14"/>
      <c r="S523" s="15"/>
      <c r="T523" s="14"/>
      <c r="W523" s="14"/>
      <c r="X523" s="14"/>
    </row>
    <row r="524" spans="2:24" x14ac:dyDescent="0.25">
      <c r="B524" s="14"/>
      <c r="C524" s="14"/>
      <c r="H524" s="14"/>
      <c r="M524" s="14"/>
      <c r="N524" s="15"/>
      <c r="O524" s="14"/>
      <c r="R524" s="14"/>
      <c r="S524" s="15"/>
      <c r="T524" s="14"/>
      <c r="W524" s="14"/>
      <c r="X524" s="14"/>
    </row>
    <row r="525" spans="2:24" x14ac:dyDescent="0.25">
      <c r="B525" s="14"/>
      <c r="C525" s="14"/>
      <c r="H525" s="14"/>
      <c r="M525" s="14"/>
      <c r="N525" s="15"/>
      <c r="O525" s="14"/>
      <c r="R525" s="14"/>
      <c r="S525" s="15"/>
      <c r="T525" s="14"/>
      <c r="W525" s="14"/>
      <c r="X525" s="14"/>
    </row>
    <row r="526" spans="2:24" x14ac:dyDescent="0.25">
      <c r="B526" s="14"/>
      <c r="C526" s="14"/>
      <c r="H526" s="14"/>
      <c r="M526" s="14"/>
      <c r="N526" s="15"/>
      <c r="O526" s="14"/>
      <c r="R526" s="14"/>
      <c r="S526" s="15"/>
      <c r="T526" s="14"/>
      <c r="W526" s="14"/>
      <c r="X526" s="14"/>
    </row>
    <row r="527" spans="2:24" x14ac:dyDescent="0.25">
      <c r="B527" s="14"/>
      <c r="C527" s="14"/>
      <c r="H527" s="14"/>
      <c r="M527" s="14"/>
      <c r="N527" s="15"/>
      <c r="O527" s="14"/>
      <c r="R527" s="14"/>
      <c r="S527" s="15"/>
      <c r="T527" s="14"/>
      <c r="W527" s="14"/>
      <c r="X527" s="14"/>
    </row>
    <row r="528" spans="2:24" x14ac:dyDescent="0.25">
      <c r="B528" s="14"/>
      <c r="C528" s="14"/>
      <c r="H528" s="14"/>
      <c r="M528" s="14"/>
      <c r="N528" s="15"/>
      <c r="O528" s="14"/>
      <c r="R528" s="14"/>
      <c r="S528" s="15"/>
      <c r="T528" s="14"/>
      <c r="W528" s="14"/>
      <c r="X528" s="14"/>
    </row>
    <row r="529" spans="2:24" x14ac:dyDescent="0.25">
      <c r="B529" s="14"/>
      <c r="C529" s="14"/>
      <c r="H529" s="14"/>
      <c r="M529" s="14"/>
      <c r="N529" s="15"/>
      <c r="O529" s="14"/>
      <c r="R529" s="14"/>
      <c r="S529" s="15"/>
      <c r="T529" s="14"/>
      <c r="W529" s="14"/>
      <c r="X529" s="14"/>
    </row>
    <row r="530" spans="2:24" x14ac:dyDescent="0.25">
      <c r="B530" s="14"/>
      <c r="C530" s="14"/>
      <c r="H530" s="14"/>
      <c r="M530" s="14"/>
      <c r="N530" s="15"/>
      <c r="O530" s="14"/>
      <c r="R530" s="14"/>
      <c r="S530" s="15"/>
      <c r="T530" s="14"/>
      <c r="W530" s="14"/>
      <c r="X530" s="14"/>
    </row>
    <row r="531" spans="2:24" x14ac:dyDescent="0.25">
      <c r="B531" s="14"/>
      <c r="C531" s="14"/>
      <c r="H531" s="14"/>
      <c r="M531" s="14"/>
      <c r="N531" s="15"/>
      <c r="O531" s="14"/>
      <c r="R531" s="14"/>
      <c r="S531" s="15"/>
      <c r="T531" s="14"/>
      <c r="W531" s="14"/>
      <c r="X531" s="14"/>
    </row>
    <row r="532" spans="2:24" x14ac:dyDescent="0.25">
      <c r="B532" s="14"/>
      <c r="C532" s="14"/>
      <c r="H532" s="14"/>
      <c r="M532" s="14"/>
      <c r="N532" s="15"/>
      <c r="O532" s="14"/>
      <c r="R532" s="14"/>
      <c r="S532" s="15"/>
      <c r="T532" s="14"/>
      <c r="W532" s="14"/>
      <c r="X532" s="14"/>
    </row>
    <row r="533" spans="2:24" x14ac:dyDescent="0.25">
      <c r="B533" s="14"/>
      <c r="C533" s="14"/>
      <c r="H533" s="14"/>
      <c r="M533" s="14"/>
      <c r="N533" s="15"/>
      <c r="O533" s="14"/>
      <c r="R533" s="14"/>
      <c r="S533" s="15"/>
      <c r="T533" s="14"/>
      <c r="W533" s="14"/>
      <c r="X533" s="14"/>
    </row>
    <row r="534" spans="2:24" x14ac:dyDescent="0.25">
      <c r="B534" s="14"/>
      <c r="C534" s="14"/>
      <c r="H534" s="14"/>
      <c r="M534" s="14"/>
      <c r="N534" s="15"/>
      <c r="O534" s="14"/>
      <c r="R534" s="14"/>
      <c r="S534" s="15"/>
      <c r="T534" s="14"/>
      <c r="W534" s="14"/>
      <c r="X534" s="14"/>
    </row>
    <row r="535" spans="2:24" x14ac:dyDescent="0.25">
      <c r="B535" s="14"/>
      <c r="C535" s="14"/>
      <c r="H535" s="14"/>
      <c r="M535" s="14"/>
      <c r="N535" s="15"/>
      <c r="O535" s="14"/>
      <c r="R535" s="14"/>
      <c r="S535" s="15"/>
      <c r="T535" s="14"/>
      <c r="W535" s="14"/>
      <c r="X535" s="14"/>
    </row>
    <row r="536" spans="2:24" x14ac:dyDescent="0.25">
      <c r="B536" s="14"/>
      <c r="C536" s="14"/>
      <c r="H536" s="14"/>
      <c r="M536" s="14"/>
      <c r="N536" s="15"/>
      <c r="O536" s="14"/>
      <c r="R536" s="14"/>
      <c r="S536" s="15"/>
      <c r="T536" s="14"/>
      <c r="W536" s="14"/>
      <c r="X536" s="14"/>
    </row>
    <row r="537" spans="2:24" x14ac:dyDescent="0.25">
      <c r="B537" s="14"/>
      <c r="C537" s="14"/>
      <c r="H537" s="14"/>
      <c r="M537" s="14"/>
      <c r="N537" s="15"/>
      <c r="O537" s="14"/>
      <c r="R537" s="14"/>
      <c r="S537" s="15"/>
      <c r="T537" s="14"/>
      <c r="W537" s="14"/>
      <c r="X537" s="14"/>
    </row>
    <row r="538" spans="2:24" x14ac:dyDescent="0.25">
      <c r="B538" s="14"/>
      <c r="C538" s="14"/>
      <c r="H538" s="14"/>
      <c r="M538" s="14"/>
      <c r="N538" s="15"/>
      <c r="O538" s="14"/>
      <c r="R538" s="14"/>
      <c r="S538" s="15"/>
      <c r="T538" s="14"/>
      <c r="W538" s="14"/>
      <c r="X538" s="14"/>
    </row>
    <row r="539" spans="2:24" x14ac:dyDescent="0.25">
      <c r="B539" s="14"/>
      <c r="C539" s="14"/>
      <c r="H539" s="14"/>
      <c r="M539" s="14"/>
      <c r="N539" s="15"/>
      <c r="O539" s="14"/>
      <c r="R539" s="14"/>
      <c r="S539" s="15"/>
      <c r="T539" s="14"/>
      <c r="W539" s="14"/>
      <c r="X539" s="14"/>
    </row>
    <row r="540" spans="2:24" x14ac:dyDescent="0.25">
      <c r="B540" s="14"/>
      <c r="C540" s="14"/>
      <c r="H540" s="14"/>
      <c r="M540" s="14"/>
      <c r="N540" s="15"/>
      <c r="O540" s="14"/>
      <c r="R540" s="14"/>
      <c r="S540" s="15"/>
      <c r="T540" s="14"/>
      <c r="W540" s="14"/>
      <c r="X540" s="14"/>
    </row>
    <row r="541" spans="2:24" x14ac:dyDescent="0.25">
      <c r="B541" s="14"/>
      <c r="C541" s="14"/>
      <c r="H541" s="14"/>
      <c r="M541" s="14"/>
      <c r="N541" s="15"/>
      <c r="O541" s="14"/>
      <c r="R541" s="14"/>
      <c r="S541" s="15"/>
      <c r="T541" s="14"/>
      <c r="W541" s="14"/>
      <c r="X541" s="14"/>
    </row>
    <row r="542" spans="2:24" x14ac:dyDescent="0.25">
      <c r="B542" s="14"/>
      <c r="C542" s="14"/>
      <c r="H542" s="14"/>
      <c r="M542" s="14"/>
      <c r="N542" s="15"/>
      <c r="O542" s="14"/>
      <c r="R542" s="14"/>
      <c r="S542" s="15"/>
      <c r="T542" s="14"/>
      <c r="W542" s="14"/>
      <c r="X542" s="14"/>
    </row>
    <row r="543" spans="2:24" x14ac:dyDescent="0.25">
      <c r="B543" s="14"/>
      <c r="C543" s="14"/>
      <c r="H543" s="14"/>
      <c r="M543" s="14"/>
      <c r="N543" s="15"/>
      <c r="O543" s="14"/>
      <c r="R543" s="14"/>
      <c r="S543" s="15"/>
      <c r="T543" s="14"/>
      <c r="W543" s="14"/>
      <c r="X543" s="14"/>
    </row>
    <row r="544" spans="2:24" x14ac:dyDescent="0.25">
      <c r="B544" s="14"/>
      <c r="C544" s="14"/>
      <c r="H544" s="14"/>
      <c r="M544" s="14"/>
      <c r="N544" s="15"/>
      <c r="O544" s="14"/>
      <c r="R544" s="14"/>
      <c r="S544" s="15"/>
      <c r="T544" s="14"/>
      <c r="W544" s="14"/>
      <c r="X544" s="14"/>
    </row>
    <row r="545" spans="2:24" x14ac:dyDescent="0.25">
      <c r="B545" s="14"/>
      <c r="C545" s="14"/>
      <c r="H545" s="14"/>
      <c r="M545" s="14"/>
      <c r="N545" s="15"/>
      <c r="O545" s="14"/>
      <c r="R545" s="14"/>
      <c r="S545" s="15"/>
      <c r="T545" s="14"/>
      <c r="W545" s="14"/>
      <c r="X545" s="14"/>
    </row>
    <row r="546" spans="2:24" x14ac:dyDescent="0.25">
      <c r="B546" s="14"/>
      <c r="H546" s="14"/>
      <c r="M546" s="14"/>
      <c r="N546" s="15"/>
      <c r="O546" s="14"/>
      <c r="R546" s="14"/>
      <c r="S546" s="15"/>
      <c r="T546" s="14"/>
      <c r="W546" s="14"/>
      <c r="X546" s="14"/>
    </row>
    <row r="547" spans="2:24" x14ac:dyDescent="0.25">
      <c r="M547" s="14"/>
      <c r="N547" s="15"/>
      <c r="O547" s="14"/>
      <c r="R547" s="14"/>
      <c r="S547" s="15"/>
      <c r="T547" s="14"/>
      <c r="W547" s="14"/>
      <c r="X547" s="14"/>
    </row>
    <row r="548" spans="2:24" x14ac:dyDescent="0.25">
      <c r="M548" s="14"/>
      <c r="N548" s="15"/>
      <c r="O548" s="14"/>
      <c r="R548" s="14"/>
      <c r="S548" s="15"/>
      <c r="T548" s="14"/>
      <c r="W548" s="14"/>
      <c r="X548" s="14"/>
    </row>
    <row r="549" spans="2:24" x14ac:dyDescent="0.25">
      <c r="M549" s="14"/>
      <c r="N549" s="15"/>
      <c r="O549" s="14"/>
      <c r="R549" s="14"/>
      <c r="S549" s="15"/>
      <c r="T549" s="14"/>
      <c r="W549" s="14"/>
      <c r="X549" s="14"/>
    </row>
    <row r="550" spans="2:24" x14ac:dyDescent="0.25">
      <c r="M550" s="14"/>
      <c r="N550" s="15"/>
      <c r="O550" s="14"/>
      <c r="R550" s="14"/>
      <c r="S550" s="15"/>
      <c r="T550" s="14"/>
      <c r="W550" s="14"/>
      <c r="X550" s="14"/>
    </row>
    <row r="551" spans="2:24" x14ac:dyDescent="0.25">
      <c r="M551" s="14"/>
      <c r="N551" s="15"/>
      <c r="O551" s="14"/>
      <c r="R551" s="14"/>
      <c r="S551" s="15"/>
      <c r="T551" s="14"/>
      <c r="W551" s="14"/>
      <c r="X551" s="14"/>
    </row>
    <row r="552" spans="2:24" x14ac:dyDescent="0.25">
      <c r="M552" s="14"/>
      <c r="N552" s="15"/>
      <c r="O552" s="14"/>
      <c r="R552" s="14"/>
      <c r="S552" s="15"/>
      <c r="T552" s="14"/>
      <c r="W552" s="14"/>
      <c r="X552" s="14"/>
    </row>
    <row r="553" spans="2:24" x14ac:dyDescent="0.25">
      <c r="M553" s="14"/>
      <c r="N553" s="15"/>
      <c r="O553" s="14"/>
      <c r="R553" s="14"/>
      <c r="S553" s="15"/>
      <c r="T553" s="14"/>
      <c r="W553" s="14"/>
      <c r="X553" s="14"/>
    </row>
    <row r="554" spans="2:24" x14ac:dyDescent="0.25">
      <c r="M554" s="14"/>
      <c r="N554" s="15"/>
      <c r="O554" s="14"/>
      <c r="R554" s="14"/>
      <c r="S554" s="15"/>
      <c r="T554" s="14"/>
      <c r="W554" s="14"/>
      <c r="X554" s="14"/>
    </row>
    <row r="555" spans="2:24" x14ac:dyDescent="0.25">
      <c r="M555" s="14"/>
      <c r="N555" s="15"/>
      <c r="O555" s="14"/>
      <c r="R555" s="14"/>
      <c r="S555" s="15"/>
      <c r="T555" s="14"/>
      <c r="W555" s="14"/>
      <c r="X555" s="14"/>
    </row>
    <row r="556" spans="2:24" x14ac:dyDescent="0.25">
      <c r="M556" s="14"/>
      <c r="N556" s="15"/>
      <c r="O556" s="14"/>
      <c r="R556" s="14"/>
      <c r="S556" s="15"/>
      <c r="T556" s="14"/>
      <c r="W556" s="14"/>
      <c r="X556" s="14"/>
    </row>
    <row r="557" spans="2:24" x14ac:dyDescent="0.25">
      <c r="M557" s="14"/>
      <c r="N557" s="15"/>
      <c r="O557" s="14"/>
      <c r="R557" s="14"/>
      <c r="S557" s="15"/>
      <c r="T557" s="14"/>
      <c r="W557" s="14"/>
      <c r="X557" s="14"/>
    </row>
    <row r="558" spans="2:24" x14ac:dyDescent="0.25">
      <c r="M558" s="14"/>
      <c r="N558" s="15"/>
      <c r="O558" s="14"/>
      <c r="R558" s="14"/>
      <c r="S558" s="15"/>
      <c r="T558" s="14"/>
      <c r="W558" s="14"/>
      <c r="X558" s="14"/>
    </row>
    <row r="559" spans="2:24" x14ac:dyDescent="0.25">
      <c r="M559" s="14"/>
      <c r="N559" s="15"/>
      <c r="O559" s="14"/>
      <c r="R559" s="14"/>
      <c r="S559" s="15"/>
      <c r="T559" s="14"/>
      <c r="W559" s="14"/>
      <c r="X559" s="14"/>
    </row>
    <row r="560" spans="2:24" x14ac:dyDescent="0.25">
      <c r="M560" s="14"/>
      <c r="N560" s="15"/>
      <c r="O560" s="14"/>
      <c r="R560" s="14"/>
      <c r="S560" s="15"/>
      <c r="T560" s="14"/>
      <c r="W560" s="14"/>
      <c r="X560" s="14"/>
    </row>
    <row r="561" spans="13:24" x14ac:dyDescent="0.25">
      <c r="M561" s="14"/>
      <c r="N561" s="15"/>
      <c r="O561" s="14"/>
      <c r="R561" s="14"/>
      <c r="S561" s="15"/>
      <c r="T561" s="14"/>
      <c r="W561" s="14"/>
      <c r="X561" s="14"/>
    </row>
    <row r="562" spans="13:24" x14ac:dyDescent="0.25">
      <c r="M562" s="14"/>
      <c r="N562" s="15"/>
      <c r="O562" s="14"/>
      <c r="R562" s="14"/>
      <c r="S562" s="15"/>
      <c r="T562" s="14"/>
      <c r="W562" s="14"/>
      <c r="X562" s="14"/>
    </row>
    <row r="563" spans="13:24" x14ac:dyDescent="0.25">
      <c r="M563" s="14"/>
      <c r="N563" s="15"/>
      <c r="O563" s="14"/>
      <c r="R563" s="14"/>
      <c r="S563" s="15"/>
      <c r="T563" s="14"/>
      <c r="W563" s="14"/>
      <c r="X563" s="14"/>
    </row>
    <row r="564" spans="13:24" x14ac:dyDescent="0.25">
      <c r="M564" s="14"/>
      <c r="N564" s="15"/>
      <c r="O564" s="14"/>
      <c r="R564" s="14"/>
      <c r="S564" s="15"/>
      <c r="T564" s="14"/>
      <c r="W564" s="14"/>
      <c r="X564" s="14"/>
    </row>
    <row r="565" spans="13:24" x14ac:dyDescent="0.25">
      <c r="M565" s="14"/>
      <c r="N565" s="15"/>
      <c r="O565" s="14"/>
      <c r="R565" s="14"/>
      <c r="S565" s="15"/>
      <c r="T565" s="14"/>
      <c r="W565" s="14"/>
      <c r="X565" s="14"/>
    </row>
    <row r="566" spans="13:24" x14ac:dyDescent="0.25">
      <c r="M566" s="14"/>
      <c r="N566" s="15"/>
      <c r="O566" s="14"/>
      <c r="R566" s="14"/>
      <c r="S566" s="15"/>
      <c r="T566" s="14"/>
      <c r="W566" s="14"/>
      <c r="X566" s="14"/>
    </row>
    <row r="567" spans="13:24" x14ac:dyDescent="0.25">
      <c r="M567" s="14"/>
      <c r="N567" s="15"/>
      <c r="O567" s="14"/>
      <c r="R567" s="14"/>
      <c r="S567" s="15"/>
      <c r="T567" s="14"/>
      <c r="W567" s="14"/>
      <c r="X567" s="14"/>
    </row>
    <row r="568" spans="13:24" x14ac:dyDescent="0.25">
      <c r="M568" s="14"/>
      <c r="N568" s="15"/>
      <c r="O568" s="14"/>
      <c r="R568" s="14"/>
      <c r="S568" s="15"/>
      <c r="T568" s="14"/>
      <c r="W568" s="14"/>
      <c r="X568" s="14"/>
    </row>
    <row r="569" spans="13:24" x14ac:dyDescent="0.25">
      <c r="M569" s="14"/>
      <c r="N569" s="15"/>
      <c r="O569" s="14"/>
      <c r="R569" s="14"/>
      <c r="S569" s="15"/>
      <c r="T569" s="14"/>
      <c r="W569" s="14"/>
      <c r="X569" s="14"/>
    </row>
    <row r="570" spans="13:24" x14ac:dyDescent="0.25">
      <c r="M570" s="14"/>
      <c r="N570" s="15"/>
      <c r="O570" s="14"/>
      <c r="R570" s="14"/>
      <c r="S570" s="15"/>
      <c r="T570" s="14"/>
      <c r="W570" s="14"/>
      <c r="X570" s="14"/>
    </row>
    <row r="571" spans="13:24" x14ac:dyDescent="0.25">
      <c r="M571" s="14"/>
      <c r="N571" s="15"/>
      <c r="O571" s="14"/>
      <c r="R571" s="14"/>
      <c r="S571" s="15"/>
      <c r="T571" s="14"/>
      <c r="W571" s="14"/>
      <c r="X571" s="14"/>
    </row>
    <row r="572" spans="13:24" x14ac:dyDescent="0.25">
      <c r="M572" s="14"/>
      <c r="N572" s="15"/>
      <c r="O572" s="14"/>
      <c r="R572" s="14"/>
      <c r="S572" s="15"/>
      <c r="T572" s="14"/>
      <c r="W572" s="14"/>
      <c r="X572" s="14"/>
    </row>
    <row r="573" spans="13:24" x14ac:dyDescent="0.25">
      <c r="M573" s="14"/>
      <c r="N573" s="15"/>
      <c r="O573" s="14"/>
      <c r="R573" s="14"/>
      <c r="S573" s="15"/>
      <c r="T573" s="14"/>
      <c r="W573" s="14"/>
      <c r="X573" s="14"/>
    </row>
    <row r="574" spans="13:24" x14ac:dyDescent="0.25">
      <c r="M574" s="14"/>
      <c r="N574" s="15"/>
      <c r="O574" s="14"/>
      <c r="R574" s="14"/>
      <c r="S574" s="15"/>
      <c r="T574" s="14"/>
      <c r="W574" s="14"/>
      <c r="X574" s="14"/>
    </row>
    <row r="575" spans="13:24" x14ac:dyDescent="0.25">
      <c r="M575" s="14"/>
      <c r="N575" s="15"/>
      <c r="O575" s="14"/>
      <c r="R575" s="14"/>
      <c r="S575" s="15"/>
      <c r="T575" s="14"/>
      <c r="W575" s="14"/>
      <c r="X575" s="14"/>
    </row>
    <row r="576" spans="13:24" x14ac:dyDescent="0.25">
      <c r="M576" s="14"/>
      <c r="N576" s="15"/>
      <c r="O576" s="14"/>
      <c r="R576" s="14"/>
      <c r="S576" s="15"/>
      <c r="T576" s="14"/>
      <c r="W576" s="14"/>
      <c r="X576" s="14"/>
    </row>
    <row r="577" spans="13:24" x14ac:dyDescent="0.25">
      <c r="M577" s="14"/>
      <c r="N577" s="15"/>
      <c r="O577" s="14"/>
      <c r="R577" s="14"/>
      <c r="S577" s="15"/>
      <c r="T577" s="14"/>
      <c r="W577" s="14"/>
      <c r="X577" s="14"/>
    </row>
    <row r="578" spans="13:24" x14ac:dyDescent="0.25">
      <c r="M578" s="14"/>
      <c r="N578" s="15"/>
      <c r="O578" s="14"/>
      <c r="R578" s="14"/>
      <c r="S578" s="15"/>
      <c r="T578" s="14"/>
      <c r="W578" s="14"/>
      <c r="X578" s="14"/>
    </row>
    <row r="579" spans="13:24" x14ac:dyDescent="0.25">
      <c r="M579" s="14"/>
      <c r="N579" s="15"/>
      <c r="O579" s="14"/>
      <c r="R579" s="14"/>
      <c r="S579" s="15"/>
      <c r="T579" s="14"/>
      <c r="W579" s="14"/>
      <c r="X579" s="14"/>
    </row>
    <row r="580" spans="13:24" x14ac:dyDescent="0.25">
      <c r="M580" s="14"/>
      <c r="N580" s="15"/>
      <c r="O580" s="14"/>
      <c r="R580" s="14"/>
      <c r="S580" s="15"/>
      <c r="T580" s="14"/>
      <c r="W580" s="14"/>
      <c r="X580" s="14"/>
    </row>
    <row r="581" spans="13:24" x14ac:dyDescent="0.25">
      <c r="M581" s="14"/>
      <c r="N581" s="15"/>
      <c r="O581" s="14"/>
      <c r="R581" s="14"/>
      <c r="S581" s="15"/>
      <c r="T581" s="14"/>
      <c r="W581" s="14"/>
      <c r="X581" s="14"/>
    </row>
    <row r="582" spans="13:24" x14ac:dyDescent="0.25">
      <c r="M582" s="14"/>
      <c r="N582" s="15"/>
      <c r="O582" s="14"/>
      <c r="R582" s="14"/>
      <c r="S582" s="15"/>
      <c r="T582" s="14"/>
      <c r="W582" s="14"/>
      <c r="X582" s="14"/>
    </row>
    <row r="583" spans="13:24" x14ac:dyDescent="0.25">
      <c r="M583" s="14"/>
      <c r="N583" s="15"/>
      <c r="O583" s="14"/>
      <c r="R583" s="14"/>
      <c r="S583" s="15"/>
      <c r="T583" s="14"/>
      <c r="W583" s="14"/>
      <c r="X583" s="14"/>
    </row>
    <row r="584" spans="13:24" x14ac:dyDescent="0.25">
      <c r="M584" s="14"/>
      <c r="N584" s="15"/>
      <c r="O584" s="14"/>
      <c r="R584" s="14"/>
      <c r="S584" s="15"/>
      <c r="T584" s="14"/>
      <c r="W584" s="14"/>
      <c r="X584" s="14"/>
    </row>
    <row r="585" spans="13:24" x14ac:dyDescent="0.25">
      <c r="M585" s="14"/>
      <c r="N585" s="15"/>
      <c r="O585" s="14"/>
      <c r="R585" s="14"/>
      <c r="S585" s="15"/>
      <c r="T585" s="14"/>
      <c r="W585" s="14"/>
      <c r="X585" s="14"/>
    </row>
    <row r="586" spans="13:24" x14ac:dyDescent="0.25">
      <c r="M586" s="14"/>
      <c r="N586" s="15"/>
      <c r="O586" s="14"/>
      <c r="R586" s="14"/>
      <c r="S586" s="15"/>
      <c r="T586" s="14"/>
      <c r="W586" s="14"/>
      <c r="X586" s="14"/>
    </row>
    <row r="587" spans="13:24" x14ac:dyDescent="0.25">
      <c r="M587" s="14"/>
      <c r="N587" s="15"/>
      <c r="O587" s="14"/>
      <c r="R587" s="14"/>
      <c r="S587" s="15"/>
      <c r="T587" s="14"/>
      <c r="W587" s="14"/>
      <c r="X587" s="14"/>
    </row>
    <row r="588" spans="13:24" x14ac:dyDescent="0.25">
      <c r="M588" s="14"/>
      <c r="N588" s="15"/>
      <c r="O588" s="14"/>
      <c r="R588" s="14"/>
      <c r="S588" s="15"/>
      <c r="T588" s="14"/>
      <c r="W588" s="14"/>
      <c r="X588" s="14"/>
    </row>
    <row r="589" spans="13:24" x14ac:dyDescent="0.25">
      <c r="M589" s="14"/>
      <c r="N589" s="15"/>
      <c r="O589" s="14"/>
      <c r="R589" s="14"/>
      <c r="S589" s="15"/>
      <c r="T589" s="14"/>
      <c r="W589" s="14"/>
      <c r="X589" s="14"/>
    </row>
    <row r="590" spans="13:24" x14ac:dyDescent="0.25">
      <c r="M590" s="14"/>
      <c r="N590" s="15"/>
      <c r="O590" s="14"/>
      <c r="R590" s="14"/>
      <c r="S590" s="15"/>
      <c r="T590" s="14"/>
      <c r="W590" s="14"/>
      <c r="X590" s="14"/>
    </row>
    <row r="591" spans="13:24" x14ac:dyDescent="0.25">
      <c r="M591" s="14"/>
      <c r="N591" s="15"/>
      <c r="O591" s="14"/>
      <c r="R591" s="14"/>
      <c r="S591" s="15"/>
      <c r="T591" s="14"/>
      <c r="W591" s="14"/>
      <c r="X591" s="14"/>
    </row>
    <row r="592" spans="13:24" x14ac:dyDescent="0.25">
      <c r="M592" s="14"/>
      <c r="N592" s="15"/>
      <c r="O592" s="14"/>
      <c r="R592" s="14"/>
      <c r="S592" s="15"/>
      <c r="T592" s="14"/>
      <c r="W592" s="14"/>
      <c r="X592" s="14"/>
    </row>
    <row r="593" spans="13:24" x14ac:dyDescent="0.25">
      <c r="M593" s="14"/>
      <c r="N593" s="15"/>
      <c r="O593" s="14"/>
      <c r="R593" s="14"/>
      <c r="S593" s="15"/>
      <c r="T593" s="14"/>
      <c r="W593" s="14"/>
      <c r="X593" s="14"/>
    </row>
    <row r="594" spans="13:24" x14ac:dyDescent="0.25">
      <c r="M594" s="14"/>
      <c r="N594" s="15"/>
      <c r="O594" s="14"/>
      <c r="R594" s="14"/>
      <c r="S594" s="15"/>
      <c r="T594" s="14"/>
      <c r="W594" s="14"/>
      <c r="X594" s="14"/>
    </row>
    <row r="595" spans="13:24" x14ac:dyDescent="0.25">
      <c r="M595" s="14"/>
      <c r="N595" s="15"/>
      <c r="O595" s="14"/>
      <c r="R595" s="14"/>
      <c r="S595" s="15"/>
      <c r="T595" s="14"/>
      <c r="W595" s="14"/>
      <c r="X595" s="14"/>
    </row>
    <row r="596" spans="13:24" x14ac:dyDescent="0.25">
      <c r="M596" s="14"/>
      <c r="N596" s="15"/>
      <c r="O596" s="14"/>
      <c r="R596" s="14"/>
      <c r="S596" s="15"/>
      <c r="T596" s="14"/>
      <c r="W596" s="14"/>
      <c r="X596" s="14"/>
    </row>
    <row r="597" spans="13:24" x14ac:dyDescent="0.25">
      <c r="M597" s="14"/>
      <c r="N597" s="15"/>
      <c r="O597" s="14"/>
      <c r="R597" s="14"/>
      <c r="S597" s="15"/>
      <c r="T597" s="14"/>
      <c r="W597" s="14"/>
      <c r="X597" s="14"/>
    </row>
    <row r="598" spans="13:24" x14ac:dyDescent="0.25">
      <c r="M598" s="14"/>
      <c r="N598" s="15"/>
      <c r="O598" s="14"/>
      <c r="R598" s="14"/>
      <c r="S598" s="15"/>
      <c r="T598" s="14"/>
      <c r="W598" s="14"/>
      <c r="X598" s="14"/>
    </row>
    <row r="599" spans="13:24" x14ac:dyDescent="0.25">
      <c r="M599" s="14"/>
      <c r="N599" s="15"/>
      <c r="O599" s="14"/>
      <c r="R599" s="14"/>
      <c r="S599" s="15"/>
      <c r="T599" s="14"/>
      <c r="W599" s="14"/>
      <c r="X599" s="14"/>
    </row>
    <row r="600" spans="13:24" x14ac:dyDescent="0.25">
      <c r="M600" s="14"/>
      <c r="N600" s="15"/>
      <c r="O600" s="14"/>
      <c r="R600" s="14"/>
      <c r="S600" s="15"/>
      <c r="T600" s="14"/>
      <c r="W600" s="14"/>
      <c r="X600" s="14"/>
    </row>
    <row r="601" spans="13:24" x14ac:dyDescent="0.25">
      <c r="M601" s="14"/>
      <c r="N601" s="15"/>
      <c r="O601" s="14"/>
      <c r="R601" s="14"/>
      <c r="S601" s="15"/>
      <c r="T601" s="14"/>
      <c r="W601" s="14"/>
      <c r="X601" s="14"/>
    </row>
    <row r="602" spans="13:24" x14ac:dyDescent="0.25">
      <c r="M602" s="14"/>
      <c r="N602" s="15"/>
      <c r="O602" s="14"/>
      <c r="R602" s="14"/>
      <c r="S602" s="15"/>
      <c r="T602" s="14"/>
      <c r="W602" s="14"/>
      <c r="X602" s="14"/>
    </row>
    <row r="603" spans="13:24" x14ac:dyDescent="0.25">
      <c r="M603" s="14"/>
      <c r="N603" s="15"/>
      <c r="O603" s="14"/>
      <c r="R603" s="14"/>
      <c r="S603" s="15"/>
      <c r="T603" s="14"/>
      <c r="W603" s="14"/>
      <c r="X603" s="14"/>
    </row>
    <row r="604" spans="13:24" x14ac:dyDescent="0.25">
      <c r="M604" s="14"/>
      <c r="N604" s="15"/>
      <c r="O604" s="14"/>
      <c r="R604" s="14"/>
      <c r="S604" s="15"/>
      <c r="T604" s="14"/>
      <c r="W604" s="14"/>
      <c r="X604" s="14"/>
    </row>
    <row r="605" spans="13:24" x14ac:dyDescent="0.25">
      <c r="M605" s="14"/>
      <c r="N605" s="15"/>
      <c r="O605" s="14"/>
      <c r="R605" s="14"/>
      <c r="S605" s="15"/>
      <c r="T605" s="14"/>
      <c r="W605" s="14"/>
      <c r="X605" s="14"/>
    </row>
    <row r="606" spans="13:24" x14ac:dyDescent="0.25">
      <c r="M606" s="14"/>
      <c r="N606" s="15"/>
      <c r="O606" s="14"/>
      <c r="R606" s="14"/>
      <c r="S606" s="15"/>
      <c r="T606" s="14"/>
      <c r="W606" s="14"/>
      <c r="X606" s="14"/>
    </row>
    <row r="607" spans="13:24" x14ac:dyDescent="0.25">
      <c r="M607" s="14"/>
      <c r="N607" s="15"/>
      <c r="O607" s="14"/>
      <c r="R607" s="14"/>
      <c r="S607" s="15"/>
      <c r="T607" s="14"/>
      <c r="W607" s="14"/>
      <c r="X607" s="14"/>
    </row>
    <row r="608" spans="13:24" x14ac:dyDescent="0.25">
      <c r="M608" s="14"/>
      <c r="N608" s="15"/>
      <c r="O608" s="14"/>
      <c r="R608" s="14"/>
      <c r="S608" s="15"/>
      <c r="T608" s="14"/>
      <c r="W608" s="14"/>
      <c r="X608" s="14"/>
    </row>
    <row r="609" spans="13:24" x14ac:dyDescent="0.25">
      <c r="M609" s="14"/>
      <c r="N609" s="15"/>
      <c r="O609" s="14"/>
      <c r="R609" s="14"/>
      <c r="S609" s="15"/>
      <c r="T609" s="14"/>
      <c r="W609" s="14"/>
      <c r="X609" s="14"/>
    </row>
    <row r="610" spans="13:24" x14ac:dyDescent="0.25">
      <c r="M610" s="14"/>
      <c r="N610" s="15"/>
      <c r="O610" s="14"/>
      <c r="R610" s="14"/>
      <c r="S610" s="15"/>
      <c r="T610" s="14"/>
      <c r="W610" s="14"/>
      <c r="X610" s="14"/>
    </row>
    <row r="611" spans="13:24" x14ac:dyDescent="0.25">
      <c r="M611" s="14"/>
      <c r="N611" s="15"/>
      <c r="O611" s="14"/>
      <c r="R611" s="14"/>
      <c r="S611" s="15"/>
      <c r="T611" s="14"/>
      <c r="W611" s="14"/>
      <c r="X611" s="14"/>
    </row>
    <row r="612" spans="13:24" x14ac:dyDescent="0.25">
      <c r="M612" s="14"/>
      <c r="N612" s="15"/>
      <c r="O612" s="14"/>
      <c r="R612" s="14"/>
      <c r="S612" s="15"/>
      <c r="T612" s="14"/>
      <c r="W612" s="14"/>
      <c r="X612" s="14"/>
    </row>
    <row r="613" spans="13:24" x14ac:dyDescent="0.25">
      <c r="M613" s="14"/>
      <c r="N613" s="15"/>
      <c r="O613" s="14"/>
      <c r="R613" s="14"/>
      <c r="S613" s="15"/>
      <c r="T613" s="14"/>
      <c r="W613" s="14"/>
      <c r="X613" s="14"/>
    </row>
    <row r="614" spans="13:24" x14ac:dyDescent="0.25">
      <c r="M614" s="14"/>
      <c r="N614" s="15"/>
      <c r="O614" s="14"/>
      <c r="R614" s="14"/>
      <c r="S614" s="15"/>
      <c r="T614" s="14"/>
      <c r="W614" s="14"/>
      <c r="X614" s="14"/>
    </row>
    <row r="615" spans="13:24" x14ac:dyDescent="0.25">
      <c r="M615" s="14"/>
      <c r="N615" s="15"/>
      <c r="O615" s="14"/>
      <c r="R615" s="14"/>
      <c r="S615" s="15"/>
      <c r="T615" s="14"/>
      <c r="W615" s="14"/>
      <c r="X615" s="14"/>
    </row>
    <row r="616" spans="13:24" x14ac:dyDescent="0.25">
      <c r="M616" s="14"/>
      <c r="N616" s="15"/>
      <c r="O616" s="14"/>
      <c r="R616" s="14"/>
      <c r="S616" s="15"/>
      <c r="T616" s="14"/>
      <c r="W616" s="14"/>
      <c r="X616" s="14"/>
    </row>
    <row r="617" spans="13:24" x14ac:dyDescent="0.25">
      <c r="M617" s="14"/>
      <c r="N617" s="15"/>
      <c r="O617" s="14"/>
      <c r="R617" s="14"/>
      <c r="S617" s="15"/>
      <c r="T617" s="14"/>
      <c r="W617" s="14"/>
      <c r="X617" s="14"/>
    </row>
    <row r="618" spans="13:24" x14ac:dyDescent="0.25">
      <c r="M618" s="14"/>
      <c r="N618" s="15"/>
      <c r="O618" s="14"/>
      <c r="R618" s="14"/>
      <c r="S618" s="15"/>
      <c r="T618" s="14"/>
      <c r="W618" s="14"/>
      <c r="X618" s="14"/>
    </row>
    <row r="619" spans="13:24" x14ac:dyDescent="0.25">
      <c r="M619" s="14"/>
      <c r="N619" s="15"/>
      <c r="O619" s="14"/>
      <c r="R619" s="14"/>
      <c r="S619" s="15"/>
      <c r="T619" s="14"/>
      <c r="W619" s="14"/>
      <c r="X619" s="14"/>
    </row>
    <row r="620" spans="13:24" x14ac:dyDescent="0.25">
      <c r="M620" s="14"/>
      <c r="N620" s="15"/>
      <c r="O620" s="14"/>
      <c r="R620" s="14"/>
      <c r="S620" s="15"/>
      <c r="T620" s="14"/>
      <c r="W620" s="14"/>
      <c r="X620" s="14"/>
    </row>
    <row r="621" spans="13:24" x14ac:dyDescent="0.25">
      <c r="M621" s="14"/>
      <c r="N621" s="15"/>
      <c r="O621" s="14"/>
      <c r="R621" s="14"/>
      <c r="S621" s="15"/>
      <c r="T621" s="14"/>
      <c r="W621" s="14"/>
      <c r="X621" s="14"/>
    </row>
    <row r="622" spans="13:24" x14ac:dyDescent="0.25">
      <c r="M622" s="14"/>
      <c r="N622" s="15"/>
      <c r="O622" s="14"/>
      <c r="R622" s="14"/>
      <c r="S622" s="15"/>
      <c r="T622" s="14"/>
      <c r="W622" s="14"/>
      <c r="X622" s="14"/>
    </row>
    <row r="623" spans="13:24" x14ac:dyDescent="0.25">
      <c r="M623" s="14"/>
      <c r="N623" s="15"/>
      <c r="O623" s="14"/>
      <c r="R623" s="14"/>
      <c r="S623" s="15"/>
      <c r="T623" s="14"/>
      <c r="W623" s="14"/>
      <c r="X623" s="14"/>
    </row>
    <row r="624" spans="13:24" x14ac:dyDescent="0.25">
      <c r="M624" s="14"/>
      <c r="N624" s="15"/>
      <c r="O624" s="14"/>
      <c r="R624" s="14"/>
      <c r="S624" s="15"/>
      <c r="T624" s="14"/>
      <c r="W624" s="14"/>
      <c r="X624" s="14"/>
    </row>
    <row r="625" spans="13:24" x14ac:dyDescent="0.25">
      <c r="M625" s="14"/>
      <c r="N625" s="15"/>
      <c r="O625" s="14"/>
      <c r="R625" s="14"/>
      <c r="S625" s="15"/>
      <c r="T625" s="14"/>
      <c r="W625" s="14"/>
      <c r="X625" s="14"/>
    </row>
    <row r="626" spans="13:24" x14ac:dyDescent="0.25">
      <c r="M626" s="14"/>
      <c r="N626" s="15"/>
      <c r="O626" s="14"/>
      <c r="R626" s="14"/>
      <c r="S626" s="15"/>
      <c r="T626" s="14"/>
      <c r="W626" s="14"/>
      <c r="X626" s="14"/>
    </row>
    <row r="627" spans="13:24" x14ac:dyDescent="0.25">
      <c r="M627" s="14"/>
      <c r="N627" s="15"/>
      <c r="O627" s="14"/>
      <c r="R627" s="14"/>
      <c r="S627" s="15"/>
      <c r="T627" s="14"/>
      <c r="W627" s="14"/>
      <c r="X627" s="14"/>
    </row>
    <row r="628" spans="13:24" x14ac:dyDescent="0.25">
      <c r="M628" s="14"/>
      <c r="N628" s="15"/>
      <c r="O628" s="14"/>
      <c r="R628" s="14"/>
      <c r="S628" s="15"/>
      <c r="T628" s="14"/>
      <c r="W628" s="14"/>
      <c r="X628" s="14"/>
    </row>
    <row r="629" spans="13:24" x14ac:dyDescent="0.25">
      <c r="M629" s="14"/>
      <c r="N629" s="15"/>
      <c r="O629" s="14"/>
      <c r="R629" s="14"/>
      <c r="S629" s="15"/>
      <c r="T629" s="14"/>
      <c r="W629" s="14"/>
      <c r="X629" s="14"/>
    </row>
    <row r="630" spans="13:24" x14ac:dyDescent="0.25">
      <c r="M630" s="14"/>
      <c r="N630" s="15"/>
      <c r="O630" s="14"/>
      <c r="R630" s="14"/>
      <c r="S630" s="15"/>
      <c r="T630" s="14"/>
      <c r="W630" s="14"/>
      <c r="X630" s="14"/>
    </row>
    <row r="631" spans="13:24" x14ac:dyDescent="0.25">
      <c r="M631" s="14"/>
      <c r="N631" s="15"/>
      <c r="O631" s="14"/>
      <c r="R631" s="14"/>
      <c r="S631" s="15"/>
      <c r="T631" s="14"/>
      <c r="W631" s="14"/>
      <c r="X631" s="14"/>
    </row>
    <row r="632" spans="13:24" x14ac:dyDescent="0.25">
      <c r="M632" s="14"/>
      <c r="N632" s="15"/>
      <c r="O632" s="14"/>
      <c r="R632" s="14"/>
      <c r="S632" s="15"/>
      <c r="T632" s="14"/>
      <c r="W632" s="14"/>
      <c r="X632" s="14"/>
    </row>
    <row r="633" spans="13:24" x14ac:dyDescent="0.25">
      <c r="M633" s="14"/>
      <c r="N633" s="15"/>
      <c r="O633" s="14"/>
      <c r="R633" s="14"/>
      <c r="S633" s="15"/>
      <c r="T633" s="14"/>
      <c r="W633" s="14"/>
      <c r="X633" s="14"/>
    </row>
    <row r="634" spans="13:24" x14ac:dyDescent="0.25">
      <c r="M634" s="14"/>
      <c r="N634" s="15"/>
      <c r="O634" s="14"/>
      <c r="R634" s="14"/>
      <c r="S634" s="15"/>
      <c r="T634" s="14"/>
      <c r="W634" s="14"/>
      <c r="X634" s="14"/>
    </row>
    <row r="635" spans="13:24" x14ac:dyDescent="0.25">
      <c r="M635" s="14"/>
      <c r="N635" s="15"/>
      <c r="O635" s="14"/>
      <c r="R635" s="14"/>
      <c r="S635" s="15"/>
      <c r="T635" s="14"/>
      <c r="W635" s="14"/>
      <c r="X635" s="14"/>
    </row>
    <row r="636" spans="13:24" x14ac:dyDescent="0.25">
      <c r="M636" s="14"/>
      <c r="N636" s="15"/>
      <c r="O636" s="14"/>
      <c r="R636" s="14"/>
      <c r="S636" s="15"/>
      <c r="T636" s="14"/>
      <c r="W636" s="14"/>
      <c r="X636" s="14"/>
    </row>
    <row r="637" spans="13:24" x14ac:dyDescent="0.25">
      <c r="M637" s="14"/>
      <c r="N637" s="15"/>
      <c r="O637" s="14"/>
      <c r="R637" s="14"/>
      <c r="S637" s="15"/>
      <c r="T637" s="14"/>
      <c r="W637" s="14"/>
      <c r="X637" s="14"/>
    </row>
    <row r="638" spans="13:24" x14ac:dyDescent="0.25">
      <c r="M638" s="14"/>
      <c r="N638" s="15"/>
      <c r="O638" s="14"/>
      <c r="R638" s="14"/>
      <c r="S638" s="15"/>
      <c r="T638" s="14"/>
      <c r="W638" s="14"/>
      <c r="X638" s="14"/>
    </row>
    <row r="639" spans="13:24" x14ac:dyDescent="0.25">
      <c r="M639" s="14"/>
      <c r="N639" s="15"/>
      <c r="O639" s="14"/>
      <c r="R639" s="14"/>
      <c r="S639" s="15"/>
      <c r="T639" s="14"/>
      <c r="W639" s="14"/>
      <c r="X639" s="14"/>
    </row>
    <row r="640" spans="13:24" x14ac:dyDescent="0.25">
      <c r="M640" s="14"/>
      <c r="N640" s="15"/>
      <c r="O640" s="14"/>
      <c r="R640" s="14"/>
      <c r="S640" s="15"/>
      <c r="T640" s="14"/>
      <c r="W640" s="14"/>
      <c r="X640" s="14"/>
    </row>
    <row r="641" spans="13:24" x14ac:dyDescent="0.25">
      <c r="M641" s="14"/>
      <c r="N641" s="15"/>
      <c r="O641" s="14"/>
      <c r="R641" s="14"/>
      <c r="S641" s="15"/>
      <c r="T641" s="14"/>
      <c r="W641" s="14"/>
      <c r="X641" s="14"/>
    </row>
    <row r="642" spans="13:24" x14ac:dyDescent="0.25">
      <c r="M642" s="14"/>
      <c r="N642" s="15"/>
      <c r="O642" s="14"/>
      <c r="R642" s="14"/>
      <c r="S642" s="15"/>
      <c r="T642" s="14"/>
      <c r="W642" s="14"/>
      <c r="X642" s="14"/>
    </row>
    <row r="643" spans="13:24" x14ac:dyDescent="0.25">
      <c r="M643" s="14"/>
      <c r="N643" s="15"/>
      <c r="O643" s="14"/>
      <c r="R643" s="14"/>
      <c r="S643" s="15"/>
      <c r="T643" s="14"/>
      <c r="W643" s="14"/>
      <c r="X643" s="14"/>
    </row>
    <row r="644" spans="13:24" x14ac:dyDescent="0.25">
      <c r="M644" s="14"/>
      <c r="N644" s="15"/>
      <c r="O644" s="14"/>
      <c r="R644" s="14"/>
      <c r="S644" s="15"/>
      <c r="T644" s="14"/>
      <c r="W644" s="14"/>
      <c r="X644" s="14"/>
    </row>
    <row r="645" spans="13:24" x14ac:dyDescent="0.25">
      <c r="M645" s="14"/>
      <c r="N645" s="15"/>
      <c r="O645" s="14"/>
      <c r="R645" s="14"/>
      <c r="S645" s="15"/>
      <c r="T645" s="14"/>
      <c r="W645" s="14"/>
      <c r="X645" s="14"/>
    </row>
    <row r="646" spans="13:24" x14ac:dyDescent="0.25">
      <c r="M646" s="14"/>
      <c r="N646" s="15"/>
      <c r="O646" s="14"/>
      <c r="R646" s="14"/>
      <c r="S646" s="15"/>
      <c r="T646" s="14"/>
      <c r="W646" s="14"/>
      <c r="X646" s="14"/>
    </row>
    <row r="647" spans="13:24" x14ac:dyDescent="0.25">
      <c r="M647" s="14"/>
      <c r="N647" s="15"/>
      <c r="O647" s="14"/>
      <c r="R647" s="14"/>
      <c r="S647" s="15"/>
      <c r="T647" s="14"/>
      <c r="W647" s="14"/>
      <c r="X647" s="14"/>
    </row>
    <row r="648" spans="13:24" x14ac:dyDescent="0.25">
      <c r="M648" s="14"/>
      <c r="N648" s="15"/>
      <c r="O648" s="14"/>
      <c r="R648" s="14"/>
      <c r="S648" s="15"/>
      <c r="T648" s="14"/>
      <c r="W648" s="14"/>
      <c r="X648" s="14"/>
    </row>
    <row r="649" spans="13:24" x14ac:dyDescent="0.25">
      <c r="M649" s="14"/>
      <c r="N649" s="15"/>
      <c r="O649" s="14"/>
      <c r="R649" s="14"/>
      <c r="S649" s="15"/>
      <c r="T649" s="14"/>
      <c r="W649" s="14"/>
      <c r="X649" s="14"/>
    </row>
    <row r="650" spans="13:24" x14ac:dyDescent="0.25">
      <c r="M650" s="14"/>
      <c r="N650" s="15"/>
      <c r="O650" s="14"/>
      <c r="R650" s="14"/>
      <c r="S650" s="15"/>
      <c r="T650" s="14"/>
      <c r="W650" s="14"/>
      <c r="X650" s="14"/>
    </row>
    <row r="651" spans="13:24" x14ac:dyDescent="0.25">
      <c r="M651" s="14"/>
      <c r="N651" s="15"/>
      <c r="O651" s="14"/>
      <c r="R651" s="14"/>
      <c r="S651" s="15"/>
      <c r="T651" s="14"/>
      <c r="W651" s="14"/>
      <c r="X651" s="14"/>
    </row>
    <row r="652" spans="13:24" x14ac:dyDescent="0.25">
      <c r="M652" s="14"/>
      <c r="N652" s="15"/>
      <c r="O652" s="14"/>
      <c r="R652" s="14"/>
      <c r="S652" s="15"/>
      <c r="T652" s="14"/>
      <c r="W652" s="14"/>
      <c r="X652" s="14"/>
    </row>
    <row r="653" spans="13:24" x14ac:dyDescent="0.25">
      <c r="M653" s="14"/>
      <c r="N653" s="15"/>
      <c r="O653" s="14"/>
      <c r="R653" s="14"/>
      <c r="S653" s="15"/>
      <c r="T653" s="14"/>
      <c r="W653" s="14"/>
      <c r="X653" s="14"/>
    </row>
    <row r="654" spans="13:24" x14ac:dyDescent="0.25">
      <c r="M654" s="14"/>
      <c r="N654" s="15"/>
      <c r="O654" s="14"/>
      <c r="R654" s="14"/>
      <c r="S654" s="15"/>
      <c r="T654" s="14"/>
      <c r="W654" s="14"/>
      <c r="X654" s="14"/>
    </row>
    <row r="655" spans="13:24" x14ac:dyDescent="0.25">
      <c r="M655" s="14"/>
      <c r="N655" s="15"/>
      <c r="O655" s="14"/>
      <c r="R655" s="14"/>
      <c r="S655" s="15"/>
      <c r="T655" s="14"/>
      <c r="W655" s="14"/>
      <c r="X655" s="14"/>
    </row>
    <row r="656" spans="13:24" x14ac:dyDescent="0.25">
      <c r="M656" s="14"/>
      <c r="N656" s="15"/>
      <c r="O656" s="14"/>
      <c r="R656" s="14"/>
      <c r="S656" s="15"/>
      <c r="T656" s="14"/>
      <c r="W656" s="14"/>
      <c r="X656" s="14"/>
    </row>
    <row r="657" spans="13:24" x14ac:dyDescent="0.25">
      <c r="M657" s="14"/>
      <c r="N657" s="15"/>
      <c r="O657" s="14"/>
      <c r="R657" s="14"/>
      <c r="S657" s="15"/>
      <c r="T657" s="14"/>
      <c r="W657" s="14"/>
      <c r="X657" s="14"/>
    </row>
    <row r="658" spans="13:24" x14ac:dyDescent="0.25">
      <c r="M658" s="14"/>
      <c r="N658" s="15"/>
      <c r="O658" s="14"/>
      <c r="R658" s="14"/>
      <c r="S658" s="15"/>
      <c r="T658" s="14"/>
      <c r="W658" s="14"/>
      <c r="X658" s="14"/>
    </row>
    <row r="659" spans="13:24" x14ac:dyDescent="0.25">
      <c r="M659" s="14"/>
      <c r="N659" s="15"/>
      <c r="O659" s="14"/>
      <c r="R659" s="14"/>
      <c r="S659" s="15"/>
      <c r="T659" s="14"/>
      <c r="W659" s="14"/>
      <c r="X659" s="14"/>
    </row>
    <row r="660" spans="13:24" x14ac:dyDescent="0.25">
      <c r="M660" s="14"/>
      <c r="N660" s="15"/>
      <c r="O660" s="14"/>
      <c r="R660" s="14"/>
      <c r="S660" s="15"/>
      <c r="T660" s="14"/>
      <c r="W660" s="14"/>
      <c r="X660" s="14"/>
    </row>
    <row r="661" spans="13:24" x14ac:dyDescent="0.25">
      <c r="M661" s="14"/>
      <c r="N661" s="15"/>
      <c r="O661" s="14"/>
      <c r="R661" s="14"/>
      <c r="S661" s="15"/>
      <c r="T661" s="14"/>
      <c r="W661" s="14"/>
      <c r="X661" s="14"/>
    </row>
    <row r="662" spans="13:24" x14ac:dyDescent="0.25">
      <c r="M662" s="14"/>
      <c r="N662" s="15"/>
      <c r="O662" s="14"/>
      <c r="R662" s="14"/>
      <c r="S662" s="15"/>
      <c r="T662" s="14"/>
      <c r="W662" s="14"/>
      <c r="X662" s="14"/>
    </row>
    <row r="663" spans="13:24" x14ac:dyDescent="0.25">
      <c r="M663" s="14"/>
      <c r="N663" s="15"/>
      <c r="O663" s="14"/>
      <c r="R663" s="14"/>
      <c r="S663" s="15"/>
      <c r="T663" s="14"/>
      <c r="W663" s="14"/>
      <c r="X663" s="14"/>
    </row>
    <row r="664" spans="13:24" x14ac:dyDescent="0.25">
      <c r="M664" s="14"/>
      <c r="N664" s="15"/>
      <c r="O664" s="14"/>
      <c r="R664" s="14"/>
      <c r="S664" s="15"/>
      <c r="T664" s="14"/>
      <c r="W664" s="14"/>
      <c r="X664" s="14"/>
    </row>
    <row r="665" spans="13:24" x14ac:dyDescent="0.25">
      <c r="M665" s="14"/>
      <c r="N665" s="15"/>
      <c r="O665" s="14"/>
      <c r="R665" s="14"/>
      <c r="S665" s="15"/>
      <c r="T665" s="14"/>
      <c r="W665" s="14"/>
      <c r="X665" s="14"/>
    </row>
    <row r="666" spans="13:24" x14ac:dyDescent="0.25">
      <c r="M666" s="14"/>
      <c r="N666" s="15"/>
      <c r="O666" s="14"/>
      <c r="R666" s="14"/>
      <c r="S666" s="15"/>
      <c r="T666" s="14"/>
      <c r="W666" s="14"/>
      <c r="X666" s="14"/>
    </row>
    <row r="667" spans="13:24" x14ac:dyDescent="0.25">
      <c r="M667" s="14"/>
      <c r="N667" s="15"/>
      <c r="O667" s="14"/>
      <c r="R667" s="14"/>
      <c r="S667" s="15"/>
      <c r="T667" s="14"/>
      <c r="W667" s="14"/>
      <c r="X667" s="14"/>
    </row>
    <row r="668" spans="13:24" x14ac:dyDescent="0.25">
      <c r="M668" s="14"/>
      <c r="N668" s="15"/>
      <c r="O668" s="14"/>
      <c r="R668" s="14"/>
      <c r="S668" s="15"/>
      <c r="T668" s="14"/>
      <c r="W668" s="14"/>
      <c r="X668" s="14"/>
    </row>
    <row r="669" spans="13:24" x14ac:dyDescent="0.25">
      <c r="M669" s="14"/>
      <c r="N669" s="15"/>
      <c r="O669" s="14"/>
      <c r="R669" s="14"/>
      <c r="S669" s="15"/>
      <c r="T669" s="14"/>
      <c r="W669" s="14"/>
      <c r="X669" s="14"/>
    </row>
    <row r="670" spans="13:24" x14ac:dyDescent="0.25">
      <c r="M670" s="14"/>
      <c r="N670" s="15"/>
      <c r="O670" s="14"/>
      <c r="R670" s="14"/>
      <c r="S670" s="15"/>
      <c r="T670" s="14"/>
      <c r="W670" s="14"/>
      <c r="X670" s="14"/>
    </row>
    <row r="671" spans="13:24" x14ac:dyDescent="0.25">
      <c r="M671" s="14"/>
      <c r="N671" s="15"/>
      <c r="O671" s="14"/>
      <c r="R671" s="14"/>
      <c r="S671" s="15"/>
      <c r="T671" s="14"/>
      <c r="W671" s="14"/>
      <c r="X671" s="14"/>
    </row>
    <row r="672" spans="13:24" x14ac:dyDescent="0.25">
      <c r="M672" s="14"/>
      <c r="N672" s="15"/>
      <c r="O672" s="14"/>
      <c r="R672" s="14"/>
      <c r="S672" s="15"/>
      <c r="T672" s="14"/>
      <c r="W672" s="14"/>
      <c r="X672" s="14"/>
    </row>
    <row r="673" spans="13:24" x14ac:dyDescent="0.25">
      <c r="M673" s="14"/>
      <c r="N673" s="15"/>
      <c r="O673" s="14"/>
      <c r="R673" s="14"/>
      <c r="S673" s="15"/>
      <c r="T673" s="14"/>
      <c r="W673" s="14"/>
      <c r="X673" s="14"/>
    </row>
    <row r="674" spans="13:24" x14ac:dyDescent="0.25">
      <c r="M674" s="14"/>
      <c r="N674" s="15"/>
      <c r="O674" s="14"/>
      <c r="R674" s="14"/>
      <c r="S674" s="15"/>
      <c r="T674" s="14"/>
      <c r="W674" s="14"/>
      <c r="X674" s="14"/>
    </row>
    <row r="675" spans="13:24" x14ac:dyDescent="0.25">
      <c r="M675" s="14"/>
      <c r="N675" s="15"/>
      <c r="O675" s="14"/>
      <c r="R675" s="14"/>
      <c r="S675" s="15"/>
      <c r="T675" s="14"/>
    </row>
  </sheetData>
  <sheetProtection password="CC5F" sheet="1" objects="1" scenarios="1"/>
  <mergeCells count="23">
    <mergeCell ref="R3:R6"/>
    <mergeCell ref="S3:T4"/>
    <mergeCell ref="V3:V6"/>
    <mergeCell ref="W3:X4"/>
    <mergeCell ref="S5:T5"/>
    <mergeCell ref="W5:X5"/>
    <mergeCell ref="L3:L6"/>
    <mergeCell ref="M3:M6"/>
    <mergeCell ref="N3:O4"/>
    <mergeCell ref="Q3:Q6"/>
    <mergeCell ref="N5:O5"/>
    <mergeCell ref="I3:J4"/>
    <mergeCell ref="I5:J5"/>
    <mergeCell ref="A3:A6"/>
    <mergeCell ref="B3:B6"/>
    <mergeCell ref="C3:C4"/>
    <mergeCell ref="G3:G6"/>
    <mergeCell ref="H3:H6"/>
    <mergeCell ref="AA3:AE3"/>
    <mergeCell ref="AA4:AE4"/>
    <mergeCell ref="AA5:AE5"/>
    <mergeCell ref="AA6:AA7"/>
    <mergeCell ref="Z6:Z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5"/>
  <sheetViews>
    <sheetView zoomScale="80" zoomScaleNormal="80" workbookViewId="0">
      <pane ySplit="6" topLeftCell="A7" activePane="bottomLeft" state="frozen"/>
      <selection pane="bottomLeft" activeCell="L34" sqref="L34"/>
    </sheetView>
  </sheetViews>
  <sheetFormatPr defaultRowHeight="15" x14ac:dyDescent="0.25"/>
  <cols>
    <col min="1" max="1" width="9.28515625" style="18" customWidth="1"/>
    <col min="2" max="2" width="15.85546875" style="18" bestFit="1" customWidth="1"/>
    <col min="3" max="3" width="12" bestFit="1" customWidth="1"/>
    <col min="7" max="7" width="9.28515625" style="19" customWidth="1"/>
    <col min="8" max="8" width="20" customWidth="1"/>
    <col min="10" max="10" width="11" customWidth="1"/>
    <col min="13" max="13" width="17.7109375" customWidth="1"/>
    <col min="14" max="14" width="16.85546875" customWidth="1"/>
    <col min="15" max="15" width="9.140625" style="2"/>
    <col min="20" max="20" width="16.140625" customWidth="1"/>
    <col min="26" max="26" width="17" customWidth="1"/>
  </cols>
  <sheetData>
    <row r="1" spans="1:32" s="38" customFormat="1" ht="18.75" x14ac:dyDescent="0.3">
      <c r="A1" s="36" t="s">
        <v>12</v>
      </c>
      <c r="B1" s="37"/>
      <c r="G1" s="36" t="s">
        <v>37</v>
      </c>
      <c r="M1" s="36" t="s">
        <v>39</v>
      </c>
      <c r="N1" s="39"/>
      <c r="O1" s="39"/>
      <c r="S1" s="36" t="s">
        <v>38</v>
      </c>
      <c r="T1" s="39"/>
      <c r="U1" s="37"/>
      <c r="Y1" s="36" t="s">
        <v>40</v>
      </c>
    </row>
    <row r="2" spans="1:32" ht="15.75" thickBot="1" x14ac:dyDescent="0.3">
      <c r="A2" s="1"/>
      <c r="B2"/>
      <c r="G2" s="1"/>
      <c r="M2" s="1"/>
      <c r="N2" s="2"/>
      <c r="S2" s="1"/>
      <c r="T2" s="2"/>
      <c r="Y2" s="1"/>
      <c r="Z2" s="3"/>
      <c r="AA2" s="3"/>
    </row>
    <row r="3" spans="1:32" ht="14.45" customHeight="1" x14ac:dyDescent="0.25">
      <c r="A3" s="303" t="s">
        <v>0</v>
      </c>
      <c r="B3" s="305" t="s">
        <v>140</v>
      </c>
      <c r="C3" s="350"/>
      <c r="D3" s="350"/>
      <c r="E3" s="351"/>
      <c r="G3" s="339" t="s">
        <v>0</v>
      </c>
      <c r="H3" s="339" t="s">
        <v>141</v>
      </c>
      <c r="I3" s="298"/>
      <c r="J3" s="298"/>
      <c r="K3" s="340"/>
      <c r="M3" s="313" t="s">
        <v>0</v>
      </c>
      <c r="N3" s="361" t="s">
        <v>142</v>
      </c>
      <c r="O3" s="361"/>
      <c r="P3" s="361"/>
      <c r="Q3" s="317"/>
      <c r="S3" s="323" t="s">
        <v>0</v>
      </c>
      <c r="T3" s="323" t="s">
        <v>143</v>
      </c>
      <c r="U3" s="375"/>
      <c r="V3" s="375"/>
      <c r="W3" s="325"/>
      <c r="Y3" s="327" t="s">
        <v>0</v>
      </c>
      <c r="Z3" s="331" t="s">
        <v>78</v>
      </c>
      <c r="AA3" s="331"/>
      <c r="AB3" s="331"/>
      <c r="AC3" s="367"/>
    </row>
    <row r="4" spans="1:32" ht="15.75" thickBot="1" x14ac:dyDescent="0.3">
      <c r="A4" s="304"/>
      <c r="B4" s="306"/>
      <c r="C4" s="352"/>
      <c r="D4" s="352"/>
      <c r="E4" s="353"/>
      <c r="G4" s="312"/>
      <c r="H4" s="312"/>
      <c r="I4" s="341"/>
      <c r="J4" s="341"/>
      <c r="K4" s="342"/>
      <c r="M4" s="314"/>
      <c r="N4" s="362"/>
      <c r="O4" s="362"/>
      <c r="P4" s="362"/>
      <c r="Q4" s="318"/>
      <c r="S4" s="324"/>
      <c r="T4" s="324"/>
      <c r="U4" s="376"/>
      <c r="V4" s="376"/>
      <c r="W4" s="326"/>
      <c r="Y4" s="328"/>
      <c r="Z4" s="368"/>
      <c r="AA4" s="368"/>
      <c r="AB4" s="368"/>
      <c r="AC4" s="369"/>
    </row>
    <row r="5" spans="1:32" ht="15.75" thickBot="1" x14ac:dyDescent="0.3">
      <c r="A5" s="304"/>
      <c r="B5" s="354">
        <v>0.08</v>
      </c>
      <c r="C5" s="355"/>
      <c r="D5" s="355"/>
      <c r="E5" s="356"/>
      <c r="G5" s="312"/>
      <c r="H5" s="344">
        <v>0.06</v>
      </c>
      <c r="I5" s="345"/>
      <c r="J5" s="345"/>
      <c r="K5" s="346"/>
      <c r="M5" s="314"/>
      <c r="N5" s="363">
        <v>0.189</v>
      </c>
      <c r="O5" s="364"/>
      <c r="P5" s="364"/>
      <c r="Q5" s="365"/>
      <c r="S5" s="324"/>
      <c r="T5" s="377">
        <v>0.189</v>
      </c>
      <c r="U5" s="378"/>
      <c r="V5" s="378"/>
      <c r="W5" s="379"/>
      <c r="Y5" s="328"/>
      <c r="Z5" s="370">
        <v>0.19</v>
      </c>
      <c r="AA5" s="371"/>
      <c r="AB5" s="371"/>
      <c r="AC5" s="372"/>
    </row>
    <row r="6" spans="1:32" ht="40.15" customHeight="1" thickBot="1" x14ac:dyDescent="0.3">
      <c r="A6" s="304"/>
      <c r="B6" s="303" t="s">
        <v>2</v>
      </c>
      <c r="C6" s="357" t="s">
        <v>77</v>
      </c>
      <c r="D6" s="358"/>
      <c r="E6" s="359"/>
      <c r="G6" s="312"/>
      <c r="H6" s="308" t="s">
        <v>2</v>
      </c>
      <c r="I6" s="348" t="s">
        <v>77</v>
      </c>
      <c r="J6" s="348"/>
      <c r="K6" s="349"/>
      <c r="M6" s="314"/>
      <c r="N6" s="313" t="s">
        <v>2</v>
      </c>
      <c r="O6" s="363" t="s">
        <v>77</v>
      </c>
      <c r="P6" s="364"/>
      <c r="Q6" s="365"/>
      <c r="S6" s="324"/>
      <c r="T6" s="319" t="s">
        <v>2</v>
      </c>
      <c r="U6" s="380" t="s">
        <v>77</v>
      </c>
      <c r="V6" s="381"/>
      <c r="W6" s="382"/>
      <c r="Y6" s="328"/>
      <c r="Z6" s="327" t="s">
        <v>2</v>
      </c>
      <c r="AA6" s="373" t="s">
        <v>77</v>
      </c>
      <c r="AB6" s="373"/>
      <c r="AC6" s="374"/>
    </row>
    <row r="7" spans="1:32" ht="15.75" thickBot="1" x14ac:dyDescent="0.3">
      <c r="A7" s="343"/>
      <c r="B7" s="343"/>
      <c r="C7" s="87" t="s">
        <v>5</v>
      </c>
      <c r="D7" s="87" t="s">
        <v>6</v>
      </c>
      <c r="E7" s="88" t="s">
        <v>7</v>
      </c>
      <c r="G7" s="360"/>
      <c r="H7" s="347"/>
      <c r="I7" s="89" t="s">
        <v>5</v>
      </c>
      <c r="J7" s="90" t="s">
        <v>6</v>
      </c>
      <c r="K7" s="91" t="s">
        <v>7</v>
      </c>
      <c r="M7" s="338"/>
      <c r="N7" s="314"/>
      <c r="O7" s="135" t="s">
        <v>5</v>
      </c>
      <c r="P7" s="136" t="s">
        <v>6</v>
      </c>
      <c r="Q7" s="137" t="s">
        <v>7</v>
      </c>
      <c r="S7" s="366"/>
      <c r="T7" s="320"/>
      <c r="U7" s="133" t="s">
        <v>5</v>
      </c>
      <c r="V7" s="133" t="s">
        <v>6</v>
      </c>
      <c r="W7" s="134" t="s">
        <v>7</v>
      </c>
      <c r="Y7" s="328"/>
      <c r="Z7" s="328"/>
      <c r="AA7" s="93" t="s">
        <v>5</v>
      </c>
      <c r="AB7" s="94" t="s">
        <v>6</v>
      </c>
      <c r="AC7" s="94" t="s">
        <v>7</v>
      </c>
    </row>
    <row r="8" spans="1:32" x14ac:dyDescent="0.25">
      <c r="A8" s="98">
        <v>1E-3</v>
      </c>
      <c r="B8" s="7">
        <v>7.9000000000000001E-2</v>
      </c>
      <c r="C8" s="100">
        <v>1.03E-2</v>
      </c>
      <c r="D8" s="100">
        <v>1.12E-2</v>
      </c>
      <c r="E8" s="100">
        <v>1.35E-2</v>
      </c>
      <c r="G8" s="98">
        <v>1E-3</v>
      </c>
      <c r="H8" s="7">
        <v>5.8999999999999997E-2</v>
      </c>
      <c r="I8" s="294">
        <v>3.7000000000000002E-3</v>
      </c>
      <c r="J8" s="294">
        <v>7.0000000000000001E-3</v>
      </c>
      <c r="K8" s="294">
        <v>1.55E-2</v>
      </c>
      <c r="M8" s="98">
        <v>1E-3</v>
      </c>
      <c r="N8" s="249">
        <v>0.188</v>
      </c>
      <c r="O8" s="289">
        <v>1E-3</v>
      </c>
      <c r="P8" s="289">
        <v>1.9E-3</v>
      </c>
      <c r="Q8" s="289">
        <v>3.8999999999999998E-3</v>
      </c>
      <c r="S8" s="98">
        <v>1E-3</v>
      </c>
      <c r="T8" s="249">
        <v>0.188</v>
      </c>
      <c r="U8" s="289">
        <v>2.9999999999999997E-4</v>
      </c>
      <c r="V8" s="289">
        <v>5.9999999999999995E-4</v>
      </c>
      <c r="W8" s="289">
        <v>1.2999999999999999E-3</v>
      </c>
      <c r="Y8" s="98">
        <v>1E-3</v>
      </c>
      <c r="Z8" s="249">
        <v>0.189</v>
      </c>
      <c r="AA8" s="287">
        <v>2.0000000000000001E-4</v>
      </c>
      <c r="AB8" s="287">
        <v>5.9999999999999995E-4</v>
      </c>
      <c r="AC8" s="287">
        <v>1.5E-3</v>
      </c>
      <c r="AD8" s="5"/>
      <c r="AE8" s="5"/>
      <c r="AF8" s="5"/>
    </row>
    <row r="9" spans="1:32" x14ac:dyDescent="0.25">
      <c r="A9" s="99">
        <f>A8+0.1%</f>
        <v>2E-3</v>
      </c>
      <c r="B9" s="7">
        <v>7.8E-2</v>
      </c>
      <c r="C9" s="8">
        <v>1.1299999999999999E-2</v>
      </c>
      <c r="D9" s="8">
        <v>1.3100000000000001E-2</v>
      </c>
      <c r="E9" s="8">
        <v>1.77E-2</v>
      </c>
      <c r="G9" s="99">
        <f>G8+0.1%</f>
        <v>2E-3</v>
      </c>
      <c r="H9" s="7">
        <v>5.7999999999999996E-2</v>
      </c>
      <c r="I9" s="291">
        <v>4.5999999999999999E-3</v>
      </c>
      <c r="J9" s="291">
        <v>8.8999999999999999E-3</v>
      </c>
      <c r="K9" s="291">
        <v>1.9699999999999999E-2</v>
      </c>
      <c r="M9" s="99">
        <f>M8+0.1%</f>
        <v>2E-3</v>
      </c>
      <c r="N9" s="249">
        <v>0.187</v>
      </c>
      <c r="O9" s="282">
        <v>2E-3</v>
      </c>
      <c r="P9" s="282">
        <v>3.8E-3</v>
      </c>
      <c r="Q9" s="282">
        <v>7.7999999999999996E-3</v>
      </c>
      <c r="S9" s="99">
        <f>S8+0.1%</f>
        <v>2E-3</v>
      </c>
      <c r="T9" s="249">
        <v>0.187</v>
      </c>
      <c r="U9" s="282">
        <v>6.9999999999999999E-4</v>
      </c>
      <c r="V9" s="282">
        <v>1.1999999999999999E-3</v>
      </c>
      <c r="W9" s="282">
        <v>2.5000000000000001E-3</v>
      </c>
      <c r="Y9" s="99">
        <f>Y8+0.1%</f>
        <v>2E-3</v>
      </c>
      <c r="Z9" s="249">
        <v>0.188</v>
      </c>
      <c r="AA9" s="288">
        <v>4.0000000000000002E-4</v>
      </c>
      <c r="AB9" s="288">
        <v>1.1999999999999999E-3</v>
      </c>
      <c r="AC9" s="288">
        <v>3.0000000000000001E-3</v>
      </c>
      <c r="AD9" s="5"/>
      <c r="AE9" s="5"/>
      <c r="AF9" s="5"/>
    </row>
    <row r="10" spans="1:32" x14ac:dyDescent="0.25">
      <c r="A10" s="99">
        <f t="shared" ref="A10:A42" si="0">A9+0.1%</f>
        <v>3.0000000000000001E-3</v>
      </c>
      <c r="B10" s="7">
        <v>7.6999999999999999E-2</v>
      </c>
      <c r="C10" s="248">
        <v>1.2200000000000001E-2</v>
      </c>
      <c r="D10" s="248">
        <v>1.4999999999999999E-2</v>
      </c>
      <c r="E10" s="248">
        <v>2.1899999999999999E-2</v>
      </c>
      <c r="G10" s="99">
        <f t="shared" ref="G10:G42" si="1">G9+0.1%</f>
        <v>3.0000000000000001E-3</v>
      </c>
      <c r="H10" s="7">
        <v>5.6999999999999995E-2</v>
      </c>
      <c r="I10" s="293">
        <v>5.5999999999999999E-3</v>
      </c>
      <c r="J10" s="293">
        <v>1.09E-2</v>
      </c>
      <c r="K10" s="293">
        <v>2.3800000000000002E-2</v>
      </c>
      <c r="M10" s="99">
        <f t="shared" ref="M10:M73" si="2">M9+0.1%</f>
        <v>3.0000000000000001E-3</v>
      </c>
      <c r="N10" s="249">
        <v>0.186</v>
      </c>
      <c r="O10" s="283">
        <v>3.0000000000000001E-3</v>
      </c>
      <c r="P10" s="283">
        <v>5.7000000000000002E-3</v>
      </c>
      <c r="Q10" s="283">
        <v>1.17E-2</v>
      </c>
      <c r="S10" s="99">
        <f t="shared" ref="S10:S73" si="3">S9+0.1%</f>
        <v>3.0000000000000001E-3</v>
      </c>
      <c r="T10" s="249">
        <v>0.186</v>
      </c>
      <c r="U10" s="283">
        <v>1E-3</v>
      </c>
      <c r="V10" s="283">
        <v>1.9E-3</v>
      </c>
      <c r="W10" s="283">
        <v>3.8E-3</v>
      </c>
      <c r="Y10" s="99">
        <f t="shared" ref="Y10:Y73" si="4">Y9+0.1%</f>
        <v>3.0000000000000001E-3</v>
      </c>
      <c r="Z10" s="249">
        <v>0.187</v>
      </c>
      <c r="AA10" s="288">
        <v>5.9999999999999995E-4</v>
      </c>
      <c r="AB10" s="288">
        <v>1.8E-3</v>
      </c>
      <c r="AC10" s="288">
        <v>4.4999999999999997E-3</v>
      </c>
      <c r="AD10" s="5"/>
      <c r="AE10" s="5"/>
      <c r="AF10" s="5"/>
    </row>
    <row r="11" spans="1:32" x14ac:dyDescent="0.25">
      <c r="A11" s="99">
        <f t="shared" si="0"/>
        <v>4.0000000000000001E-3</v>
      </c>
      <c r="B11" s="7">
        <v>7.5999999999999998E-2</v>
      </c>
      <c r="C11" s="248">
        <v>1.32E-2</v>
      </c>
      <c r="D11" s="248">
        <v>1.6799999999999999E-2</v>
      </c>
      <c r="E11" s="248">
        <v>2.6100000000000002E-2</v>
      </c>
      <c r="G11" s="99">
        <f t="shared" si="1"/>
        <v>4.0000000000000001E-3</v>
      </c>
      <c r="H11" s="7">
        <v>5.5999999999999994E-2</v>
      </c>
      <c r="I11" s="293">
        <v>6.6E-3</v>
      </c>
      <c r="J11" s="293">
        <v>1.2800000000000001E-2</v>
      </c>
      <c r="K11" s="293">
        <v>2.8000000000000001E-2</v>
      </c>
      <c r="M11" s="99">
        <f t="shared" si="2"/>
        <v>4.0000000000000001E-3</v>
      </c>
      <c r="N11" s="249">
        <v>0.185</v>
      </c>
      <c r="O11" s="283">
        <v>4.0000000000000001E-3</v>
      </c>
      <c r="P11" s="283">
        <v>7.6E-3</v>
      </c>
      <c r="Q11" s="283">
        <v>1.5599999999999999E-2</v>
      </c>
      <c r="S11" s="99">
        <f t="shared" si="3"/>
        <v>4.0000000000000001E-3</v>
      </c>
      <c r="T11" s="249">
        <v>0.185</v>
      </c>
      <c r="U11" s="283">
        <v>2E-3</v>
      </c>
      <c r="V11" s="283">
        <v>3.8E-3</v>
      </c>
      <c r="W11" s="283">
        <v>7.7000000000000002E-3</v>
      </c>
      <c r="Y11" s="99">
        <f t="shared" si="4"/>
        <v>4.0000000000000001E-3</v>
      </c>
      <c r="Z11" s="249">
        <v>0.186</v>
      </c>
      <c r="AA11" s="288">
        <v>1.6000000000000001E-3</v>
      </c>
      <c r="AB11" s="288">
        <v>3.7000000000000002E-3</v>
      </c>
      <c r="AC11" s="288">
        <v>8.3999999999999995E-3</v>
      </c>
      <c r="AD11" s="5"/>
      <c r="AE11" s="5"/>
      <c r="AF11" s="5"/>
    </row>
    <row r="12" spans="1:32" x14ac:dyDescent="0.25">
      <c r="A12" s="99">
        <f t="shared" si="0"/>
        <v>5.0000000000000001E-3</v>
      </c>
      <c r="B12" s="7">
        <v>7.4999999999999997E-2</v>
      </c>
      <c r="C12" s="248">
        <v>1.4200000000000001E-2</v>
      </c>
      <c r="D12" s="248">
        <v>1.8700000000000001E-2</v>
      </c>
      <c r="E12" s="248">
        <v>3.0200000000000001E-2</v>
      </c>
      <c r="G12" s="99">
        <f t="shared" si="1"/>
        <v>5.0000000000000001E-3</v>
      </c>
      <c r="H12" s="7">
        <v>5.5E-2</v>
      </c>
      <c r="I12" s="293">
        <v>7.6E-3</v>
      </c>
      <c r="J12" s="293">
        <v>1.47E-2</v>
      </c>
      <c r="K12" s="293">
        <v>3.2199999999999999E-2</v>
      </c>
      <c r="M12" s="99">
        <f t="shared" si="2"/>
        <v>5.0000000000000001E-3</v>
      </c>
      <c r="N12" s="249">
        <v>0.184</v>
      </c>
      <c r="O12" s="283">
        <v>5.0000000000000001E-3</v>
      </c>
      <c r="P12" s="283">
        <v>9.4999999999999998E-3</v>
      </c>
      <c r="Q12" s="283">
        <v>1.95E-2</v>
      </c>
      <c r="S12" s="99">
        <f t="shared" si="3"/>
        <v>5.0000000000000001E-3</v>
      </c>
      <c r="T12" s="249">
        <v>0.184</v>
      </c>
      <c r="U12" s="283">
        <v>3.0000000000000001E-3</v>
      </c>
      <c r="V12" s="283">
        <v>5.7000000000000002E-3</v>
      </c>
      <c r="W12" s="283">
        <v>1.1599999999999999E-2</v>
      </c>
      <c r="Y12" s="99">
        <f t="shared" si="4"/>
        <v>5.0000000000000001E-3</v>
      </c>
      <c r="Z12" s="249">
        <v>0.185</v>
      </c>
      <c r="AA12" s="288">
        <v>2.5999999999999999E-3</v>
      </c>
      <c r="AB12" s="288">
        <v>5.5999999999999999E-3</v>
      </c>
      <c r="AC12" s="288">
        <v>1.23E-2</v>
      </c>
      <c r="AD12" s="5"/>
      <c r="AE12" s="5"/>
      <c r="AF12" s="5"/>
    </row>
    <row r="13" spans="1:32" x14ac:dyDescent="0.25">
      <c r="A13" s="99">
        <f t="shared" si="0"/>
        <v>6.0000000000000001E-3</v>
      </c>
      <c r="B13" s="7">
        <v>7.3999999999999996E-2</v>
      </c>
      <c r="C13" s="248">
        <v>1.5100000000000001E-2</v>
      </c>
      <c r="D13" s="248">
        <v>2.06E-2</v>
      </c>
      <c r="E13" s="248">
        <v>3.44E-2</v>
      </c>
      <c r="G13" s="99">
        <f t="shared" si="1"/>
        <v>6.0000000000000001E-3</v>
      </c>
      <c r="H13" s="7">
        <v>5.3999999999999999E-2</v>
      </c>
      <c r="I13" s="293">
        <v>8.6E-3</v>
      </c>
      <c r="J13" s="293">
        <v>1.66E-2</v>
      </c>
      <c r="K13" s="293">
        <v>3.6299999999999999E-2</v>
      </c>
      <c r="M13" s="99">
        <f t="shared" si="2"/>
        <v>6.0000000000000001E-3</v>
      </c>
      <c r="N13" s="249">
        <v>0.183</v>
      </c>
      <c r="O13" s="283">
        <v>6.0000000000000001E-3</v>
      </c>
      <c r="P13" s="283">
        <v>1.14E-2</v>
      </c>
      <c r="Q13" s="283">
        <v>2.3300000000000001E-2</v>
      </c>
      <c r="S13" s="99">
        <f t="shared" si="3"/>
        <v>6.0000000000000001E-3</v>
      </c>
      <c r="T13" s="249">
        <v>0.183</v>
      </c>
      <c r="U13" s="283">
        <v>4.0000000000000001E-3</v>
      </c>
      <c r="V13" s="283">
        <v>7.6E-3</v>
      </c>
      <c r="W13" s="283">
        <v>1.55E-2</v>
      </c>
      <c r="Y13" s="99">
        <f t="shared" si="4"/>
        <v>6.0000000000000001E-3</v>
      </c>
      <c r="Z13" s="249">
        <v>0.184</v>
      </c>
      <c r="AA13" s="288">
        <v>3.5999999999999999E-3</v>
      </c>
      <c r="AB13" s="288">
        <v>7.4999999999999997E-3</v>
      </c>
      <c r="AC13" s="288">
        <v>1.61E-2</v>
      </c>
      <c r="AD13" s="5"/>
      <c r="AE13" s="5"/>
      <c r="AF13" s="5"/>
    </row>
    <row r="14" spans="1:32" x14ac:dyDescent="0.25">
      <c r="A14" s="99">
        <f t="shared" si="0"/>
        <v>7.0000000000000001E-3</v>
      </c>
      <c r="B14" s="7">
        <v>7.2999999999999995E-2</v>
      </c>
      <c r="C14" s="248">
        <v>1.61E-2</v>
      </c>
      <c r="D14" s="248">
        <v>2.2499999999999999E-2</v>
      </c>
      <c r="E14" s="248">
        <v>3.85E-2</v>
      </c>
      <c r="G14" s="99">
        <f t="shared" si="1"/>
        <v>7.0000000000000001E-3</v>
      </c>
      <c r="H14" s="7">
        <v>5.2999999999999999E-2</v>
      </c>
      <c r="I14" s="293">
        <v>9.5999999999999992E-3</v>
      </c>
      <c r="J14" s="293">
        <v>1.8499999999999999E-2</v>
      </c>
      <c r="K14" s="293">
        <v>4.0500000000000001E-2</v>
      </c>
      <c r="M14" s="99">
        <f t="shared" si="2"/>
        <v>7.0000000000000001E-3</v>
      </c>
      <c r="N14" s="249">
        <v>0.182</v>
      </c>
      <c r="O14" s="283">
        <v>7.0000000000000001E-3</v>
      </c>
      <c r="P14" s="283">
        <v>1.3299999999999999E-2</v>
      </c>
      <c r="Q14" s="283">
        <v>2.7199999999999998E-2</v>
      </c>
      <c r="S14" s="99">
        <f t="shared" si="3"/>
        <v>7.0000000000000001E-3</v>
      </c>
      <c r="T14" s="249">
        <v>0.182</v>
      </c>
      <c r="U14" s="283">
        <v>5.0000000000000001E-3</v>
      </c>
      <c r="V14" s="283">
        <v>9.4999999999999998E-3</v>
      </c>
      <c r="W14" s="283">
        <v>1.9400000000000001E-2</v>
      </c>
      <c r="Y14" s="99">
        <f t="shared" si="4"/>
        <v>7.0000000000000001E-3</v>
      </c>
      <c r="Z14" s="249">
        <v>0.183</v>
      </c>
      <c r="AA14" s="288">
        <v>4.4999999999999997E-3</v>
      </c>
      <c r="AB14" s="288">
        <v>9.4000000000000004E-3</v>
      </c>
      <c r="AC14" s="288">
        <v>0.02</v>
      </c>
      <c r="AD14" s="5"/>
      <c r="AE14" s="5"/>
      <c r="AF14" s="5"/>
    </row>
    <row r="15" spans="1:32" x14ac:dyDescent="0.25">
      <c r="A15" s="99">
        <f t="shared" si="0"/>
        <v>8.0000000000000002E-3</v>
      </c>
      <c r="B15" s="7">
        <v>7.2000000000000008E-2</v>
      </c>
      <c r="C15" s="248">
        <v>1.7100000000000001E-2</v>
      </c>
      <c r="D15" s="248">
        <v>2.4400000000000002E-2</v>
      </c>
      <c r="E15" s="248">
        <v>4.2700000000000002E-2</v>
      </c>
      <c r="G15" s="99">
        <f t="shared" si="1"/>
        <v>8.0000000000000002E-3</v>
      </c>
      <c r="H15" s="7">
        <v>5.1999999999999998E-2</v>
      </c>
      <c r="I15" s="293">
        <v>1.06E-2</v>
      </c>
      <c r="J15" s="293">
        <v>2.0400000000000001E-2</v>
      </c>
      <c r="K15" s="293">
        <v>4.4600000000000001E-2</v>
      </c>
      <c r="M15" s="99">
        <f t="shared" si="2"/>
        <v>8.0000000000000002E-3</v>
      </c>
      <c r="N15" s="249">
        <v>0.18099999999999999</v>
      </c>
      <c r="O15" s="283">
        <v>8.0000000000000002E-3</v>
      </c>
      <c r="P15" s="283">
        <v>1.52E-2</v>
      </c>
      <c r="Q15" s="283">
        <v>3.1099999999999999E-2</v>
      </c>
      <c r="S15" s="99">
        <f t="shared" si="3"/>
        <v>8.0000000000000002E-3</v>
      </c>
      <c r="T15" s="249">
        <v>0.18099999999999999</v>
      </c>
      <c r="U15" s="283">
        <v>6.0000000000000001E-3</v>
      </c>
      <c r="V15" s="283">
        <v>1.14E-2</v>
      </c>
      <c r="W15" s="283">
        <v>2.3199999999999998E-2</v>
      </c>
      <c r="Y15" s="99">
        <f t="shared" si="4"/>
        <v>8.0000000000000002E-3</v>
      </c>
      <c r="Z15" s="249">
        <v>0.182</v>
      </c>
      <c r="AA15" s="288">
        <v>5.4999999999999997E-3</v>
      </c>
      <c r="AB15" s="288">
        <v>1.1299999999999999E-2</v>
      </c>
      <c r="AC15" s="288">
        <v>2.3900000000000001E-2</v>
      </c>
      <c r="AD15" s="5"/>
      <c r="AE15" s="5"/>
      <c r="AF15" s="5"/>
    </row>
    <row r="16" spans="1:32" x14ac:dyDescent="0.25">
      <c r="A16" s="99">
        <f t="shared" si="0"/>
        <v>9.0000000000000011E-3</v>
      </c>
      <c r="B16" s="7">
        <v>7.1000000000000008E-2</v>
      </c>
      <c r="C16" s="248">
        <v>1.8100000000000002E-2</v>
      </c>
      <c r="D16" s="248">
        <v>2.6200000000000001E-2</v>
      </c>
      <c r="E16" s="248">
        <v>4.6800000000000001E-2</v>
      </c>
      <c r="G16" s="99">
        <f t="shared" si="1"/>
        <v>9.0000000000000011E-3</v>
      </c>
      <c r="H16" s="7">
        <v>5.0999999999999997E-2</v>
      </c>
      <c r="I16" s="293">
        <v>1.1599999999999999E-2</v>
      </c>
      <c r="J16" s="293">
        <v>2.23E-2</v>
      </c>
      <c r="K16" s="293">
        <v>4.8800000000000003E-2</v>
      </c>
      <c r="M16" s="99">
        <f t="shared" si="2"/>
        <v>9.0000000000000011E-3</v>
      </c>
      <c r="N16" s="249">
        <v>0.18</v>
      </c>
      <c r="O16" s="283">
        <v>8.8999999999999999E-3</v>
      </c>
      <c r="P16" s="283">
        <v>1.7100000000000001E-2</v>
      </c>
      <c r="Q16" s="283">
        <v>3.49E-2</v>
      </c>
      <c r="S16" s="99">
        <f t="shared" si="3"/>
        <v>9.0000000000000011E-3</v>
      </c>
      <c r="T16" s="249">
        <v>0.18</v>
      </c>
      <c r="U16" s="283">
        <v>6.8999999999999999E-3</v>
      </c>
      <c r="V16" s="283">
        <v>1.3299999999999999E-2</v>
      </c>
      <c r="W16" s="283">
        <v>2.7099999999999999E-2</v>
      </c>
      <c r="Y16" s="99">
        <f t="shared" si="4"/>
        <v>9.0000000000000011E-3</v>
      </c>
      <c r="Z16" s="249">
        <v>0.18099999999999999</v>
      </c>
      <c r="AA16" s="288">
        <v>6.4999999999999997E-3</v>
      </c>
      <c r="AB16" s="288">
        <v>1.32E-2</v>
      </c>
      <c r="AC16" s="288">
        <v>2.7699999999999999E-2</v>
      </c>
      <c r="AD16" s="5"/>
      <c r="AE16" s="5"/>
      <c r="AF16" s="5"/>
    </row>
    <row r="17" spans="1:32" x14ac:dyDescent="0.25">
      <c r="A17" s="99">
        <f t="shared" si="0"/>
        <v>1.0000000000000002E-2</v>
      </c>
      <c r="B17" s="7">
        <v>7.0000000000000007E-2</v>
      </c>
      <c r="C17" s="248">
        <v>1.9E-2</v>
      </c>
      <c r="D17" s="248">
        <v>2.81E-2</v>
      </c>
      <c r="E17" s="248">
        <v>5.0999999999999997E-2</v>
      </c>
      <c r="G17" s="99">
        <f t="shared" si="1"/>
        <v>1.0000000000000002E-2</v>
      </c>
      <c r="H17" s="7">
        <v>4.9999999999999996E-2</v>
      </c>
      <c r="I17" s="293">
        <v>1.26E-2</v>
      </c>
      <c r="J17" s="293">
        <v>2.4199999999999999E-2</v>
      </c>
      <c r="K17" s="293">
        <v>5.2900000000000003E-2</v>
      </c>
      <c r="M17" s="99">
        <f t="shared" si="2"/>
        <v>1.0000000000000002E-2</v>
      </c>
      <c r="N17" s="249">
        <v>0.17899999999999999</v>
      </c>
      <c r="O17" s="283">
        <v>9.9000000000000008E-3</v>
      </c>
      <c r="P17" s="283">
        <v>1.9E-2</v>
      </c>
      <c r="Q17" s="283">
        <v>3.8800000000000001E-2</v>
      </c>
      <c r="S17" s="99">
        <f t="shared" si="3"/>
        <v>1.0000000000000002E-2</v>
      </c>
      <c r="T17" s="249">
        <v>0.17899999999999999</v>
      </c>
      <c r="U17" s="283">
        <v>7.9000000000000008E-3</v>
      </c>
      <c r="V17" s="283">
        <v>1.52E-2</v>
      </c>
      <c r="W17" s="283">
        <v>3.1E-2</v>
      </c>
      <c r="Y17" s="99">
        <f t="shared" si="4"/>
        <v>1.0000000000000002E-2</v>
      </c>
      <c r="Z17" s="249">
        <v>0.18</v>
      </c>
      <c r="AA17" s="288">
        <v>7.4999999999999997E-3</v>
      </c>
      <c r="AB17" s="288">
        <v>1.4999999999999999E-2</v>
      </c>
      <c r="AC17" s="288">
        <v>3.1600000000000003E-2</v>
      </c>
      <c r="AD17" s="5"/>
      <c r="AE17" s="5"/>
      <c r="AF17" s="5"/>
    </row>
    <row r="18" spans="1:32" x14ac:dyDescent="0.25">
      <c r="A18" s="99">
        <f t="shared" si="0"/>
        <v>1.1000000000000003E-2</v>
      </c>
      <c r="B18" s="7">
        <v>6.9000000000000006E-2</v>
      </c>
      <c r="C18" s="248">
        <v>0.02</v>
      </c>
      <c r="D18" s="248">
        <v>0.03</v>
      </c>
      <c r="E18" s="248">
        <v>5.5100000000000003E-2</v>
      </c>
      <c r="G18" s="99">
        <f t="shared" si="1"/>
        <v>1.1000000000000003E-2</v>
      </c>
      <c r="H18" s="7">
        <v>4.8999999999999995E-2</v>
      </c>
      <c r="I18" s="293">
        <v>1.3599999999999999E-2</v>
      </c>
      <c r="J18" s="293">
        <v>2.6100000000000002E-2</v>
      </c>
      <c r="K18" s="293">
        <v>5.7000000000000002E-2</v>
      </c>
      <c r="M18" s="99">
        <f t="shared" si="2"/>
        <v>1.1000000000000003E-2</v>
      </c>
      <c r="N18" s="249">
        <v>0.17799999999999999</v>
      </c>
      <c r="O18" s="283">
        <v>1.09E-2</v>
      </c>
      <c r="P18" s="283">
        <v>2.0899999999999998E-2</v>
      </c>
      <c r="Q18" s="283">
        <v>4.2599999999999999E-2</v>
      </c>
      <c r="S18" s="99">
        <f t="shared" si="3"/>
        <v>1.1000000000000003E-2</v>
      </c>
      <c r="T18" s="249">
        <v>0.17799999999999999</v>
      </c>
      <c r="U18" s="283">
        <v>8.8999999999999999E-3</v>
      </c>
      <c r="V18" s="283">
        <v>1.7100000000000001E-2</v>
      </c>
      <c r="W18" s="283">
        <v>3.4799999999999998E-2</v>
      </c>
      <c r="Y18" s="99">
        <f t="shared" si="4"/>
        <v>1.1000000000000003E-2</v>
      </c>
      <c r="Z18" s="249">
        <v>0.17899999999999999</v>
      </c>
      <c r="AA18" s="288">
        <v>8.5000000000000006E-3</v>
      </c>
      <c r="AB18" s="288">
        <v>1.6899999999999998E-2</v>
      </c>
      <c r="AC18" s="288">
        <v>3.5400000000000001E-2</v>
      </c>
      <c r="AD18" s="5"/>
      <c r="AE18" s="5"/>
      <c r="AF18" s="5"/>
    </row>
    <row r="19" spans="1:32" x14ac:dyDescent="0.25">
      <c r="A19" s="99">
        <f t="shared" si="0"/>
        <v>1.2000000000000004E-2</v>
      </c>
      <c r="B19" s="7">
        <v>6.8000000000000005E-2</v>
      </c>
      <c r="C19" s="248">
        <v>2.1000000000000001E-2</v>
      </c>
      <c r="D19" s="248">
        <v>3.1800000000000002E-2</v>
      </c>
      <c r="E19" s="248">
        <v>5.9200000000000003E-2</v>
      </c>
      <c r="G19" s="99">
        <f t="shared" si="1"/>
        <v>1.2000000000000004E-2</v>
      </c>
      <c r="H19" s="7">
        <v>4.7999999999999994E-2</v>
      </c>
      <c r="I19" s="293">
        <v>1.46E-2</v>
      </c>
      <c r="J19" s="293">
        <v>2.8000000000000001E-2</v>
      </c>
      <c r="K19" s="293">
        <v>6.1100000000000002E-2</v>
      </c>
      <c r="M19" s="99">
        <f t="shared" si="2"/>
        <v>1.2000000000000004E-2</v>
      </c>
      <c r="N19" s="249">
        <v>0.17699999999999999</v>
      </c>
      <c r="O19" s="283">
        <v>1.1900000000000001E-2</v>
      </c>
      <c r="P19" s="283">
        <v>2.2800000000000001E-2</v>
      </c>
      <c r="Q19" s="283">
        <v>4.65E-2</v>
      </c>
      <c r="S19" s="99">
        <f t="shared" si="3"/>
        <v>1.2000000000000004E-2</v>
      </c>
      <c r="T19" s="249">
        <v>0.17699999999999999</v>
      </c>
      <c r="U19" s="283">
        <v>9.9000000000000008E-3</v>
      </c>
      <c r="V19" s="283">
        <v>1.89E-2</v>
      </c>
      <c r="W19" s="283">
        <v>3.8699999999999998E-2</v>
      </c>
      <c r="Y19" s="99">
        <f t="shared" si="4"/>
        <v>1.2000000000000004E-2</v>
      </c>
      <c r="Z19" s="249">
        <v>0.17799999999999999</v>
      </c>
      <c r="AA19" s="288">
        <v>9.4999999999999998E-3</v>
      </c>
      <c r="AB19" s="288">
        <v>1.8800000000000001E-2</v>
      </c>
      <c r="AC19" s="288">
        <v>3.9300000000000002E-2</v>
      </c>
      <c r="AD19" s="5"/>
      <c r="AE19" s="5"/>
      <c r="AF19" s="5"/>
    </row>
    <row r="20" spans="1:32" x14ac:dyDescent="0.25">
      <c r="A20" s="99">
        <f t="shared" si="0"/>
        <v>1.3000000000000005E-2</v>
      </c>
      <c r="B20" s="7">
        <v>6.7000000000000004E-2</v>
      </c>
      <c r="C20" s="248">
        <v>2.1899999999999999E-2</v>
      </c>
      <c r="D20" s="248">
        <v>3.3700000000000001E-2</v>
      </c>
      <c r="E20" s="248">
        <v>6.3299999999999995E-2</v>
      </c>
      <c r="G20" s="99">
        <f t="shared" si="1"/>
        <v>1.3000000000000005E-2</v>
      </c>
      <c r="H20" s="7">
        <v>4.6999999999999993E-2</v>
      </c>
      <c r="I20" s="293">
        <v>1.55E-2</v>
      </c>
      <c r="J20" s="293">
        <v>2.9899999999999999E-2</v>
      </c>
      <c r="K20" s="293">
        <v>6.5199999999999994E-2</v>
      </c>
      <c r="M20" s="99">
        <f t="shared" si="2"/>
        <v>1.3000000000000005E-2</v>
      </c>
      <c r="N20" s="249">
        <v>0.17599999999999999</v>
      </c>
      <c r="O20" s="283">
        <v>1.29E-2</v>
      </c>
      <c r="P20" s="283">
        <v>2.47E-2</v>
      </c>
      <c r="Q20" s="283">
        <v>5.0299999999999997E-2</v>
      </c>
      <c r="S20" s="99">
        <f t="shared" si="3"/>
        <v>1.3000000000000005E-2</v>
      </c>
      <c r="T20" s="249">
        <v>0.17599999999999999</v>
      </c>
      <c r="U20" s="283">
        <v>1.09E-2</v>
      </c>
      <c r="V20" s="283">
        <v>2.0799999999999999E-2</v>
      </c>
      <c r="W20" s="283">
        <v>4.2500000000000003E-2</v>
      </c>
      <c r="Y20" s="99">
        <f t="shared" si="4"/>
        <v>1.3000000000000005E-2</v>
      </c>
      <c r="Z20" s="249">
        <v>0.17699999999999999</v>
      </c>
      <c r="AA20" s="288">
        <v>1.0500000000000001E-2</v>
      </c>
      <c r="AB20" s="288">
        <v>2.07E-2</v>
      </c>
      <c r="AC20" s="288">
        <v>4.3099999999999999E-2</v>
      </c>
      <c r="AD20" s="5"/>
      <c r="AE20" s="5"/>
      <c r="AF20" s="5"/>
    </row>
    <row r="21" spans="1:32" x14ac:dyDescent="0.25">
      <c r="A21" s="99">
        <f t="shared" si="0"/>
        <v>1.4000000000000005E-2</v>
      </c>
      <c r="B21" s="7">
        <v>6.6000000000000003E-2</v>
      </c>
      <c r="C21" s="248">
        <v>2.29E-2</v>
      </c>
      <c r="D21" s="248">
        <v>3.56E-2</v>
      </c>
      <c r="E21" s="248">
        <v>6.7400000000000002E-2</v>
      </c>
      <c r="G21" s="99">
        <f t="shared" si="1"/>
        <v>1.4000000000000005E-2</v>
      </c>
      <c r="H21" s="7">
        <v>4.5999999999999992E-2</v>
      </c>
      <c r="I21" s="293">
        <v>1.6500000000000001E-2</v>
      </c>
      <c r="J21" s="293">
        <v>3.1800000000000002E-2</v>
      </c>
      <c r="K21" s="293">
        <v>6.93E-2</v>
      </c>
      <c r="M21" s="99">
        <f t="shared" si="2"/>
        <v>1.4000000000000005E-2</v>
      </c>
      <c r="N21" s="249">
        <v>0.17499999999999999</v>
      </c>
      <c r="O21" s="283">
        <v>1.3899999999999999E-2</v>
      </c>
      <c r="P21" s="283">
        <v>2.6499999999999999E-2</v>
      </c>
      <c r="Q21" s="283">
        <v>5.4100000000000002E-2</v>
      </c>
      <c r="S21" s="99">
        <f t="shared" si="3"/>
        <v>1.4000000000000005E-2</v>
      </c>
      <c r="T21" s="249">
        <v>0.17499999999999999</v>
      </c>
      <c r="U21" s="283">
        <v>1.1900000000000001E-2</v>
      </c>
      <c r="V21" s="283">
        <v>2.2700000000000001E-2</v>
      </c>
      <c r="W21" s="283">
        <v>4.6399999999999997E-2</v>
      </c>
      <c r="Y21" s="99">
        <f t="shared" si="4"/>
        <v>1.4000000000000005E-2</v>
      </c>
      <c r="Z21" s="249">
        <v>0.17599999999999999</v>
      </c>
      <c r="AA21" s="288">
        <v>1.15E-2</v>
      </c>
      <c r="AB21" s="288">
        <v>2.2599999999999999E-2</v>
      </c>
      <c r="AC21" s="288">
        <v>4.6899999999999997E-2</v>
      </c>
      <c r="AD21" s="5"/>
      <c r="AE21" s="5"/>
      <c r="AF21" s="5"/>
    </row>
    <row r="22" spans="1:32" x14ac:dyDescent="0.25">
      <c r="A22" s="99">
        <f t="shared" si="0"/>
        <v>1.5000000000000006E-2</v>
      </c>
      <c r="B22" s="7">
        <v>6.5000000000000002E-2</v>
      </c>
      <c r="C22" s="8">
        <v>2.3900000000000001E-2</v>
      </c>
      <c r="D22" s="8">
        <v>3.7499999999999999E-2</v>
      </c>
      <c r="E22" s="8">
        <v>7.1499999999999994E-2</v>
      </c>
      <c r="G22" s="99">
        <f t="shared" si="1"/>
        <v>1.5000000000000006E-2</v>
      </c>
      <c r="H22" s="7">
        <v>4.4999999999999991E-2</v>
      </c>
      <c r="I22" s="291">
        <v>1.7500000000000002E-2</v>
      </c>
      <c r="J22" s="291">
        <v>3.3700000000000001E-2</v>
      </c>
      <c r="K22" s="291">
        <v>7.3400000000000007E-2</v>
      </c>
      <c r="M22" s="99">
        <f t="shared" si="2"/>
        <v>1.5000000000000006E-2</v>
      </c>
      <c r="N22" s="249">
        <v>0.17399999999999999</v>
      </c>
      <c r="O22" s="283">
        <v>1.49E-2</v>
      </c>
      <c r="P22" s="283">
        <v>2.8400000000000002E-2</v>
      </c>
      <c r="Q22" s="283">
        <v>5.8000000000000003E-2</v>
      </c>
      <c r="S22" s="99">
        <f t="shared" si="3"/>
        <v>1.5000000000000006E-2</v>
      </c>
      <c r="T22" s="249">
        <v>0.17399999999999999</v>
      </c>
      <c r="U22" s="283">
        <v>1.29E-2</v>
      </c>
      <c r="V22" s="283">
        <v>2.46E-2</v>
      </c>
      <c r="W22" s="283">
        <v>5.0200000000000002E-2</v>
      </c>
      <c r="Y22" s="99">
        <f t="shared" si="4"/>
        <v>1.5000000000000006E-2</v>
      </c>
      <c r="Z22" s="249">
        <v>0.17499999999999999</v>
      </c>
      <c r="AA22" s="288">
        <v>1.2500000000000001E-2</v>
      </c>
      <c r="AB22" s="288">
        <v>2.4500000000000001E-2</v>
      </c>
      <c r="AC22" s="288">
        <v>5.0700000000000002E-2</v>
      </c>
      <c r="AD22" s="5"/>
      <c r="AE22" s="5"/>
      <c r="AF22" s="5"/>
    </row>
    <row r="23" spans="1:32" x14ac:dyDescent="0.25">
      <c r="A23" s="99">
        <f t="shared" si="0"/>
        <v>1.6000000000000007E-2</v>
      </c>
      <c r="B23" s="9">
        <v>6.4000000000000001E-2</v>
      </c>
      <c r="C23" s="8">
        <v>2.4799999999999999E-2</v>
      </c>
      <c r="D23" s="8">
        <v>3.9300000000000002E-2</v>
      </c>
      <c r="E23" s="8">
        <v>7.5600000000000001E-2</v>
      </c>
      <c r="G23" s="99">
        <f t="shared" si="1"/>
        <v>1.6000000000000007E-2</v>
      </c>
      <c r="H23" s="9">
        <v>4.3999999999999991E-2</v>
      </c>
      <c r="I23" s="293">
        <v>1.8499999999999999E-2</v>
      </c>
      <c r="J23" s="291">
        <v>3.56E-2</v>
      </c>
      <c r="K23" s="293">
        <v>7.7499999999999999E-2</v>
      </c>
      <c r="M23" s="99">
        <f t="shared" si="2"/>
        <v>1.6000000000000007E-2</v>
      </c>
      <c r="N23" s="249">
        <v>0.17299999999999999</v>
      </c>
      <c r="O23" s="283">
        <v>1.5900000000000001E-2</v>
      </c>
      <c r="P23" s="283">
        <v>3.0300000000000001E-2</v>
      </c>
      <c r="Q23" s="283">
        <v>6.1800000000000001E-2</v>
      </c>
      <c r="S23" s="99">
        <f t="shared" si="3"/>
        <v>1.6000000000000007E-2</v>
      </c>
      <c r="T23" s="249">
        <v>0.17299999999999999</v>
      </c>
      <c r="U23" s="283">
        <v>1.3899999999999999E-2</v>
      </c>
      <c r="V23" s="283">
        <v>2.6499999999999999E-2</v>
      </c>
      <c r="W23" s="283">
        <v>5.3999999999999999E-2</v>
      </c>
      <c r="Y23" s="99">
        <f t="shared" si="4"/>
        <v>1.6000000000000007E-2</v>
      </c>
      <c r="Z23" s="249">
        <v>0.17399999999999999</v>
      </c>
      <c r="AA23" s="288">
        <v>1.35E-2</v>
      </c>
      <c r="AB23" s="288">
        <v>2.64E-2</v>
      </c>
      <c r="AC23" s="288">
        <v>5.4600000000000003E-2</v>
      </c>
      <c r="AD23" s="5"/>
      <c r="AE23" s="5"/>
      <c r="AF23" s="5"/>
    </row>
    <row r="24" spans="1:32" x14ac:dyDescent="0.25">
      <c r="A24" s="99">
        <f t="shared" si="0"/>
        <v>1.7000000000000008E-2</v>
      </c>
      <c r="B24" s="9">
        <v>6.3E-2</v>
      </c>
      <c r="C24" s="248">
        <v>2.58E-2</v>
      </c>
      <c r="D24" s="8">
        <v>4.1200000000000001E-2</v>
      </c>
      <c r="E24" s="248">
        <v>7.9699999999999993E-2</v>
      </c>
      <c r="G24" s="99">
        <f t="shared" si="1"/>
        <v>1.7000000000000008E-2</v>
      </c>
      <c r="H24" s="9">
        <v>4.299999999999999E-2</v>
      </c>
      <c r="I24" s="293">
        <v>1.95E-2</v>
      </c>
      <c r="J24" s="291">
        <v>3.7499999999999999E-2</v>
      </c>
      <c r="K24" s="293">
        <v>8.1600000000000006E-2</v>
      </c>
      <c r="M24" s="99">
        <f t="shared" si="2"/>
        <v>1.7000000000000008E-2</v>
      </c>
      <c r="N24" s="249">
        <v>0.17199999999999999</v>
      </c>
      <c r="O24" s="283">
        <v>1.6899999999999998E-2</v>
      </c>
      <c r="P24" s="283">
        <v>3.2199999999999999E-2</v>
      </c>
      <c r="Q24" s="283">
        <v>6.5600000000000006E-2</v>
      </c>
      <c r="S24" s="99">
        <f t="shared" si="3"/>
        <v>1.7000000000000008E-2</v>
      </c>
      <c r="T24" s="249">
        <v>0.17199999999999999</v>
      </c>
      <c r="U24" s="283">
        <v>1.49E-2</v>
      </c>
      <c r="V24" s="283">
        <v>2.8400000000000002E-2</v>
      </c>
      <c r="W24" s="283">
        <v>5.7799999999999997E-2</v>
      </c>
      <c r="Y24" s="99">
        <f t="shared" si="4"/>
        <v>1.7000000000000008E-2</v>
      </c>
      <c r="Z24" s="249">
        <v>0.17299999999999999</v>
      </c>
      <c r="AA24" s="288">
        <v>1.44E-2</v>
      </c>
      <c r="AB24" s="288">
        <v>2.8199999999999999E-2</v>
      </c>
      <c r="AC24" s="288">
        <v>5.8400000000000001E-2</v>
      </c>
      <c r="AD24" s="5"/>
      <c r="AE24" s="5"/>
      <c r="AF24" s="5"/>
    </row>
    <row r="25" spans="1:32" x14ac:dyDescent="0.25">
      <c r="A25" s="99">
        <f t="shared" si="0"/>
        <v>1.8000000000000009E-2</v>
      </c>
      <c r="B25" s="9">
        <v>6.1999999999999993E-2</v>
      </c>
      <c r="C25" s="248">
        <v>2.6800000000000001E-2</v>
      </c>
      <c r="D25" s="8">
        <v>4.2999999999999997E-2</v>
      </c>
      <c r="E25" s="248">
        <v>8.3699999999999997E-2</v>
      </c>
      <c r="G25" s="99">
        <f t="shared" si="1"/>
        <v>1.8000000000000009E-2</v>
      </c>
      <c r="H25" s="9">
        <v>4.1999999999999989E-2</v>
      </c>
      <c r="I25" s="293">
        <v>2.0500000000000001E-2</v>
      </c>
      <c r="J25" s="291">
        <v>3.9399999999999998E-2</v>
      </c>
      <c r="K25" s="293">
        <v>8.5599999999999996E-2</v>
      </c>
      <c r="M25" s="99">
        <f t="shared" si="2"/>
        <v>1.8000000000000009E-2</v>
      </c>
      <c r="N25" s="249">
        <v>0.17099999999999999</v>
      </c>
      <c r="O25" s="283">
        <v>1.7899999999999999E-2</v>
      </c>
      <c r="P25" s="283">
        <v>3.4099999999999998E-2</v>
      </c>
      <c r="Q25" s="283">
        <v>6.9400000000000003E-2</v>
      </c>
      <c r="S25" s="99">
        <f t="shared" si="3"/>
        <v>1.8000000000000009E-2</v>
      </c>
      <c r="T25" s="249">
        <v>0.17099999999999999</v>
      </c>
      <c r="U25" s="283">
        <v>1.5900000000000001E-2</v>
      </c>
      <c r="V25" s="283">
        <v>3.0300000000000001E-2</v>
      </c>
      <c r="W25" s="283">
        <v>6.1699999999999998E-2</v>
      </c>
      <c r="Y25" s="99">
        <f t="shared" si="4"/>
        <v>1.8000000000000009E-2</v>
      </c>
      <c r="Z25" s="249">
        <v>0.17199999999999999</v>
      </c>
      <c r="AA25" s="288">
        <v>1.54E-2</v>
      </c>
      <c r="AB25" s="288">
        <v>3.0099999999999998E-2</v>
      </c>
      <c r="AC25" s="288">
        <v>6.2199999999999998E-2</v>
      </c>
      <c r="AD25" s="5"/>
      <c r="AE25" s="5"/>
      <c r="AF25" s="5"/>
    </row>
    <row r="26" spans="1:32" x14ac:dyDescent="0.25">
      <c r="A26" s="99">
        <f t="shared" si="0"/>
        <v>1.900000000000001E-2</v>
      </c>
      <c r="B26" s="9">
        <v>6.0999999999999992E-2</v>
      </c>
      <c r="C26" s="248">
        <v>2.7699999999999999E-2</v>
      </c>
      <c r="D26" s="8">
        <v>4.4900000000000002E-2</v>
      </c>
      <c r="E26" s="248">
        <v>8.7800000000000003E-2</v>
      </c>
      <c r="G26" s="99">
        <f t="shared" si="1"/>
        <v>1.900000000000001E-2</v>
      </c>
      <c r="H26" s="9">
        <v>4.0999999999999988E-2</v>
      </c>
      <c r="I26" s="293">
        <v>2.1499999999999998E-2</v>
      </c>
      <c r="J26" s="291">
        <v>4.1200000000000001E-2</v>
      </c>
      <c r="K26" s="293">
        <v>8.9700000000000002E-2</v>
      </c>
      <c r="M26" s="99">
        <f t="shared" si="2"/>
        <v>1.900000000000001E-2</v>
      </c>
      <c r="N26" s="249">
        <v>0.16999999999999998</v>
      </c>
      <c r="O26" s="283">
        <v>1.89E-2</v>
      </c>
      <c r="P26" s="283">
        <v>3.5999999999999997E-2</v>
      </c>
      <c r="Q26" s="283">
        <v>7.3200000000000001E-2</v>
      </c>
      <c r="S26" s="99">
        <f t="shared" si="3"/>
        <v>1.900000000000001E-2</v>
      </c>
      <c r="T26" s="249">
        <v>0.16999999999999998</v>
      </c>
      <c r="U26" s="283">
        <v>1.6899999999999998E-2</v>
      </c>
      <c r="V26" s="283">
        <v>3.2199999999999999E-2</v>
      </c>
      <c r="W26" s="283">
        <v>6.5500000000000003E-2</v>
      </c>
      <c r="Y26" s="99">
        <f t="shared" si="4"/>
        <v>1.900000000000001E-2</v>
      </c>
      <c r="Z26" s="249">
        <v>0.17099999999999999</v>
      </c>
      <c r="AA26" s="288">
        <v>1.6400000000000001E-2</v>
      </c>
      <c r="AB26" s="288">
        <v>3.2000000000000001E-2</v>
      </c>
      <c r="AC26" s="288">
        <v>6.6000000000000003E-2</v>
      </c>
      <c r="AD26" s="5"/>
      <c r="AE26" s="5"/>
      <c r="AF26" s="5"/>
    </row>
    <row r="27" spans="1:32" x14ac:dyDescent="0.25">
      <c r="A27" s="99">
        <f t="shared" si="0"/>
        <v>2.0000000000000011E-2</v>
      </c>
      <c r="B27" s="9">
        <v>5.9999999999999991E-2</v>
      </c>
      <c r="C27" s="248">
        <v>2.87E-2</v>
      </c>
      <c r="D27" s="8">
        <v>4.6800000000000001E-2</v>
      </c>
      <c r="E27" s="248">
        <v>9.1899999999999996E-2</v>
      </c>
      <c r="G27" s="99">
        <f t="shared" si="1"/>
        <v>2.0000000000000011E-2</v>
      </c>
      <c r="H27" s="9">
        <v>3.9999999999999987E-2</v>
      </c>
      <c r="I27" s="293">
        <v>2.2499999999999999E-2</v>
      </c>
      <c r="J27" s="291">
        <v>4.3099999999999999E-2</v>
      </c>
      <c r="K27" s="293">
        <v>9.3700000000000006E-2</v>
      </c>
      <c r="M27" s="99">
        <f t="shared" si="2"/>
        <v>2.0000000000000011E-2</v>
      </c>
      <c r="N27" s="249">
        <v>0.16899999999999998</v>
      </c>
      <c r="O27" s="283">
        <v>1.9900000000000001E-2</v>
      </c>
      <c r="P27" s="283">
        <v>3.7900000000000003E-2</v>
      </c>
      <c r="Q27" s="283">
        <v>7.6999999999999999E-2</v>
      </c>
      <c r="S27" s="99">
        <f t="shared" si="3"/>
        <v>2.0000000000000011E-2</v>
      </c>
      <c r="T27" s="249">
        <v>0.16899999999999998</v>
      </c>
      <c r="U27" s="283">
        <v>1.7899999999999999E-2</v>
      </c>
      <c r="V27" s="283">
        <v>3.4099999999999998E-2</v>
      </c>
      <c r="W27" s="283">
        <v>6.93E-2</v>
      </c>
      <c r="Y27" s="99">
        <f t="shared" si="4"/>
        <v>2.0000000000000011E-2</v>
      </c>
      <c r="Z27" s="249">
        <v>0.16999999999999998</v>
      </c>
      <c r="AA27" s="288">
        <v>1.7399999999999999E-2</v>
      </c>
      <c r="AB27" s="288">
        <v>3.39E-2</v>
      </c>
      <c r="AC27" s="288">
        <v>6.9800000000000001E-2</v>
      </c>
      <c r="AD27" s="5"/>
      <c r="AE27" s="5"/>
      <c r="AF27" s="5"/>
    </row>
    <row r="28" spans="1:32" x14ac:dyDescent="0.25">
      <c r="A28" s="99">
        <f t="shared" si="0"/>
        <v>2.1000000000000012E-2</v>
      </c>
      <c r="B28" s="9">
        <v>5.899999999999999E-2</v>
      </c>
      <c r="C28" s="248">
        <v>2.9700000000000001E-2</v>
      </c>
      <c r="D28" s="8">
        <v>4.8599999999999997E-2</v>
      </c>
      <c r="E28" s="248">
        <v>9.5899999999999999E-2</v>
      </c>
      <c r="G28" s="99">
        <f t="shared" si="1"/>
        <v>2.1000000000000012E-2</v>
      </c>
      <c r="H28" s="9">
        <v>3.8999999999999986E-2</v>
      </c>
      <c r="I28" s="293">
        <v>2.3400000000000001E-2</v>
      </c>
      <c r="J28" s="291">
        <v>4.4999999999999998E-2</v>
      </c>
      <c r="K28" s="293">
        <v>9.7799999999999998E-2</v>
      </c>
      <c r="M28" s="99">
        <f t="shared" si="2"/>
        <v>2.1000000000000012E-2</v>
      </c>
      <c r="N28" s="249">
        <v>0.16799999999999998</v>
      </c>
      <c r="O28" s="283">
        <v>2.0899999999999998E-2</v>
      </c>
      <c r="P28" s="283">
        <v>3.9699999999999999E-2</v>
      </c>
      <c r="Q28" s="283">
        <v>8.0799999999999997E-2</v>
      </c>
      <c r="S28" s="99">
        <f t="shared" si="3"/>
        <v>2.1000000000000012E-2</v>
      </c>
      <c r="T28" s="249">
        <v>0.16799999999999998</v>
      </c>
      <c r="U28" s="283">
        <v>1.89E-2</v>
      </c>
      <c r="V28" s="283">
        <v>3.5999999999999997E-2</v>
      </c>
      <c r="W28" s="283">
        <v>7.3099999999999998E-2</v>
      </c>
      <c r="Y28" s="99">
        <f t="shared" si="4"/>
        <v>2.1000000000000012E-2</v>
      </c>
      <c r="Z28" s="249">
        <v>0.16899999999999998</v>
      </c>
      <c r="AA28" s="288">
        <v>1.84E-2</v>
      </c>
      <c r="AB28" s="288">
        <v>3.5799999999999998E-2</v>
      </c>
      <c r="AC28" s="288">
        <v>7.3599999999999999E-2</v>
      </c>
      <c r="AD28" s="5"/>
      <c r="AE28" s="5"/>
      <c r="AF28" s="5"/>
    </row>
    <row r="29" spans="1:32" x14ac:dyDescent="0.25">
      <c r="A29" s="99">
        <f t="shared" si="0"/>
        <v>2.2000000000000013E-2</v>
      </c>
      <c r="B29" s="9">
        <v>5.7999999999999989E-2</v>
      </c>
      <c r="C29" s="248">
        <v>3.0599999999999999E-2</v>
      </c>
      <c r="D29" s="8">
        <v>5.0500000000000003E-2</v>
      </c>
      <c r="E29" s="248">
        <v>0.1</v>
      </c>
      <c r="G29" s="99">
        <f t="shared" si="1"/>
        <v>2.2000000000000013E-2</v>
      </c>
      <c r="H29" s="9">
        <v>3.7999999999999985E-2</v>
      </c>
      <c r="I29" s="293">
        <v>2.4400000000000002E-2</v>
      </c>
      <c r="J29" s="291">
        <v>4.6899999999999997E-2</v>
      </c>
      <c r="K29" s="293">
        <v>0.1018</v>
      </c>
      <c r="M29" s="99">
        <f t="shared" si="2"/>
        <v>2.2000000000000013E-2</v>
      </c>
      <c r="N29" s="249">
        <v>0.16699999999999998</v>
      </c>
      <c r="O29" s="283">
        <v>2.18E-2</v>
      </c>
      <c r="P29" s="283">
        <v>4.1599999999999998E-2</v>
      </c>
      <c r="Q29" s="283">
        <v>8.4599999999999995E-2</v>
      </c>
      <c r="S29" s="99">
        <f t="shared" si="3"/>
        <v>2.2000000000000013E-2</v>
      </c>
      <c r="T29" s="249">
        <v>0.16699999999999998</v>
      </c>
      <c r="U29" s="283">
        <v>1.9900000000000001E-2</v>
      </c>
      <c r="V29" s="283">
        <v>3.78E-2</v>
      </c>
      <c r="W29" s="283">
        <v>7.6899999999999996E-2</v>
      </c>
      <c r="Y29" s="99">
        <f t="shared" si="4"/>
        <v>2.2000000000000013E-2</v>
      </c>
      <c r="Z29" s="249">
        <v>0.16799999999999998</v>
      </c>
      <c r="AA29" s="288">
        <v>1.9400000000000001E-2</v>
      </c>
      <c r="AB29" s="288">
        <v>3.7600000000000001E-2</v>
      </c>
      <c r="AC29" s="288">
        <v>7.7399999999999997E-2</v>
      </c>
      <c r="AD29" s="5"/>
      <c r="AE29" s="5"/>
      <c r="AF29" s="5"/>
    </row>
    <row r="30" spans="1:32" x14ac:dyDescent="0.25">
      <c r="A30" s="99">
        <f t="shared" si="0"/>
        <v>2.3000000000000013E-2</v>
      </c>
      <c r="B30" s="9">
        <v>5.6999999999999988E-2</v>
      </c>
      <c r="C30" s="248">
        <v>3.1600000000000003E-2</v>
      </c>
      <c r="D30" s="8">
        <v>5.2299999999999999E-2</v>
      </c>
      <c r="E30" s="248">
        <v>0.104</v>
      </c>
      <c r="G30" s="99">
        <f t="shared" si="1"/>
        <v>2.3000000000000013E-2</v>
      </c>
      <c r="H30" s="9">
        <v>3.6999999999999984E-2</v>
      </c>
      <c r="I30" s="293">
        <v>2.5399999999999999E-2</v>
      </c>
      <c r="J30" s="291">
        <v>4.8800000000000003E-2</v>
      </c>
      <c r="K30" s="293">
        <v>0.10580000000000001</v>
      </c>
      <c r="M30" s="99">
        <f t="shared" si="2"/>
        <v>2.3000000000000013E-2</v>
      </c>
      <c r="N30" s="249">
        <v>0.16599999999999998</v>
      </c>
      <c r="O30" s="283">
        <v>2.2800000000000001E-2</v>
      </c>
      <c r="P30" s="283">
        <v>4.3499999999999997E-2</v>
      </c>
      <c r="Q30" s="283">
        <v>8.8400000000000006E-2</v>
      </c>
      <c r="S30" s="99">
        <f t="shared" si="3"/>
        <v>2.3000000000000013E-2</v>
      </c>
      <c r="T30" s="249">
        <v>0.16599999999999998</v>
      </c>
      <c r="U30" s="283">
        <v>2.0899999999999998E-2</v>
      </c>
      <c r="V30" s="283">
        <v>3.9699999999999999E-2</v>
      </c>
      <c r="W30" s="283">
        <v>8.0699999999999994E-2</v>
      </c>
      <c r="Y30" s="99">
        <f t="shared" si="4"/>
        <v>2.3000000000000013E-2</v>
      </c>
      <c r="Z30" s="249">
        <v>0.16699999999999998</v>
      </c>
      <c r="AA30" s="288">
        <v>2.0400000000000001E-2</v>
      </c>
      <c r="AB30" s="288">
        <v>3.95E-2</v>
      </c>
      <c r="AC30" s="288">
        <v>8.1100000000000005E-2</v>
      </c>
      <c r="AD30" s="5"/>
      <c r="AE30" s="5"/>
      <c r="AF30" s="5"/>
    </row>
    <row r="31" spans="1:32" x14ac:dyDescent="0.25">
      <c r="A31" s="99">
        <f t="shared" si="0"/>
        <v>2.4000000000000014E-2</v>
      </c>
      <c r="B31" s="9">
        <v>5.5999999999999987E-2</v>
      </c>
      <c r="C31" s="248">
        <v>3.2599999999999997E-2</v>
      </c>
      <c r="D31" s="8">
        <v>5.4199999999999998E-2</v>
      </c>
      <c r="E31" s="248">
        <v>0.108</v>
      </c>
      <c r="G31" s="99">
        <f t="shared" si="1"/>
        <v>2.4000000000000014E-2</v>
      </c>
      <c r="H31" s="9">
        <v>3.5999999999999983E-2</v>
      </c>
      <c r="I31" s="293">
        <v>2.64E-2</v>
      </c>
      <c r="J31" s="291">
        <v>5.0700000000000002E-2</v>
      </c>
      <c r="K31" s="293">
        <v>0.10979999999999999</v>
      </c>
      <c r="M31" s="99">
        <f t="shared" si="2"/>
        <v>2.4000000000000014E-2</v>
      </c>
      <c r="N31" s="249">
        <v>0.16499999999999998</v>
      </c>
      <c r="O31" s="283">
        <v>2.3800000000000002E-2</v>
      </c>
      <c r="P31" s="283">
        <v>4.5400000000000003E-2</v>
      </c>
      <c r="Q31" s="283">
        <v>9.2100000000000001E-2</v>
      </c>
      <c r="S31" s="99">
        <f t="shared" si="3"/>
        <v>2.4000000000000014E-2</v>
      </c>
      <c r="T31" s="249">
        <v>0.16499999999999998</v>
      </c>
      <c r="U31" s="283">
        <v>2.18E-2</v>
      </c>
      <c r="V31" s="283">
        <v>4.1599999999999998E-2</v>
      </c>
      <c r="W31" s="283">
        <v>8.4500000000000006E-2</v>
      </c>
      <c r="Y31" s="99">
        <f t="shared" si="4"/>
        <v>2.4000000000000014E-2</v>
      </c>
      <c r="Z31" s="249">
        <v>0.16599999999999998</v>
      </c>
      <c r="AA31" s="288">
        <v>2.1399999999999999E-2</v>
      </c>
      <c r="AB31" s="288">
        <v>4.1399999999999999E-2</v>
      </c>
      <c r="AC31" s="288">
        <v>8.4900000000000003E-2</v>
      </c>
      <c r="AD31" s="5"/>
      <c r="AE31" s="5"/>
      <c r="AF31" s="5"/>
    </row>
    <row r="32" spans="1:32" x14ac:dyDescent="0.25">
      <c r="A32" s="99">
        <f t="shared" si="0"/>
        <v>2.5000000000000015E-2</v>
      </c>
      <c r="B32" s="9">
        <v>5.4999999999999986E-2</v>
      </c>
      <c r="C32" s="248">
        <v>3.3500000000000002E-2</v>
      </c>
      <c r="D32" s="8">
        <v>5.6000000000000001E-2</v>
      </c>
      <c r="E32" s="248">
        <v>0.112</v>
      </c>
      <c r="G32" s="99">
        <f t="shared" si="1"/>
        <v>2.5000000000000015E-2</v>
      </c>
      <c r="H32" s="9">
        <v>3.4999999999999983E-2</v>
      </c>
      <c r="I32" s="293">
        <v>2.7400000000000001E-2</v>
      </c>
      <c r="J32" s="291">
        <v>5.2499999999999998E-2</v>
      </c>
      <c r="K32" s="293">
        <v>0.1138</v>
      </c>
      <c r="M32" s="99">
        <f t="shared" si="2"/>
        <v>2.5000000000000015E-2</v>
      </c>
      <c r="N32" s="249">
        <v>0.16399999999999998</v>
      </c>
      <c r="O32" s="283">
        <v>2.4799999999999999E-2</v>
      </c>
      <c r="P32" s="283">
        <v>4.7300000000000002E-2</v>
      </c>
      <c r="Q32" s="283">
        <v>9.5899999999999999E-2</v>
      </c>
      <c r="S32" s="99">
        <f t="shared" si="3"/>
        <v>2.5000000000000015E-2</v>
      </c>
      <c r="T32" s="249">
        <v>0.16399999999999998</v>
      </c>
      <c r="U32" s="283">
        <v>2.2800000000000001E-2</v>
      </c>
      <c r="V32" s="283">
        <v>4.3499999999999997E-2</v>
      </c>
      <c r="W32" s="283">
        <v>8.8200000000000001E-2</v>
      </c>
      <c r="Y32" s="99">
        <f t="shared" si="4"/>
        <v>2.5000000000000015E-2</v>
      </c>
      <c r="Z32" s="249">
        <v>0.16499999999999998</v>
      </c>
      <c r="AA32" s="288">
        <v>2.23E-2</v>
      </c>
      <c r="AB32" s="288">
        <v>4.3299999999999998E-2</v>
      </c>
      <c r="AC32" s="288">
        <v>8.8700000000000001E-2</v>
      </c>
      <c r="AD32" s="5"/>
      <c r="AE32" s="5"/>
      <c r="AF32" s="5"/>
    </row>
    <row r="33" spans="1:32" x14ac:dyDescent="0.25">
      <c r="A33" s="99">
        <f t="shared" si="0"/>
        <v>2.6000000000000016E-2</v>
      </c>
      <c r="B33" s="9">
        <v>5.3999999999999986E-2</v>
      </c>
      <c r="C33" s="248">
        <v>3.4500000000000003E-2</v>
      </c>
      <c r="D33" s="8">
        <v>5.79E-2</v>
      </c>
      <c r="E33" s="248">
        <v>0.11600000000000001</v>
      </c>
      <c r="G33" s="99">
        <f t="shared" si="1"/>
        <v>2.6000000000000016E-2</v>
      </c>
      <c r="H33" s="9">
        <v>3.3999999999999982E-2</v>
      </c>
      <c r="I33" s="293">
        <v>2.8400000000000002E-2</v>
      </c>
      <c r="J33" s="291">
        <v>5.4399999999999997E-2</v>
      </c>
      <c r="K33" s="293">
        <v>0.1178</v>
      </c>
      <c r="M33" s="99">
        <f t="shared" si="2"/>
        <v>2.6000000000000016E-2</v>
      </c>
      <c r="N33" s="249">
        <v>0.16299999999999998</v>
      </c>
      <c r="O33" s="283">
        <v>2.58E-2</v>
      </c>
      <c r="P33" s="283">
        <v>4.9099999999999998E-2</v>
      </c>
      <c r="Q33" s="283">
        <v>9.9699999999999997E-2</v>
      </c>
      <c r="S33" s="99">
        <f t="shared" si="3"/>
        <v>2.6000000000000016E-2</v>
      </c>
      <c r="T33" s="249">
        <v>0.16299999999999998</v>
      </c>
      <c r="U33" s="283">
        <v>2.3800000000000002E-2</v>
      </c>
      <c r="V33" s="283">
        <v>4.5400000000000003E-2</v>
      </c>
      <c r="W33" s="283">
        <v>9.1999999999999998E-2</v>
      </c>
      <c r="Y33" s="99">
        <f t="shared" si="4"/>
        <v>2.6000000000000016E-2</v>
      </c>
      <c r="Z33" s="249">
        <v>0.16399999999999998</v>
      </c>
      <c r="AA33" s="288">
        <v>2.3300000000000001E-2</v>
      </c>
      <c r="AB33" s="288">
        <v>4.5100000000000001E-2</v>
      </c>
      <c r="AC33" s="288">
        <v>9.2399999999999996E-2</v>
      </c>
      <c r="AD33" s="5"/>
      <c r="AE33" s="5"/>
      <c r="AF33" s="5"/>
    </row>
    <row r="34" spans="1:32" x14ac:dyDescent="0.25">
      <c r="A34" s="99">
        <f t="shared" si="0"/>
        <v>2.7000000000000017E-2</v>
      </c>
      <c r="B34" s="9">
        <v>5.2999999999999985E-2</v>
      </c>
      <c r="C34" s="248">
        <v>3.5499999999999997E-2</v>
      </c>
      <c r="D34" s="8">
        <v>5.9700000000000003E-2</v>
      </c>
      <c r="E34" s="248">
        <v>0.12</v>
      </c>
      <c r="G34" s="99">
        <f t="shared" si="1"/>
        <v>2.7000000000000017E-2</v>
      </c>
      <c r="H34" s="9">
        <v>3.2999999999999981E-2</v>
      </c>
      <c r="I34" s="293">
        <v>2.9399999999999999E-2</v>
      </c>
      <c r="J34" s="291">
        <v>5.6300000000000003E-2</v>
      </c>
      <c r="K34" s="293">
        <v>0.12180000000000001</v>
      </c>
      <c r="M34" s="99">
        <f t="shared" si="2"/>
        <v>2.7000000000000017E-2</v>
      </c>
      <c r="N34" s="249">
        <v>0.16199999999999998</v>
      </c>
      <c r="O34" s="283">
        <v>2.6800000000000001E-2</v>
      </c>
      <c r="P34" s="283">
        <v>5.0999999999999997E-2</v>
      </c>
      <c r="Q34" s="283">
        <v>0.10340000000000001</v>
      </c>
      <c r="S34" s="99">
        <f t="shared" si="3"/>
        <v>2.7000000000000017E-2</v>
      </c>
      <c r="T34" s="249">
        <v>0.16199999999999998</v>
      </c>
      <c r="U34" s="283">
        <v>2.4799999999999999E-2</v>
      </c>
      <c r="V34" s="283">
        <v>4.7199999999999999E-2</v>
      </c>
      <c r="W34" s="283">
        <v>9.5799999999999996E-2</v>
      </c>
      <c r="Y34" s="99">
        <f t="shared" si="4"/>
        <v>2.7000000000000017E-2</v>
      </c>
      <c r="Z34" s="249">
        <v>0.16299999999999998</v>
      </c>
      <c r="AA34" s="288">
        <v>2.4299999999999999E-2</v>
      </c>
      <c r="AB34" s="288">
        <v>4.7E-2</v>
      </c>
      <c r="AC34" s="288">
        <v>9.6199999999999994E-2</v>
      </c>
      <c r="AD34" s="5"/>
      <c r="AE34" s="5"/>
      <c r="AF34" s="5"/>
    </row>
    <row r="35" spans="1:32" x14ac:dyDescent="0.25">
      <c r="A35" s="99">
        <f t="shared" si="0"/>
        <v>2.8000000000000018E-2</v>
      </c>
      <c r="B35" s="9">
        <v>5.1999999999999984E-2</v>
      </c>
      <c r="C35" s="248">
        <v>3.6400000000000002E-2</v>
      </c>
      <c r="D35" s="8">
        <v>6.1600000000000002E-2</v>
      </c>
      <c r="E35" s="248">
        <v>0.124</v>
      </c>
      <c r="G35" s="99">
        <f t="shared" si="1"/>
        <v>2.8000000000000018E-2</v>
      </c>
      <c r="H35" s="9">
        <v>3.199999999999998E-2</v>
      </c>
      <c r="I35" s="293">
        <v>3.0300000000000001E-2</v>
      </c>
      <c r="J35" s="291">
        <v>5.8200000000000002E-2</v>
      </c>
      <c r="K35" s="293">
        <v>0.1258</v>
      </c>
      <c r="M35" s="99">
        <f t="shared" si="2"/>
        <v>2.8000000000000018E-2</v>
      </c>
      <c r="N35" s="249">
        <v>0.16099999999999998</v>
      </c>
      <c r="O35" s="283">
        <v>2.7799999999999998E-2</v>
      </c>
      <c r="P35" s="283">
        <v>5.2900000000000003E-2</v>
      </c>
      <c r="Q35" s="283">
        <v>0.1072</v>
      </c>
      <c r="S35" s="99">
        <f t="shared" si="3"/>
        <v>2.8000000000000018E-2</v>
      </c>
      <c r="T35" s="249">
        <v>0.16099999999999998</v>
      </c>
      <c r="U35" s="283">
        <v>2.58E-2</v>
      </c>
      <c r="V35" s="283">
        <v>4.9099999999999998E-2</v>
      </c>
      <c r="W35" s="283">
        <v>9.9500000000000005E-2</v>
      </c>
      <c r="Y35" s="99">
        <f t="shared" si="4"/>
        <v>2.8000000000000018E-2</v>
      </c>
      <c r="Z35" s="249">
        <v>0.16199999999999998</v>
      </c>
      <c r="AA35" s="288">
        <v>2.53E-2</v>
      </c>
      <c r="AB35" s="288">
        <v>4.8899999999999999E-2</v>
      </c>
      <c r="AC35" s="288">
        <v>9.9900000000000003E-2</v>
      </c>
      <c r="AD35" s="5"/>
      <c r="AE35" s="5"/>
      <c r="AF35" s="5"/>
    </row>
    <row r="36" spans="1:32" x14ac:dyDescent="0.25">
      <c r="A36" s="99">
        <f t="shared" si="0"/>
        <v>2.9000000000000019E-2</v>
      </c>
      <c r="B36" s="9">
        <v>5.0999999999999983E-2</v>
      </c>
      <c r="C36" s="248">
        <v>3.7400000000000003E-2</v>
      </c>
      <c r="D36" s="8">
        <v>6.3399999999999998E-2</v>
      </c>
      <c r="E36" s="248">
        <v>0.128</v>
      </c>
      <c r="G36" s="99">
        <f t="shared" si="1"/>
        <v>2.9000000000000019E-2</v>
      </c>
      <c r="H36" s="9">
        <v>3.0999999999999979E-2</v>
      </c>
      <c r="I36" s="293">
        <v>3.1300000000000001E-2</v>
      </c>
      <c r="J36" s="291">
        <v>0.06</v>
      </c>
      <c r="K36" s="293">
        <v>0.1298</v>
      </c>
      <c r="M36" s="99">
        <f t="shared" si="2"/>
        <v>2.9000000000000019E-2</v>
      </c>
      <c r="N36" s="249">
        <v>0.15999999999999998</v>
      </c>
      <c r="O36" s="283">
        <v>2.8799999999999999E-2</v>
      </c>
      <c r="P36" s="283">
        <v>5.4800000000000001E-2</v>
      </c>
      <c r="Q36" s="283">
        <v>0.1109</v>
      </c>
      <c r="S36" s="99">
        <f t="shared" si="3"/>
        <v>2.9000000000000019E-2</v>
      </c>
      <c r="T36" s="249">
        <v>0.15999999999999998</v>
      </c>
      <c r="U36" s="283">
        <v>2.6800000000000001E-2</v>
      </c>
      <c r="V36" s="283">
        <v>5.0999999999999997E-2</v>
      </c>
      <c r="W36" s="283">
        <v>0.1033</v>
      </c>
      <c r="Y36" s="99">
        <f t="shared" si="4"/>
        <v>2.9000000000000019E-2</v>
      </c>
      <c r="Z36" s="249">
        <v>0.16099999999999998</v>
      </c>
      <c r="AA36" s="288">
        <v>2.63E-2</v>
      </c>
      <c r="AB36" s="288">
        <v>5.0700000000000002E-2</v>
      </c>
      <c r="AC36" s="288">
        <v>0.1037</v>
      </c>
      <c r="AD36" s="5"/>
      <c r="AE36" s="5"/>
      <c r="AF36" s="5"/>
    </row>
    <row r="37" spans="1:32" x14ac:dyDescent="0.25">
      <c r="A37" s="99">
        <f t="shared" si="0"/>
        <v>3.000000000000002E-2</v>
      </c>
      <c r="B37" s="9">
        <v>4.9999999999999982E-2</v>
      </c>
      <c r="C37" s="248">
        <v>3.8399999999999997E-2</v>
      </c>
      <c r="D37" s="8">
        <v>6.5299999999999997E-2</v>
      </c>
      <c r="E37" s="248">
        <v>0.13200000000000001</v>
      </c>
      <c r="G37" s="99">
        <f t="shared" si="1"/>
        <v>3.000000000000002E-2</v>
      </c>
      <c r="H37" s="9">
        <v>2.9999999999999978E-2</v>
      </c>
      <c r="I37" s="293">
        <v>3.2300000000000002E-2</v>
      </c>
      <c r="J37" s="291">
        <v>6.1899999999999997E-2</v>
      </c>
      <c r="K37" s="293">
        <v>0.1338</v>
      </c>
      <c r="M37" s="99">
        <f t="shared" si="2"/>
        <v>3.000000000000002E-2</v>
      </c>
      <c r="N37" s="249">
        <v>0.15899999999999997</v>
      </c>
      <c r="O37" s="283">
        <v>2.98E-2</v>
      </c>
      <c r="P37" s="283">
        <v>5.6599999999999998E-2</v>
      </c>
      <c r="Q37" s="283">
        <v>0.1147</v>
      </c>
      <c r="S37" s="99">
        <f t="shared" si="3"/>
        <v>3.000000000000002E-2</v>
      </c>
      <c r="T37" s="249">
        <v>0.15899999999999997</v>
      </c>
      <c r="U37" s="283">
        <v>2.7799999999999998E-2</v>
      </c>
      <c r="V37" s="283">
        <v>5.2900000000000003E-2</v>
      </c>
      <c r="W37" s="283">
        <v>0.1071</v>
      </c>
      <c r="Y37" s="99">
        <f t="shared" si="4"/>
        <v>3.000000000000002E-2</v>
      </c>
      <c r="Z37" s="249">
        <v>0.15999999999999998</v>
      </c>
      <c r="AA37" s="288">
        <v>2.7300000000000001E-2</v>
      </c>
      <c r="AB37" s="288">
        <v>5.2600000000000001E-2</v>
      </c>
      <c r="AC37" s="288">
        <v>0.1074</v>
      </c>
      <c r="AD37" s="5"/>
      <c r="AE37" s="5"/>
      <c r="AF37" s="5"/>
    </row>
    <row r="38" spans="1:32" x14ac:dyDescent="0.25">
      <c r="A38" s="99">
        <f t="shared" si="0"/>
        <v>3.1000000000000021E-2</v>
      </c>
      <c r="B38" s="9">
        <v>4.8999999999999981E-2</v>
      </c>
      <c r="C38" s="248">
        <v>3.9300000000000002E-2</v>
      </c>
      <c r="D38" s="8">
        <v>6.7100000000000007E-2</v>
      </c>
      <c r="E38" s="248">
        <v>0.13600000000000001</v>
      </c>
      <c r="G38" s="99">
        <f t="shared" si="1"/>
        <v>3.1000000000000021E-2</v>
      </c>
      <c r="H38" s="9">
        <v>2.8999999999999977E-2</v>
      </c>
      <c r="I38" s="293">
        <v>3.3300000000000003E-2</v>
      </c>
      <c r="J38" s="291">
        <v>6.3799999999999996E-2</v>
      </c>
      <c r="K38" s="293">
        <v>0.13769999999999999</v>
      </c>
      <c r="M38" s="99">
        <f t="shared" si="2"/>
        <v>3.1000000000000021E-2</v>
      </c>
      <c r="N38" s="249">
        <v>0.15799999999999997</v>
      </c>
      <c r="O38" s="283">
        <v>3.0800000000000001E-2</v>
      </c>
      <c r="P38" s="283">
        <v>5.8500000000000003E-2</v>
      </c>
      <c r="Q38" s="283">
        <v>0.11840000000000001</v>
      </c>
      <c r="S38" s="99">
        <f t="shared" si="3"/>
        <v>3.1000000000000021E-2</v>
      </c>
      <c r="T38" s="249">
        <v>0.15799999999999997</v>
      </c>
      <c r="U38" s="283">
        <v>2.8799999999999999E-2</v>
      </c>
      <c r="V38" s="283">
        <v>5.4699999999999999E-2</v>
      </c>
      <c r="W38" s="283">
        <v>0.1108</v>
      </c>
      <c r="Y38" s="99">
        <f t="shared" si="4"/>
        <v>3.1000000000000021E-2</v>
      </c>
      <c r="Z38" s="249">
        <v>0.15899999999999997</v>
      </c>
      <c r="AA38" s="288">
        <v>2.8299999999999999E-2</v>
      </c>
      <c r="AB38" s="288">
        <v>5.45E-2</v>
      </c>
      <c r="AC38" s="288">
        <v>0.11119999999999999</v>
      </c>
      <c r="AD38" s="5"/>
      <c r="AE38" s="5"/>
      <c r="AF38" s="5"/>
    </row>
    <row r="39" spans="1:32" x14ac:dyDescent="0.25">
      <c r="A39" s="99">
        <f t="shared" si="0"/>
        <v>3.2000000000000021E-2</v>
      </c>
      <c r="B39" s="9">
        <v>4.799999999999998E-2</v>
      </c>
      <c r="C39" s="248">
        <v>4.0300000000000002E-2</v>
      </c>
      <c r="D39" s="8">
        <v>6.9000000000000006E-2</v>
      </c>
      <c r="E39" s="248">
        <v>0.1399</v>
      </c>
      <c r="G39" s="99">
        <f t="shared" si="1"/>
        <v>3.2000000000000021E-2</v>
      </c>
      <c r="H39" s="9">
        <v>2.7999999999999976E-2</v>
      </c>
      <c r="I39" s="293">
        <v>3.4299999999999997E-2</v>
      </c>
      <c r="J39" s="291">
        <v>6.5699999999999995E-2</v>
      </c>
      <c r="K39" s="293">
        <v>0.14169999999999999</v>
      </c>
      <c r="M39" s="99">
        <f t="shared" si="2"/>
        <v>3.2000000000000021E-2</v>
      </c>
      <c r="N39" s="249">
        <v>0.15699999999999997</v>
      </c>
      <c r="O39" s="283">
        <v>3.1699999999999999E-2</v>
      </c>
      <c r="P39" s="283">
        <v>6.0400000000000002E-2</v>
      </c>
      <c r="Q39" s="283">
        <v>0.1222</v>
      </c>
      <c r="S39" s="99">
        <f t="shared" si="3"/>
        <v>3.2000000000000021E-2</v>
      </c>
      <c r="T39" s="249">
        <v>0.15699999999999997</v>
      </c>
      <c r="U39" s="283">
        <v>2.98E-2</v>
      </c>
      <c r="V39" s="283">
        <v>5.6599999999999998E-2</v>
      </c>
      <c r="W39" s="283">
        <v>0.1145</v>
      </c>
      <c r="Y39" s="99">
        <f t="shared" si="4"/>
        <v>3.2000000000000021E-2</v>
      </c>
      <c r="Z39" s="249">
        <v>0.15799999999999997</v>
      </c>
      <c r="AA39" s="288">
        <v>2.92E-2</v>
      </c>
      <c r="AB39" s="288">
        <v>5.6300000000000003E-2</v>
      </c>
      <c r="AC39" s="288">
        <v>0.1149</v>
      </c>
      <c r="AD39" s="5"/>
      <c r="AE39" s="5"/>
      <c r="AF39" s="5"/>
    </row>
    <row r="40" spans="1:32" x14ac:dyDescent="0.25">
      <c r="A40" s="99">
        <f t="shared" si="0"/>
        <v>3.3000000000000022E-2</v>
      </c>
      <c r="B40" s="9">
        <v>4.6999999999999979E-2</v>
      </c>
      <c r="C40" s="248">
        <v>4.1300000000000003E-2</v>
      </c>
      <c r="D40" s="8">
        <v>7.0800000000000002E-2</v>
      </c>
      <c r="E40" s="248">
        <v>0.1439</v>
      </c>
      <c r="G40" s="99">
        <f t="shared" si="1"/>
        <v>3.3000000000000022E-2</v>
      </c>
      <c r="H40" s="9">
        <v>2.6999999999999975E-2</v>
      </c>
      <c r="I40" s="293">
        <v>3.5299999999999998E-2</v>
      </c>
      <c r="J40" s="291">
        <v>6.7500000000000004E-2</v>
      </c>
      <c r="K40" s="293">
        <v>0.14560000000000001</v>
      </c>
      <c r="M40" s="99">
        <f t="shared" si="2"/>
        <v>3.3000000000000022E-2</v>
      </c>
      <c r="N40" s="249">
        <v>0.15599999999999997</v>
      </c>
      <c r="O40" s="283">
        <v>3.27E-2</v>
      </c>
      <c r="P40" s="283">
        <v>6.2199999999999998E-2</v>
      </c>
      <c r="Q40" s="283">
        <v>0.12590000000000001</v>
      </c>
      <c r="S40" s="99">
        <f t="shared" si="3"/>
        <v>3.3000000000000022E-2</v>
      </c>
      <c r="T40" s="249">
        <v>0.15599999999999997</v>
      </c>
      <c r="U40" s="283">
        <v>3.0800000000000001E-2</v>
      </c>
      <c r="V40" s="283">
        <v>5.8500000000000003E-2</v>
      </c>
      <c r="W40" s="283">
        <v>0.1183</v>
      </c>
      <c r="Y40" s="99">
        <f t="shared" si="4"/>
        <v>3.3000000000000022E-2</v>
      </c>
      <c r="Z40" s="249">
        <v>0.15699999999999997</v>
      </c>
      <c r="AA40" s="288">
        <v>3.0200000000000001E-2</v>
      </c>
      <c r="AB40" s="288">
        <v>5.8200000000000002E-2</v>
      </c>
      <c r="AC40" s="288">
        <v>0.1186</v>
      </c>
      <c r="AD40" s="5"/>
      <c r="AE40" s="5"/>
      <c r="AF40" s="5"/>
    </row>
    <row r="41" spans="1:32" x14ac:dyDescent="0.25">
      <c r="A41" s="99">
        <f t="shared" si="0"/>
        <v>3.4000000000000023E-2</v>
      </c>
      <c r="B41" s="9">
        <v>4.5999999999999978E-2</v>
      </c>
      <c r="C41" s="248">
        <v>4.2200000000000001E-2</v>
      </c>
      <c r="D41" s="8">
        <v>7.2700000000000001E-2</v>
      </c>
      <c r="E41" s="248">
        <v>0.14779999999999999</v>
      </c>
      <c r="G41" s="99">
        <f t="shared" si="1"/>
        <v>3.4000000000000023E-2</v>
      </c>
      <c r="H41" s="9">
        <v>2.5999999999999975E-2</v>
      </c>
      <c r="I41" s="293">
        <v>3.6299999999999999E-2</v>
      </c>
      <c r="J41" s="291">
        <v>6.9400000000000003E-2</v>
      </c>
      <c r="K41" s="293">
        <v>0.14949999999999999</v>
      </c>
      <c r="M41" s="99">
        <f t="shared" si="2"/>
        <v>3.4000000000000023E-2</v>
      </c>
      <c r="N41" s="249">
        <v>0.15499999999999997</v>
      </c>
      <c r="O41" s="283">
        <v>3.3700000000000001E-2</v>
      </c>
      <c r="P41" s="283">
        <v>6.4100000000000004E-2</v>
      </c>
      <c r="Q41" s="283">
        <v>0.12959999999999999</v>
      </c>
      <c r="S41" s="99">
        <f t="shared" si="3"/>
        <v>3.4000000000000023E-2</v>
      </c>
      <c r="T41" s="249">
        <v>0.15499999999999997</v>
      </c>
      <c r="U41" s="283">
        <v>3.1800000000000002E-2</v>
      </c>
      <c r="V41" s="283">
        <v>6.0400000000000002E-2</v>
      </c>
      <c r="W41" s="283">
        <v>0.122</v>
      </c>
      <c r="Y41" s="99">
        <f t="shared" si="4"/>
        <v>3.4000000000000023E-2</v>
      </c>
      <c r="Z41" s="249">
        <v>0.15599999999999997</v>
      </c>
      <c r="AA41" s="288">
        <v>3.1199999999999999E-2</v>
      </c>
      <c r="AB41" s="288">
        <v>6.0100000000000001E-2</v>
      </c>
      <c r="AC41" s="288">
        <v>0.12230000000000001</v>
      </c>
      <c r="AD41" s="5"/>
      <c r="AE41" s="5"/>
      <c r="AF41" s="5"/>
    </row>
    <row r="42" spans="1:32" x14ac:dyDescent="0.25">
      <c r="A42" s="99">
        <f t="shared" si="0"/>
        <v>3.5000000000000024E-2</v>
      </c>
      <c r="B42" s="9">
        <v>4.4999999999999978E-2</v>
      </c>
      <c r="C42" s="248">
        <v>4.3200000000000002E-2</v>
      </c>
      <c r="D42" s="8">
        <v>7.4499999999999997E-2</v>
      </c>
      <c r="E42" s="248">
        <v>0.15179999999999999</v>
      </c>
      <c r="G42" s="99">
        <f t="shared" si="1"/>
        <v>3.5000000000000024E-2</v>
      </c>
      <c r="H42" s="9">
        <v>2.4999999999999974E-2</v>
      </c>
      <c r="I42" s="293">
        <v>3.7199999999999997E-2</v>
      </c>
      <c r="J42" s="291">
        <v>7.1300000000000002E-2</v>
      </c>
      <c r="K42" s="293">
        <v>0.1535</v>
      </c>
      <c r="M42" s="99">
        <f t="shared" si="2"/>
        <v>3.5000000000000024E-2</v>
      </c>
      <c r="N42" s="249">
        <v>0.15399999999999997</v>
      </c>
      <c r="O42" s="283">
        <v>3.4700000000000002E-2</v>
      </c>
      <c r="P42" s="283">
        <v>6.6000000000000003E-2</v>
      </c>
      <c r="Q42" s="283">
        <v>0.1333</v>
      </c>
      <c r="S42" s="99">
        <f t="shared" si="3"/>
        <v>3.5000000000000024E-2</v>
      </c>
      <c r="T42" s="249">
        <v>0.15399999999999997</v>
      </c>
      <c r="U42" s="283">
        <v>3.27E-2</v>
      </c>
      <c r="V42" s="283">
        <v>6.2199999999999998E-2</v>
      </c>
      <c r="W42" s="283">
        <v>0.12570000000000001</v>
      </c>
      <c r="Y42" s="99">
        <f t="shared" si="4"/>
        <v>3.5000000000000024E-2</v>
      </c>
      <c r="Z42" s="249">
        <v>0.15499999999999997</v>
      </c>
      <c r="AA42" s="288">
        <v>3.2199999999999999E-2</v>
      </c>
      <c r="AB42" s="288">
        <v>6.1899999999999997E-2</v>
      </c>
      <c r="AC42" s="288">
        <v>0.126</v>
      </c>
      <c r="AD42" s="5"/>
      <c r="AE42" s="5"/>
      <c r="AF42" s="5"/>
    </row>
    <row r="43" spans="1:32" x14ac:dyDescent="0.25">
      <c r="A43" s="99"/>
      <c r="B43" s="9"/>
      <c r="C43" s="248"/>
      <c r="D43" s="8"/>
      <c r="E43" s="248"/>
      <c r="G43" s="99"/>
      <c r="H43" s="9"/>
      <c r="I43" s="248"/>
      <c r="J43" s="8"/>
      <c r="K43" s="248"/>
      <c r="M43" s="99">
        <f t="shared" si="2"/>
        <v>3.6000000000000025E-2</v>
      </c>
      <c r="N43" s="249">
        <v>0.15299999999999997</v>
      </c>
      <c r="O43" s="283">
        <v>3.5700000000000003E-2</v>
      </c>
      <c r="P43" s="283">
        <v>6.7799999999999999E-2</v>
      </c>
      <c r="Q43" s="283">
        <v>0.13700000000000001</v>
      </c>
      <c r="S43" s="99">
        <f t="shared" si="3"/>
        <v>3.6000000000000025E-2</v>
      </c>
      <c r="T43" s="249">
        <v>0.15299999999999997</v>
      </c>
      <c r="U43" s="283">
        <v>3.3700000000000001E-2</v>
      </c>
      <c r="V43" s="283">
        <v>6.4100000000000004E-2</v>
      </c>
      <c r="W43" s="283">
        <v>0.12939999999999999</v>
      </c>
      <c r="Y43" s="99">
        <f t="shared" si="4"/>
        <v>3.6000000000000025E-2</v>
      </c>
      <c r="Z43" s="249">
        <v>0.15399999999999997</v>
      </c>
      <c r="AA43" s="288">
        <v>3.32E-2</v>
      </c>
      <c r="AB43" s="288">
        <v>6.3799999999999996E-2</v>
      </c>
      <c r="AC43" s="288">
        <v>0.12970000000000001</v>
      </c>
      <c r="AD43" s="5"/>
      <c r="AE43" s="5"/>
      <c r="AF43" s="5"/>
    </row>
    <row r="44" spans="1:32" x14ac:dyDescent="0.25">
      <c r="A44" s="99"/>
      <c r="B44" s="9"/>
      <c r="C44" s="248"/>
      <c r="D44" s="8"/>
      <c r="E44" s="248"/>
      <c r="G44" s="10"/>
      <c r="H44" s="9"/>
      <c r="I44" s="248"/>
      <c r="J44" s="8"/>
      <c r="K44" s="248"/>
      <c r="M44" s="99">
        <f t="shared" si="2"/>
        <v>3.7000000000000026E-2</v>
      </c>
      <c r="N44" s="249">
        <v>0.15199999999999997</v>
      </c>
      <c r="O44" s="283">
        <v>3.6700000000000003E-2</v>
      </c>
      <c r="P44" s="283">
        <v>6.9699999999999998E-2</v>
      </c>
      <c r="Q44" s="283">
        <v>0.14069999999999999</v>
      </c>
      <c r="S44" s="99">
        <f t="shared" si="3"/>
        <v>3.7000000000000026E-2</v>
      </c>
      <c r="T44" s="249">
        <v>0.15199999999999997</v>
      </c>
      <c r="U44" s="283">
        <v>3.4700000000000002E-2</v>
      </c>
      <c r="V44" s="283">
        <v>6.6000000000000003E-2</v>
      </c>
      <c r="W44" s="283">
        <v>0.13320000000000001</v>
      </c>
      <c r="Y44" s="99">
        <f t="shared" si="4"/>
        <v>3.7000000000000026E-2</v>
      </c>
      <c r="Z44" s="249">
        <v>0.15299999999999997</v>
      </c>
      <c r="AA44" s="288">
        <v>3.4200000000000001E-2</v>
      </c>
      <c r="AB44" s="288">
        <v>6.5600000000000006E-2</v>
      </c>
      <c r="AC44" s="288">
        <v>0.13339999999999999</v>
      </c>
      <c r="AD44" s="5"/>
      <c r="AE44" s="5"/>
      <c r="AF44" s="5"/>
    </row>
    <row r="45" spans="1:32" x14ac:dyDescent="0.25">
      <c r="A45" s="10"/>
      <c r="B45" s="9"/>
      <c r="C45" s="248"/>
      <c r="D45" s="8"/>
      <c r="E45" s="248"/>
      <c r="G45" s="10"/>
      <c r="H45" s="9"/>
      <c r="I45" s="248"/>
      <c r="J45" s="8"/>
      <c r="K45" s="248"/>
      <c r="M45" s="99">
        <f t="shared" si="2"/>
        <v>3.8000000000000027E-2</v>
      </c>
      <c r="N45" s="249">
        <v>0.15099999999999997</v>
      </c>
      <c r="O45" s="283">
        <v>3.7699999999999997E-2</v>
      </c>
      <c r="P45" s="283">
        <v>7.1599999999999997E-2</v>
      </c>
      <c r="Q45" s="283">
        <v>0.1444</v>
      </c>
      <c r="S45" s="99">
        <f t="shared" si="3"/>
        <v>3.8000000000000027E-2</v>
      </c>
      <c r="T45" s="249">
        <v>0.15099999999999997</v>
      </c>
      <c r="U45" s="283">
        <v>3.5700000000000003E-2</v>
      </c>
      <c r="V45" s="283">
        <v>6.7799999999999999E-2</v>
      </c>
      <c r="W45" s="283">
        <v>0.13689999999999999</v>
      </c>
      <c r="Y45" s="99">
        <f t="shared" si="4"/>
        <v>3.8000000000000027E-2</v>
      </c>
      <c r="Z45" s="249">
        <v>0.15199999999999997</v>
      </c>
      <c r="AA45" s="288">
        <v>3.5200000000000002E-2</v>
      </c>
      <c r="AB45" s="288">
        <v>6.7500000000000004E-2</v>
      </c>
      <c r="AC45" s="288">
        <v>0.1371</v>
      </c>
      <c r="AD45" s="5"/>
      <c r="AE45" s="5"/>
      <c r="AF45" s="5"/>
    </row>
    <row r="46" spans="1:32" x14ac:dyDescent="0.25">
      <c r="A46" s="10"/>
      <c r="B46" s="9"/>
      <c r="C46" s="248"/>
      <c r="D46" s="8"/>
      <c r="E46" s="248"/>
      <c r="G46" s="10"/>
      <c r="H46" s="9"/>
      <c r="I46" s="248"/>
      <c r="J46" s="8"/>
      <c r="K46" s="248"/>
      <c r="M46" s="99">
        <f t="shared" si="2"/>
        <v>3.9000000000000028E-2</v>
      </c>
      <c r="N46" s="249">
        <v>0.14999999999999997</v>
      </c>
      <c r="O46" s="283">
        <v>3.8699999999999998E-2</v>
      </c>
      <c r="P46" s="283">
        <v>7.3400000000000007E-2</v>
      </c>
      <c r="Q46" s="283">
        <v>0.14810000000000001</v>
      </c>
      <c r="S46" s="99">
        <f t="shared" si="3"/>
        <v>3.9000000000000028E-2</v>
      </c>
      <c r="T46" s="249">
        <v>0.14999999999999997</v>
      </c>
      <c r="U46" s="283">
        <v>3.6700000000000003E-2</v>
      </c>
      <c r="V46" s="283">
        <v>6.9699999999999998E-2</v>
      </c>
      <c r="W46" s="283">
        <v>0.1406</v>
      </c>
      <c r="Y46" s="99">
        <f t="shared" si="4"/>
        <v>3.9000000000000028E-2</v>
      </c>
      <c r="Z46" s="249">
        <v>0.15099999999999997</v>
      </c>
      <c r="AA46" s="288">
        <v>3.61E-2</v>
      </c>
      <c r="AB46" s="288">
        <v>6.9400000000000003E-2</v>
      </c>
      <c r="AC46" s="288">
        <v>0.14080000000000001</v>
      </c>
      <c r="AD46" s="5"/>
      <c r="AE46" s="5"/>
      <c r="AF46" s="5"/>
    </row>
    <row r="47" spans="1:32" x14ac:dyDescent="0.25">
      <c r="A47" s="10"/>
      <c r="B47" s="9"/>
      <c r="C47" s="248"/>
      <c r="D47" s="8"/>
      <c r="E47" s="248"/>
      <c r="G47" s="10"/>
      <c r="H47" s="9"/>
      <c r="I47" s="248"/>
      <c r="J47" s="8"/>
      <c r="K47" s="248"/>
      <c r="M47" s="99">
        <f t="shared" si="2"/>
        <v>4.0000000000000029E-2</v>
      </c>
      <c r="N47" s="249">
        <v>0.14899999999999997</v>
      </c>
      <c r="O47" s="282">
        <v>3.9699999999999999E-2</v>
      </c>
      <c r="P47" s="282">
        <v>7.5300000000000006E-2</v>
      </c>
      <c r="Q47" s="282">
        <v>0.15179999999999999</v>
      </c>
      <c r="S47" s="99">
        <f t="shared" si="3"/>
        <v>4.0000000000000029E-2</v>
      </c>
      <c r="T47" s="249">
        <v>0.14899999999999997</v>
      </c>
      <c r="U47" s="283">
        <v>3.7699999999999997E-2</v>
      </c>
      <c r="V47" s="283">
        <v>7.1599999999999997E-2</v>
      </c>
      <c r="W47" s="282">
        <v>0.14430000000000001</v>
      </c>
      <c r="Y47" s="99">
        <f t="shared" si="4"/>
        <v>4.0000000000000029E-2</v>
      </c>
      <c r="Z47" s="249">
        <v>0.14999999999999997</v>
      </c>
      <c r="AA47" s="287">
        <v>3.7100000000000001E-2</v>
      </c>
      <c r="AB47" s="287">
        <v>7.1199999999999999E-2</v>
      </c>
      <c r="AC47" s="287">
        <v>0.14449999999999999</v>
      </c>
      <c r="AD47" s="5"/>
      <c r="AE47" s="5"/>
      <c r="AF47" s="5"/>
    </row>
    <row r="48" spans="1:32" x14ac:dyDescent="0.25">
      <c r="A48" s="10"/>
      <c r="B48" s="79"/>
      <c r="C48" s="80"/>
      <c r="D48" s="80"/>
      <c r="E48" s="80"/>
      <c r="G48" s="10"/>
      <c r="I48" s="78"/>
      <c r="J48" s="78"/>
      <c r="K48" s="78"/>
      <c r="M48" s="99">
        <f t="shared" si="2"/>
        <v>4.1000000000000029E-2</v>
      </c>
      <c r="N48" s="249">
        <v>0.14799999999999996</v>
      </c>
      <c r="O48" s="282">
        <v>4.0599999999999997E-2</v>
      </c>
      <c r="P48" s="282">
        <v>7.7200000000000005E-2</v>
      </c>
      <c r="Q48" s="282">
        <v>0.1555</v>
      </c>
      <c r="S48" s="99">
        <f t="shared" si="3"/>
        <v>4.1000000000000029E-2</v>
      </c>
      <c r="T48" s="249">
        <v>0.14799999999999996</v>
      </c>
      <c r="U48" s="283">
        <v>3.8699999999999998E-2</v>
      </c>
      <c r="V48" s="283">
        <v>7.3400000000000007E-2</v>
      </c>
      <c r="W48" s="282">
        <v>0.1479</v>
      </c>
      <c r="Y48" s="99">
        <f t="shared" si="4"/>
        <v>4.1000000000000029E-2</v>
      </c>
      <c r="Z48" s="249">
        <v>0.14899999999999997</v>
      </c>
      <c r="AA48" s="287">
        <v>3.8100000000000002E-2</v>
      </c>
      <c r="AB48" s="287">
        <v>7.3099999999999998E-2</v>
      </c>
      <c r="AC48" s="287">
        <v>0.1482</v>
      </c>
      <c r="AD48" s="5"/>
      <c r="AE48" s="5"/>
      <c r="AF48" s="5"/>
    </row>
    <row r="49" spans="1:32" x14ac:dyDescent="0.25">
      <c r="A49" s="10"/>
      <c r="B49" s="79"/>
      <c r="C49" s="80"/>
      <c r="D49" s="80"/>
      <c r="E49" s="80"/>
      <c r="G49" s="10"/>
      <c r="I49" s="78"/>
      <c r="J49" s="78"/>
      <c r="K49" s="78"/>
      <c r="M49" s="99">
        <f t="shared" si="2"/>
        <v>4.200000000000003E-2</v>
      </c>
      <c r="N49" s="249">
        <v>0.14699999999999996</v>
      </c>
      <c r="O49" s="282">
        <v>4.1599999999999998E-2</v>
      </c>
      <c r="P49" s="282">
        <v>7.9000000000000001E-2</v>
      </c>
      <c r="Q49" s="282">
        <v>0.15909999999999999</v>
      </c>
      <c r="S49" s="99">
        <f t="shared" si="3"/>
        <v>4.200000000000003E-2</v>
      </c>
      <c r="T49" s="249">
        <v>0.14699999999999996</v>
      </c>
      <c r="U49" s="283">
        <v>3.9699999999999999E-2</v>
      </c>
      <c r="V49" s="283">
        <v>7.5300000000000006E-2</v>
      </c>
      <c r="W49" s="282">
        <v>0.15160000000000001</v>
      </c>
      <c r="Y49" s="99">
        <f t="shared" si="4"/>
        <v>4.200000000000003E-2</v>
      </c>
      <c r="Z49" s="249">
        <v>0.14799999999999996</v>
      </c>
      <c r="AA49" s="287">
        <v>3.9100000000000003E-2</v>
      </c>
      <c r="AB49" s="287">
        <v>7.4899999999999994E-2</v>
      </c>
      <c r="AC49" s="287">
        <v>0.15179999999999999</v>
      </c>
      <c r="AD49" s="5"/>
      <c r="AE49" s="5"/>
      <c r="AF49" s="5"/>
    </row>
    <row r="50" spans="1:32" x14ac:dyDescent="0.25">
      <c r="A50" s="10"/>
      <c r="B50" s="79"/>
      <c r="C50" s="80"/>
      <c r="D50" s="80"/>
      <c r="E50" s="80"/>
      <c r="G50" s="10"/>
      <c r="I50" s="78"/>
      <c r="J50" s="78"/>
      <c r="K50" s="78"/>
      <c r="M50" s="99">
        <f t="shared" si="2"/>
        <v>4.3000000000000031E-2</v>
      </c>
      <c r="N50" s="249">
        <v>0.14599999999999996</v>
      </c>
      <c r="O50" s="282">
        <v>4.2599999999999999E-2</v>
      </c>
      <c r="P50" s="282">
        <v>8.09E-2</v>
      </c>
      <c r="Q50" s="282">
        <v>0.1628</v>
      </c>
      <c r="S50" s="99">
        <f t="shared" si="3"/>
        <v>4.3000000000000031E-2</v>
      </c>
      <c r="T50" s="249">
        <v>0.14599999999999996</v>
      </c>
      <c r="U50" s="283">
        <v>4.07E-2</v>
      </c>
      <c r="V50" s="283">
        <v>7.7200000000000005E-2</v>
      </c>
      <c r="W50" s="282">
        <v>0.15529999999999999</v>
      </c>
      <c r="Y50" s="99">
        <f t="shared" si="4"/>
        <v>4.3000000000000031E-2</v>
      </c>
      <c r="Z50" s="249">
        <v>0.14699999999999996</v>
      </c>
      <c r="AA50" s="287">
        <v>4.0099999999999997E-2</v>
      </c>
      <c r="AB50" s="287">
        <v>7.6799999999999993E-2</v>
      </c>
      <c r="AC50" s="287">
        <v>0.1555</v>
      </c>
      <c r="AD50" s="5"/>
      <c r="AE50" s="5"/>
      <c r="AF50" s="5"/>
    </row>
    <row r="51" spans="1:32" x14ac:dyDescent="0.25">
      <c r="A51" s="10"/>
      <c r="B51" s="79"/>
      <c r="C51" s="80"/>
      <c r="D51" s="80"/>
      <c r="E51" s="80"/>
      <c r="G51" s="10"/>
      <c r="I51" s="78"/>
      <c r="J51" s="78"/>
      <c r="K51" s="78"/>
      <c r="M51" s="99">
        <f t="shared" si="2"/>
        <v>4.4000000000000032E-2</v>
      </c>
      <c r="N51" s="249">
        <v>0.14499999999999996</v>
      </c>
      <c r="O51" s="282">
        <v>4.36E-2</v>
      </c>
      <c r="P51" s="282">
        <v>8.2699999999999996E-2</v>
      </c>
      <c r="Q51" s="282">
        <v>0.16650000000000001</v>
      </c>
      <c r="S51" s="99">
        <f t="shared" si="3"/>
        <v>4.4000000000000032E-2</v>
      </c>
      <c r="T51" s="249">
        <v>0.14499999999999996</v>
      </c>
      <c r="U51" s="283">
        <v>4.1599999999999998E-2</v>
      </c>
      <c r="V51" s="283">
        <v>7.9000000000000001E-2</v>
      </c>
      <c r="W51" s="282">
        <v>0.159</v>
      </c>
      <c r="Y51" s="99">
        <f t="shared" si="4"/>
        <v>4.4000000000000032E-2</v>
      </c>
      <c r="Z51" s="249">
        <v>0.14599999999999996</v>
      </c>
      <c r="AA51" s="287">
        <v>4.1099999999999998E-2</v>
      </c>
      <c r="AB51" s="287">
        <v>7.8600000000000003E-2</v>
      </c>
      <c r="AC51" s="287">
        <v>0.15920000000000001</v>
      </c>
      <c r="AD51" s="5"/>
      <c r="AE51" s="5"/>
      <c r="AF51" s="5"/>
    </row>
    <row r="52" spans="1:32" x14ac:dyDescent="0.25">
      <c r="A52" s="10"/>
      <c r="B52" s="79"/>
      <c r="C52" s="80"/>
      <c r="D52" s="80"/>
      <c r="E52" s="80"/>
      <c r="G52" s="10"/>
      <c r="I52" s="78"/>
      <c r="J52" s="78"/>
      <c r="K52" s="78"/>
      <c r="M52" s="99">
        <f t="shared" si="2"/>
        <v>4.5000000000000033E-2</v>
      </c>
      <c r="N52" s="249">
        <v>0.14399999999999996</v>
      </c>
      <c r="O52" s="282">
        <v>4.4600000000000001E-2</v>
      </c>
      <c r="P52" s="282">
        <v>8.4599999999999995E-2</v>
      </c>
      <c r="Q52" s="282">
        <v>0.1701</v>
      </c>
      <c r="S52" s="99">
        <f t="shared" si="3"/>
        <v>4.5000000000000033E-2</v>
      </c>
      <c r="T52" s="249">
        <v>0.14399999999999996</v>
      </c>
      <c r="U52" s="283">
        <v>4.2599999999999999E-2</v>
      </c>
      <c r="V52" s="283">
        <v>8.09E-2</v>
      </c>
      <c r="W52" s="291">
        <v>0.16259999999999999</v>
      </c>
      <c r="Y52" s="99">
        <f t="shared" si="4"/>
        <v>4.5000000000000033E-2</v>
      </c>
      <c r="Z52" s="249">
        <v>0.14499999999999996</v>
      </c>
      <c r="AA52" s="287">
        <v>4.2000000000000003E-2</v>
      </c>
      <c r="AB52" s="287">
        <v>8.0500000000000002E-2</v>
      </c>
      <c r="AC52" s="287">
        <v>0.1628</v>
      </c>
      <c r="AD52" s="5"/>
      <c r="AE52" s="5"/>
      <c r="AF52" s="5"/>
    </row>
    <row r="53" spans="1:32" x14ac:dyDescent="0.25">
      <c r="A53" s="10"/>
      <c r="B53" s="79"/>
      <c r="C53" s="80"/>
      <c r="D53" s="80"/>
      <c r="E53" s="80"/>
      <c r="G53" s="10"/>
      <c r="I53" s="78"/>
      <c r="J53" s="78"/>
      <c r="K53" s="78"/>
      <c r="M53" s="99">
        <f t="shared" si="2"/>
        <v>4.6000000000000034E-2</v>
      </c>
      <c r="N53" s="249">
        <v>0.14299999999999996</v>
      </c>
      <c r="O53" s="282">
        <v>4.5600000000000002E-2</v>
      </c>
      <c r="P53" s="282">
        <v>8.6499999999999994E-2</v>
      </c>
      <c r="Q53" s="282">
        <v>0.17380000000000001</v>
      </c>
      <c r="S53" s="99">
        <f t="shared" si="3"/>
        <v>4.6000000000000034E-2</v>
      </c>
      <c r="T53" s="249">
        <v>0.14299999999999996</v>
      </c>
      <c r="U53" s="283">
        <v>4.36E-2</v>
      </c>
      <c r="V53" s="283">
        <v>8.2699999999999996E-2</v>
      </c>
      <c r="W53" s="291">
        <v>0.1663</v>
      </c>
      <c r="Y53" s="99">
        <f t="shared" si="4"/>
        <v>4.6000000000000034E-2</v>
      </c>
      <c r="Z53" s="249">
        <v>0.14399999999999996</v>
      </c>
      <c r="AA53" s="287">
        <v>4.2999999999999997E-2</v>
      </c>
      <c r="AB53" s="287">
        <v>8.2299999999999998E-2</v>
      </c>
      <c r="AC53" s="287">
        <v>0.16650000000000001</v>
      </c>
      <c r="AD53" s="5"/>
      <c r="AE53" s="5"/>
      <c r="AF53" s="5"/>
    </row>
    <row r="54" spans="1:32" x14ac:dyDescent="0.25">
      <c r="A54" s="10"/>
      <c r="B54" s="79"/>
      <c r="C54" s="80"/>
      <c r="D54" s="80"/>
      <c r="E54" s="80"/>
      <c r="G54" s="10"/>
      <c r="I54" s="78"/>
      <c r="J54" s="78"/>
      <c r="K54" s="78"/>
      <c r="M54" s="99">
        <f t="shared" si="2"/>
        <v>4.7000000000000035E-2</v>
      </c>
      <c r="N54" s="249">
        <v>0.14199999999999996</v>
      </c>
      <c r="O54" s="282">
        <v>4.6600000000000003E-2</v>
      </c>
      <c r="P54" s="282">
        <v>8.8300000000000003E-2</v>
      </c>
      <c r="Q54" s="282">
        <v>0.1774</v>
      </c>
      <c r="S54" s="99">
        <f t="shared" si="3"/>
        <v>4.7000000000000035E-2</v>
      </c>
      <c r="T54" s="249">
        <v>0.14199999999999996</v>
      </c>
      <c r="U54" s="283">
        <v>4.4600000000000001E-2</v>
      </c>
      <c r="V54" s="283">
        <v>8.4599999999999995E-2</v>
      </c>
      <c r="W54" s="291">
        <v>0.1699</v>
      </c>
      <c r="Y54" s="99">
        <f t="shared" si="4"/>
        <v>4.7000000000000035E-2</v>
      </c>
      <c r="Z54" s="249">
        <v>0.14299999999999996</v>
      </c>
      <c r="AA54" s="287">
        <v>4.3999999999999997E-2</v>
      </c>
      <c r="AB54" s="287">
        <v>8.4199999999999997E-2</v>
      </c>
      <c r="AC54" s="287">
        <v>0.1701</v>
      </c>
      <c r="AD54" s="5"/>
      <c r="AE54" s="5"/>
      <c r="AF54" s="5"/>
    </row>
    <row r="55" spans="1:32" x14ac:dyDescent="0.25">
      <c r="A55" s="10"/>
      <c r="B55" s="79"/>
      <c r="C55" s="80"/>
      <c r="D55" s="80"/>
      <c r="E55" s="80"/>
      <c r="G55" s="10"/>
      <c r="I55" s="78"/>
      <c r="J55" s="78"/>
      <c r="K55" s="78"/>
      <c r="M55" s="99">
        <f t="shared" si="2"/>
        <v>4.8000000000000036E-2</v>
      </c>
      <c r="N55" s="249">
        <v>0.14099999999999996</v>
      </c>
      <c r="O55" s="282">
        <v>4.7500000000000001E-2</v>
      </c>
      <c r="P55" s="282">
        <v>9.0200000000000002E-2</v>
      </c>
      <c r="Q55" s="282">
        <v>0.18110000000000001</v>
      </c>
      <c r="S55" s="99">
        <f t="shared" si="3"/>
        <v>4.8000000000000036E-2</v>
      </c>
      <c r="T55" s="249">
        <v>0.14099999999999996</v>
      </c>
      <c r="U55" s="283">
        <v>4.5600000000000002E-2</v>
      </c>
      <c r="V55" s="283">
        <v>8.6499999999999994E-2</v>
      </c>
      <c r="W55" s="291">
        <v>0.1736</v>
      </c>
      <c r="Y55" s="99">
        <f t="shared" si="4"/>
        <v>4.8000000000000036E-2</v>
      </c>
      <c r="Z55" s="249">
        <v>0.14199999999999996</v>
      </c>
      <c r="AA55" s="287">
        <v>4.4999999999999998E-2</v>
      </c>
      <c r="AB55" s="287">
        <v>8.5999999999999993E-2</v>
      </c>
      <c r="AC55" s="287">
        <v>0.17369999999999999</v>
      </c>
      <c r="AD55" s="5"/>
      <c r="AE55" s="5"/>
      <c r="AF55" s="5"/>
    </row>
    <row r="56" spans="1:32" x14ac:dyDescent="0.25">
      <c r="A56" s="10"/>
      <c r="B56" s="79"/>
      <c r="C56" s="80"/>
      <c r="D56" s="80"/>
      <c r="E56" s="80"/>
      <c r="G56" s="16"/>
      <c r="I56" s="78"/>
      <c r="J56" s="78"/>
      <c r="K56" s="78"/>
      <c r="M56" s="99">
        <f t="shared" si="2"/>
        <v>4.9000000000000037E-2</v>
      </c>
      <c r="N56" s="249">
        <v>0.13999999999999996</v>
      </c>
      <c r="O56" s="282">
        <v>4.8500000000000001E-2</v>
      </c>
      <c r="P56" s="282">
        <v>9.1999999999999998E-2</v>
      </c>
      <c r="Q56" s="282">
        <v>0.1847</v>
      </c>
      <c r="S56" s="99">
        <f t="shared" si="3"/>
        <v>4.9000000000000037E-2</v>
      </c>
      <c r="T56" s="249">
        <v>0.13999999999999996</v>
      </c>
      <c r="U56" s="283">
        <v>4.6600000000000003E-2</v>
      </c>
      <c r="V56" s="283">
        <v>8.8300000000000003E-2</v>
      </c>
      <c r="W56" s="291">
        <v>0.1772</v>
      </c>
      <c r="Y56" s="99">
        <f t="shared" si="4"/>
        <v>4.9000000000000037E-2</v>
      </c>
      <c r="Z56" s="249">
        <v>0.14099999999999996</v>
      </c>
      <c r="AA56" s="287">
        <v>4.5999999999999999E-2</v>
      </c>
      <c r="AB56" s="287">
        <v>8.7900000000000006E-2</v>
      </c>
      <c r="AC56" s="287">
        <v>0.1774</v>
      </c>
      <c r="AD56" s="5"/>
      <c r="AE56" s="5"/>
      <c r="AF56" s="5"/>
    </row>
    <row r="57" spans="1:32" x14ac:dyDescent="0.25">
      <c r="A57" s="10"/>
      <c r="B57" s="79"/>
      <c r="C57" s="80"/>
      <c r="D57" s="80"/>
      <c r="E57" s="80"/>
      <c r="G57" s="16"/>
      <c r="I57" s="78"/>
      <c r="J57" s="78"/>
      <c r="K57" s="78"/>
      <c r="M57" s="99">
        <f t="shared" si="2"/>
        <v>5.0000000000000037E-2</v>
      </c>
      <c r="N57" s="249">
        <v>0.13899999999999996</v>
      </c>
      <c r="O57" s="282">
        <v>4.9500000000000002E-2</v>
      </c>
      <c r="P57" s="282">
        <v>9.3899999999999997E-2</v>
      </c>
      <c r="Q57" s="282">
        <v>0.1883</v>
      </c>
      <c r="S57" s="99">
        <f t="shared" si="3"/>
        <v>5.0000000000000037E-2</v>
      </c>
      <c r="T57" s="249">
        <v>0.13899999999999996</v>
      </c>
      <c r="U57" s="283">
        <v>4.7600000000000003E-2</v>
      </c>
      <c r="V57" s="283">
        <v>9.0200000000000002E-2</v>
      </c>
      <c r="W57" s="291">
        <v>0.18090000000000001</v>
      </c>
      <c r="Y57" s="99">
        <f t="shared" si="4"/>
        <v>5.0000000000000037E-2</v>
      </c>
      <c r="Z57" s="249">
        <v>0.13999999999999996</v>
      </c>
      <c r="AA57" s="287">
        <v>4.7E-2</v>
      </c>
      <c r="AB57" s="287">
        <v>8.9700000000000002E-2</v>
      </c>
      <c r="AC57" s="287">
        <v>0.18099999999999999</v>
      </c>
      <c r="AD57" s="5"/>
      <c r="AE57" s="5"/>
      <c r="AF57" s="5"/>
    </row>
    <row r="58" spans="1:32" x14ac:dyDescent="0.25">
      <c r="A58" s="10"/>
      <c r="B58" s="79"/>
      <c r="C58" s="80"/>
      <c r="D58" s="80"/>
      <c r="E58" s="80"/>
      <c r="G58" s="16"/>
      <c r="I58" s="78"/>
      <c r="J58" s="78"/>
      <c r="K58" s="78"/>
      <c r="M58" s="99">
        <f t="shared" si="2"/>
        <v>5.1000000000000038E-2</v>
      </c>
      <c r="N58" s="249">
        <v>0.13799999999999996</v>
      </c>
      <c r="O58" s="282">
        <v>5.0500000000000003E-2</v>
      </c>
      <c r="P58" s="282">
        <v>9.5699999999999993E-2</v>
      </c>
      <c r="Q58" s="282">
        <v>0.19189999999999999</v>
      </c>
      <c r="S58" s="99">
        <f t="shared" si="3"/>
        <v>5.1000000000000038E-2</v>
      </c>
      <c r="T58" s="249">
        <v>0.13799999999999996</v>
      </c>
      <c r="U58" s="283">
        <v>4.8500000000000001E-2</v>
      </c>
      <c r="V58" s="283">
        <v>9.1999999999999998E-2</v>
      </c>
      <c r="W58" s="291">
        <v>0.1845</v>
      </c>
      <c r="Y58" s="99">
        <f t="shared" si="4"/>
        <v>5.1000000000000038E-2</v>
      </c>
      <c r="Z58" s="249">
        <v>0.13899999999999996</v>
      </c>
      <c r="AA58" s="287">
        <v>4.7899999999999998E-2</v>
      </c>
      <c r="AB58" s="287">
        <v>9.1600000000000001E-2</v>
      </c>
      <c r="AC58" s="287">
        <v>0.18459999999999999</v>
      </c>
      <c r="AD58" s="5"/>
      <c r="AE58" s="5"/>
      <c r="AF58" s="5"/>
    </row>
    <row r="59" spans="1:32" x14ac:dyDescent="0.25">
      <c r="A59" s="10"/>
      <c r="B59" s="79"/>
      <c r="C59" s="80"/>
      <c r="D59" s="80"/>
      <c r="E59" s="80"/>
      <c r="G59" s="16"/>
      <c r="I59" s="78"/>
      <c r="J59" s="78"/>
      <c r="K59" s="78"/>
      <c r="M59" s="99">
        <f t="shared" si="2"/>
        <v>5.2000000000000039E-2</v>
      </c>
      <c r="N59" s="249">
        <v>0.13699999999999996</v>
      </c>
      <c r="O59" s="282">
        <v>5.1499999999999997E-2</v>
      </c>
      <c r="P59" s="282">
        <v>9.7600000000000006E-2</v>
      </c>
      <c r="Q59" s="282">
        <v>0.1956</v>
      </c>
      <c r="S59" s="99">
        <f t="shared" si="3"/>
        <v>5.2000000000000039E-2</v>
      </c>
      <c r="T59" s="249">
        <v>0.13699999999999996</v>
      </c>
      <c r="U59" s="283">
        <v>4.9500000000000002E-2</v>
      </c>
      <c r="V59" s="283">
        <v>9.3899999999999997E-2</v>
      </c>
      <c r="W59" s="291">
        <v>0.18809999999999999</v>
      </c>
      <c r="Y59" s="99">
        <f t="shared" si="4"/>
        <v>5.2000000000000039E-2</v>
      </c>
      <c r="Z59" s="249">
        <v>0.13799999999999996</v>
      </c>
      <c r="AA59" s="287">
        <v>4.8899999999999999E-2</v>
      </c>
      <c r="AB59" s="287">
        <v>9.3399999999999997E-2</v>
      </c>
      <c r="AC59" s="287">
        <v>0.18820000000000001</v>
      </c>
      <c r="AD59" s="5"/>
      <c r="AE59" s="5"/>
      <c r="AF59" s="5"/>
    </row>
    <row r="60" spans="1:32" x14ac:dyDescent="0.25">
      <c r="A60" s="10"/>
      <c r="B60" s="79"/>
      <c r="C60" s="80"/>
      <c r="D60" s="80"/>
      <c r="E60" s="80"/>
      <c r="G60" s="16"/>
      <c r="I60" s="78"/>
      <c r="J60" s="78"/>
      <c r="K60" s="78"/>
      <c r="M60" s="99">
        <f t="shared" si="2"/>
        <v>5.300000000000004E-2</v>
      </c>
      <c r="N60" s="249">
        <v>0.13599999999999995</v>
      </c>
      <c r="O60" s="283">
        <v>5.2499999999999998E-2</v>
      </c>
      <c r="P60" s="283">
        <v>9.9400000000000002E-2</v>
      </c>
      <c r="Q60" s="283">
        <v>0.19919999999999999</v>
      </c>
      <c r="S60" s="99">
        <f t="shared" si="3"/>
        <v>5.300000000000004E-2</v>
      </c>
      <c r="T60" s="249">
        <v>0.13599999999999995</v>
      </c>
      <c r="U60" s="283">
        <v>5.0500000000000003E-2</v>
      </c>
      <c r="V60" s="283">
        <v>9.5699999999999993E-2</v>
      </c>
      <c r="W60" s="291">
        <v>0.19170000000000001</v>
      </c>
      <c r="Y60" s="99">
        <f t="shared" si="4"/>
        <v>5.300000000000004E-2</v>
      </c>
      <c r="Z60" s="249">
        <v>0.13699999999999996</v>
      </c>
      <c r="AA60" s="288">
        <v>4.99E-2</v>
      </c>
      <c r="AB60" s="288">
        <v>9.5299999999999996E-2</v>
      </c>
      <c r="AC60" s="288">
        <v>0.1918</v>
      </c>
    </row>
    <row r="61" spans="1:32" x14ac:dyDescent="0.25">
      <c r="A61" s="14"/>
      <c r="B61" s="15"/>
      <c r="C61" s="80"/>
      <c r="D61" s="80"/>
      <c r="E61" s="80"/>
      <c r="G61" s="16"/>
      <c r="I61" s="78"/>
      <c r="J61" s="78"/>
      <c r="K61" s="78"/>
      <c r="M61" s="99">
        <f t="shared" si="2"/>
        <v>5.4000000000000041E-2</v>
      </c>
      <c r="N61" s="249">
        <v>0.13499999999999995</v>
      </c>
      <c r="O61" s="283">
        <v>5.3400000000000003E-2</v>
      </c>
      <c r="P61" s="283">
        <v>0.1013</v>
      </c>
      <c r="Q61" s="283">
        <v>0.20280000000000001</v>
      </c>
      <c r="S61" s="99">
        <f t="shared" si="3"/>
        <v>5.4000000000000041E-2</v>
      </c>
      <c r="T61" s="249">
        <v>0.13499999999999995</v>
      </c>
      <c r="U61" s="283">
        <v>5.1499999999999997E-2</v>
      </c>
      <c r="V61" s="283">
        <v>9.7600000000000006E-2</v>
      </c>
      <c r="W61" s="291">
        <v>0.19539999999999999</v>
      </c>
      <c r="Y61" s="99">
        <f t="shared" si="4"/>
        <v>5.4000000000000041E-2</v>
      </c>
      <c r="Z61" s="249">
        <v>0.13599999999999995</v>
      </c>
      <c r="AA61" s="288">
        <v>5.0900000000000001E-2</v>
      </c>
      <c r="AB61" s="288">
        <v>9.7100000000000006E-2</v>
      </c>
      <c r="AC61" s="288">
        <v>0.19539999999999999</v>
      </c>
    </row>
    <row r="62" spans="1:32" x14ac:dyDescent="0.25">
      <c r="A62" s="14"/>
      <c r="B62" s="15"/>
      <c r="C62" s="80"/>
      <c r="D62" s="80"/>
      <c r="E62" s="80"/>
      <c r="G62" s="16"/>
      <c r="I62" s="78"/>
      <c r="J62" s="78"/>
      <c r="K62" s="78"/>
      <c r="M62" s="99">
        <f t="shared" si="2"/>
        <v>5.5000000000000042E-2</v>
      </c>
      <c r="N62" s="249">
        <v>0.13399999999999995</v>
      </c>
      <c r="O62" s="283">
        <v>5.4399999999999997E-2</v>
      </c>
      <c r="P62" s="283">
        <v>0.1031</v>
      </c>
      <c r="Q62" s="283">
        <v>0.2064</v>
      </c>
      <c r="S62" s="99">
        <f t="shared" si="3"/>
        <v>5.5000000000000042E-2</v>
      </c>
      <c r="T62" s="249">
        <v>0.13399999999999995</v>
      </c>
      <c r="U62" s="283">
        <v>5.2499999999999998E-2</v>
      </c>
      <c r="V62" s="283">
        <v>9.9400000000000002E-2</v>
      </c>
      <c r="W62" s="291">
        <v>0.19900000000000001</v>
      </c>
      <c r="Y62" s="99">
        <f t="shared" si="4"/>
        <v>5.5000000000000042E-2</v>
      </c>
      <c r="Z62" s="249">
        <v>0.13499999999999995</v>
      </c>
      <c r="AA62" s="288">
        <v>5.1900000000000002E-2</v>
      </c>
      <c r="AB62" s="288">
        <v>9.8900000000000002E-2</v>
      </c>
      <c r="AC62" s="288">
        <v>0.19900000000000001</v>
      </c>
    </row>
    <row r="63" spans="1:32" x14ac:dyDescent="0.25">
      <c r="A63" s="14"/>
      <c r="B63" s="15"/>
      <c r="C63" s="80"/>
      <c r="D63" s="80"/>
      <c r="E63" s="80"/>
      <c r="G63" s="16"/>
      <c r="I63" s="78"/>
      <c r="J63" s="78"/>
      <c r="K63" s="78"/>
      <c r="M63" s="99">
        <f t="shared" si="2"/>
        <v>5.6000000000000043E-2</v>
      </c>
      <c r="N63" s="249">
        <v>0.13299999999999995</v>
      </c>
      <c r="O63" s="283">
        <v>5.5399999999999998E-2</v>
      </c>
      <c r="P63" s="283">
        <v>0.105</v>
      </c>
      <c r="Q63" s="283">
        <v>0.21</v>
      </c>
      <c r="S63" s="99">
        <f t="shared" si="3"/>
        <v>5.6000000000000043E-2</v>
      </c>
      <c r="T63" s="249">
        <v>0.13299999999999995</v>
      </c>
      <c r="U63" s="283">
        <v>5.3499999999999999E-2</v>
      </c>
      <c r="V63" s="283">
        <v>0.1013</v>
      </c>
      <c r="W63" s="291">
        <v>0.2026</v>
      </c>
      <c r="Y63" s="99">
        <f t="shared" si="4"/>
        <v>5.6000000000000043E-2</v>
      </c>
      <c r="Z63" s="249">
        <v>0.13399999999999995</v>
      </c>
      <c r="AA63" s="288">
        <v>5.28E-2</v>
      </c>
      <c r="AB63" s="288">
        <v>0.1008</v>
      </c>
      <c r="AC63" s="288">
        <v>0.2026</v>
      </c>
    </row>
    <row r="64" spans="1:32" x14ac:dyDescent="0.25">
      <c r="A64" s="14"/>
      <c r="B64" s="15"/>
      <c r="C64" s="80"/>
      <c r="D64" s="80"/>
      <c r="E64" s="80"/>
      <c r="G64" s="16"/>
      <c r="I64" s="78"/>
      <c r="J64" s="78"/>
      <c r="K64" s="78"/>
      <c r="M64" s="99">
        <f t="shared" si="2"/>
        <v>5.7000000000000044E-2</v>
      </c>
      <c r="N64" s="249">
        <v>0.13199999999999995</v>
      </c>
      <c r="O64" s="283">
        <v>5.6399999999999999E-2</v>
      </c>
      <c r="P64" s="283">
        <v>0.10680000000000001</v>
      </c>
      <c r="Q64" s="283">
        <v>0.21360000000000001</v>
      </c>
      <c r="S64" s="99">
        <f t="shared" si="3"/>
        <v>5.7000000000000044E-2</v>
      </c>
      <c r="T64" s="249">
        <v>0.13199999999999995</v>
      </c>
      <c r="U64" s="283">
        <v>5.45E-2</v>
      </c>
      <c r="V64" s="283">
        <v>0.1031</v>
      </c>
      <c r="W64" s="291">
        <v>0.20619999999999999</v>
      </c>
      <c r="Y64" s="99">
        <f t="shared" si="4"/>
        <v>5.7000000000000044E-2</v>
      </c>
      <c r="Z64" s="249">
        <v>0.13299999999999995</v>
      </c>
      <c r="AA64" s="288">
        <v>5.3800000000000001E-2</v>
      </c>
      <c r="AB64" s="288">
        <v>0.1026</v>
      </c>
      <c r="AC64" s="288">
        <v>0.20619999999999999</v>
      </c>
    </row>
    <row r="65" spans="1:29" x14ac:dyDescent="0.25">
      <c r="A65" s="14"/>
      <c r="B65" s="15"/>
      <c r="C65" s="80"/>
      <c r="D65" s="80"/>
      <c r="E65" s="80"/>
      <c r="G65" s="16"/>
      <c r="I65" s="78"/>
      <c r="J65" s="78"/>
      <c r="K65" s="78"/>
      <c r="M65" s="99">
        <f t="shared" si="2"/>
        <v>5.8000000000000045E-2</v>
      </c>
      <c r="N65" s="249">
        <v>0.13099999999999995</v>
      </c>
      <c r="O65" s="283">
        <v>5.74E-2</v>
      </c>
      <c r="P65" s="283">
        <v>0.1086</v>
      </c>
      <c r="Q65" s="283">
        <v>0.21709999999999999</v>
      </c>
      <c r="S65" s="99">
        <f t="shared" si="3"/>
        <v>5.8000000000000045E-2</v>
      </c>
      <c r="T65" s="249">
        <v>0.13099999999999995</v>
      </c>
      <c r="U65" s="283">
        <v>5.5399999999999998E-2</v>
      </c>
      <c r="V65" s="283">
        <v>0.105</v>
      </c>
      <c r="W65" s="291">
        <v>0.20979999999999999</v>
      </c>
      <c r="Y65" s="99">
        <f t="shared" si="4"/>
        <v>5.8000000000000045E-2</v>
      </c>
      <c r="Z65" s="249">
        <v>0.13199999999999995</v>
      </c>
      <c r="AA65" s="288">
        <v>5.4800000000000001E-2</v>
      </c>
      <c r="AB65" s="288">
        <v>0.1045</v>
      </c>
      <c r="AC65" s="288">
        <v>0.20979999999999999</v>
      </c>
    </row>
    <row r="66" spans="1:29" x14ac:dyDescent="0.25">
      <c r="A66" s="14"/>
      <c r="B66" s="15"/>
      <c r="C66" s="80"/>
      <c r="D66" s="80"/>
      <c r="E66" s="80"/>
      <c r="G66" s="16"/>
      <c r="I66" s="78"/>
      <c r="J66" s="78"/>
      <c r="K66" s="78"/>
      <c r="M66" s="99">
        <f t="shared" si="2"/>
        <v>5.9000000000000045E-2</v>
      </c>
      <c r="N66" s="249">
        <v>0.12999999999999995</v>
      </c>
      <c r="O66" s="283">
        <v>5.8400000000000001E-2</v>
      </c>
      <c r="P66" s="283">
        <v>0.1105</v>
      </c>
      <c r="Q66" s="283">
        <v>0.22070000000000001</v>
      </c>
      <c r="S66" s="99">
        <f t="shared" si="3"/>
        <v>5.9000000000000045E-2</v>
      </c>
      <c r="T66" s="249">
        <v>0.12999999999999995</v>
      </c>
      <c r="U66" s="283">
        <v>5.6399999999999999E-2</v>
      </c>
      <c r="V66" s="283">
        <v>0.10680000000000001</v>
      </c>
      <c r="W66" s="291">
        <v>0.21329999999999999</v>
      </c>
      <c r="Y66" s="99">
        <f t="shared" si="4"/>
        <v>5.9000000000000045E-2</v>
      </c>
      <c r="Z66" s="249">
        <v>0.13099999999999995</v>
      </c>
      <c r="AA66" s="288">
        <v>5.5800000000000002E-2</v>
      </c>
      <c r="AB66" s="288">
        <v>0.10630000000000001</v>
      </c>
      <c r="AC66" s="288">
        <v>0.21329999999999999</v>
      </c>
    </row>
    <row r="67" spans="1:29" x14ac:dyDescent="0.25">
      <c r="A67" s="14"/>
      <c r="B67" s="15"/>
      <c r="C67" s="80"/>
      <c r="D67" s="80"/>
      <c r="E67" s="80"/>
      <c r="G67" s="16"/>
      <c r="I67" s="78"/>
      <c r="J67" s="78"/>
      <c r="K67" s="78"/>
      <c r="M67" s="99">
        <f t="shared" si="2"/>
        <v>6.0000000000000046E-2</v>
      </c>
      <c r="N67" s="249">
        <v>0.12899999999999995</v>
      </c>
      <c r="O67" s="283">
        <v>5.9299999999999999E-2</v>
      </c>
      <c r="P67" s="283">
        <v>0.1123</v>
      </c>
      <c r="Q67" s="283">
        <v>0.2243</v>
      </c>
      <c r="S67" s="99">
        <f t="shared" si="3"/>
        <v>6.0000000000000046E-2</v>
      </c>
      <c r="T67" s="249">
        <v>0.12899999999999995</v>
      </c>
      <c r="U67" s="283">
        <v>5.74E-2</v>
      </c>
      <c r="V67" s="283">
        <v>0.1086</v>
      </c>
      <c r="W67" s="291">
        <v>0.21690000000000001</v>
      </c>
      <c r="Y67" s="99">
        <f t="shared" si="4"/>
        <v>6.0000000000000046E-2</v>
      </c>
      <c r="Z67" s="249">
        <v>0.12999999999999995</v>
      </c>
      <c r="AA67" s="288">
        <v>5.6800000000000003E-2</v>
      </c>
      <c r="AB67" s="288">
        <v>0.1081</v>
      </c>
      <c r="AC67" s="288">
        <v>0.21690000000000001</v>
      </c>
    </row>
    <row r="68" spans="1:29" x14ac:dyDescent="0.25">
      <c r="A68" s="14"/>
      <c r="B68" s="15"/>
      <c r="C68" s="80"/>
      <c r="D68" s="80"/>
      <c r="E68" s="80"/>
      <c r="G68" s="16"/>
      <c r="I68" s="78"/>
      <c r="J68" s="78"/>
      <c r="K68" s="78"/>
      <c r="M68" s="99">
        <f t="shared" si="2"/>
        <v>6.1000000000000047E-2</v>
      </c>
      <c r="N68" s="249">
        <v>0.12799999999999995</v>
      </c>
      <c r="O68" s="283">
        <v>6.0299999999999999E-2</v>
      </c>
      <c r="P68" s="283">
        <v>0.1142</v>
      </c>
      <c r="Q68" s="283">
        <v>0.2278</v>
      </c>
      <c r="S68" s="99">
        <f t="shared" si="3"/>
        <v>6.1000000000000047E-2</v>
      </c>
      <c r="T68" s="249">
        <v>0.12799999999999995</v>
      </c>
      <c r="U68" s="283">
        <v>5.8400000000000001E-2</v>
      </c>
      <c r="V68" s="283">
        <v>0.1105</v>
      </c>
      <c r="W68" s="291">
        <v>0.2205</v>
      </c>
      <c r="Y68" s="99">
        <f t="shared" si="4"/>
        <v>6.1000000000000047E-2</v>
      </c>
      <c r="Z68" s="249">
        <v>0.12899999999999995</v>
      </c>
      <c r="AA68" s="288">
        <v>5.7700000000000001E-2</v>
      </c>
      <c r="AB68" s="288">
        <v>0.11</v>
      </c>
      <c r="AC68" s="288">
        <v>0.2205</v>
      </c>
    </row>
    <row r="69" spans="1:29" x14ac:dyDescent="0.25">
      <c r="A69" s="14"/>
      <c r="B69" s="15"/>
      <c r="C69" s="80"/>
      <c r="D69" s="80"/>
      <c r="E69" s="80"/>
      <c r="G69" s="16"/>
      <c r="I69" s="78"/>
      <c r="J69" s="78"/>
      <c r="K69" s="78"/>
      <c r="M69" s="99">
        <f t="shared" si="2"/>
        <v>6.2000000000000048E-2</v>
      </c>
      <c r="N69" s="249">
        <v>0.12699999999999995</v>
      </c>
      <c r="O69" s="283">
        <v>6.13E-2</v>
      </c>
      <c r="P69" s="283">
        <v>0.11600000000000001</v>
      </c>
      <c r="Q69" s="283">
        <v>0.23139999999999999</v>
      </c>
      <c r="S69" s="99">
        <f t="shared" si="3"/>
        <v>6.2000000000000048E-2</v>
      </c>
      <c r="T69" s="249">
        <v>0.12699999999999995</v>
      </c>
      <c r="U69" s="283">
        <v>5.9400000000000001E-2</v>
      </c>
      <c r="V69" s="283">
        <v>0.1123</v>
      </c>
      <c r="W69" s="291">
        <v>0.224</v>
      </c>
      <c r="Y69" s="99">
        <f t="shared" si="4"/>
        <v>6.2000000000000048E-2</v>
      </c>
      <c r="Z69" s="249">
        <v>0.12799999999999995</v>
      </c>
      <c r="AA69" s="288">
        <v>5.8700000000000002E-2</v>
      </c>
      <c r="AB69" s="288">
        <v>0.1118</v>
      </c>
      <c r="AC69" s="288">
        <v>0.224</v>
      </c>
    </row>
    <row r="70" spans="1:29" x14ac:dyDescent="0.25">
      <c r="A70" s="14"/>
      <c r="B70" s="15"/>
      <c r="C70" s="80"/>
      <c r="D70" s="80"/>
      <c r="E70" s="80"/>
      <c r="G70" s="16"/>
      <c r="I70" s="78"/>
      <c r="J70" s="78"/>
      <c r="K70" s="78"/>
      <c r="M70" s="99">
        <f t="shared" si="2"/>
        <v>6.3000000000000042E-2</v>
      </c>
      <c r="N70" s="249">
        <v>0.12599999999999995</v>
      </c>
      <c r="O70" s="283">
        <v>6.2300000000000001E-2</v>
      </c>
      <c r="P70" s="283">
        <v>0.1178</v>
      </c>
      <c r="Q70" s="283">
        <v>0.2349</v>
      </c>
      <c r="S70" s="99">
        <f t="shared" si="3"/>
        <v>6.3000000000000042E-2</v>
      </c>
      <c r="T70" s="249">
        <v>0.12599999999999995</v>
      </c>
      <c r="U70" s="283">
        <v>6.0400000000000002E-2</v>
      </c>
      <c r="V70" s="283">
        <v>0.1142</v>
      </c>
      <c r="W70" s="291">
        <v>0.2276</v>
      </c>
      <c r="Y70" s="99">
        <f t="shared" si="4"/>
        <v>6.3000000000000042E-2</v>
      </c>
      <c r="Z70" s="249">
        <v>0.12699999999999995</v>
      </c>
      <c r="AA70" s="288">
        <v>5.9700000000000003E-2</v>
      </c>
      <c r="AB70" s="288">
        <v>0.11360000000000001</v>
      </c>
      <c r="AC70" s="288">
        <v>0.2276</v>
      </c>
    </row>
    <row r="71" spans="1:29" x14ac:dyDescent="0.25">
      <c r="A71" s="14"/>
      <c r="B71" s="15"/>
      <c r="C71" s="80"/>
      <c r="D71" s="80"/>
      <c r="E71" s="80"/>
      <c r="G71" s="16"/>
      <c r="I71" s="78"/>
      <c r="J71" s="78"/>
      <c r="K71" s="78"/>
      <c r="M71" s="99">
        <f t="shared" si="2"/>
        <v>6.4000000000000043E-2</v>
      </c>
      <c r="N71" s="249">
        <v>0.12499999999999996</v>
      </c>
      <c r="O71" s="283">
        <v>6.3299999999999995E-2</v>
      </c>
      <c r="P71" s="283">
        <v>0.1197</v>
      </c>
      <c r="Q71" s="283">
        <v>0.23849999999999999</v>
      </c>
      <c r="S71" s="99">
        <f t="shared" si="3"/>
        <v>6.4000000000000043E-2</v>
      </c>
      <c r="T71" s="249">
        <v>0.12499999999999996</v>
      </c>
      <c r="U71" s="283">
        <v>6.13E-2</v>
      </c>
      <c r="V71" s="283">
        <v>0.11600000000000001</v>
      </c>
      <c r="W71" s="291">
        <v>0.23119999999999999</v>
      </c>
      <c r="Y71" s="99">
        <f t="shared" si="4"/>
        <v>6.4000000000000043E-2</v>
      </c>
      <c r="Z71" s="249">
        <v>0.12599999999999995</v>
      </c>
      <c r="AA71" s="288">
        <v>6.0699999999999997E-2</v>
      </c>
      <c r="AB71" s="288">
        <v>0.11550000000000001</v>
      </c>
      <c r="AC71" s="288">
        <v>0.2311</v>
      </c>
    </row>
    <row r="72" spans="1:29" x14ac:dyDescent="0.25">
      <c r="A72" s="14"/>
      <c r="B72" s="15"/>
      <c r="C72" s="80"/>
      <c r="D72" s="80"/>
      <c r="E72" s="80"/>
      <c r="G72" s="16"/>
      <c r="I72" s="78"/>
      <c r="J72" s="78"/>
      <c r="K72" s="78"/>
      <c r="M72" s="99">
        <f t="shared" si="2"/>
        <v>6.5000000000000044E-2</v>
      </c>
      <c r="N72" s="249">
        <v>0.12399999999999996</v>
      </c>
      <c r="O72" s="283">
        <v>6.4299999999999996E-2</v>
      </c>
      <c r="P72" s="283">
        <v>0.1215</v>
      </c>
      <c r="Q72" s="283">
        <v>0.24199999999999999</v>
      </c>
      <c r="S72" s="99">
        <f t="shared" si="3"/>
        <v>6.5000000000000044E-2</v>
      </c>
      <c r="T72" s="249">
        <v>0.12399999999999996</v>
      </c>
      <c r="U72" s="283">
        <v>6.2300000000000001E-2</v>
      </c>
      <c r="V72" s="283">
        <v>0.1178</v>
      </c>
      <c r="W72" s="291">
        <v>0.23469999999999999</v>
      </c>
      <c r="Y72" s="99">
        <f t="shared" si="4"/>
        <v>6.5000000000000044E-2</v>
      </c>
      <c r="Z72" s="249">
        <v>0.12499999999999996</v>
      </c>
      <c r="AA72" s="288">
        <v>6.1600000000000002E-2</v>
      </c>
      <c r="AB72" s="288">
        <v>0.1173</v>
      </c>
      <c r="AC72" s="288">
        <v>0.2346</v>
      </c>
    </row>
    <row r="73" spans="1:29" x14ac:dyDescent="0.25">
      <c r="A73" s="14"/>
      <c r="B73" s="15"/>
      <c r="C73" s="80"/>
      <c r="D73" s="80"/>
      <c r="E73" s="80"/>
      <c r="G73" s="16"/>
      <c r="I73" s="78"/>
      <c r="J73" s="78"/>
      <c r="K73" s="78"/>
      <c r="M73" s="99">
        <f t="shared" si="2"/>
        <v>6.6000000000000045E-2</v>
      </c>
      <c r="N73" s="249">
        <v>0.12299999999999996</v>
      </c>
      <c r="O73" s="283">
        <v>6.5199999999999994E-2</v>
      </c>
      <c r="P73" s="283">
        <v>0.12330000000000001</v>
      </c>
      <c r="Q73" s="283">
        <v>0.24560000000000001</v>
      </c>
      <c r="S73" s="99">
        <f t="shared" si="3"/>
        <v>6.6000000000000045E-2</v>
      </c>
      <c r="T73" s="249">
        <v>0.12299999999999996</v>
      </c>
      <c r="U73" s="283">
        <v>6.3299999999999995E-2</v>
      </c>
      <c r="V73" s="283">
        <v>0.1197</v>
      </c>
      <c r="W73" s="291">
        <v>0.2382</v>
      </c>
      <c r="Y73" s="99">
        <f t="shared" si="4"/>
        <v>6.6000000000000045E-2</v>
      </c>
      <c r="Z73" s="249">
        <v>0.12399999999999996</v>
      </c>
      <c r="AA73" s="288">
        <v>6.2600000000000003E-2</v>
      </c>
      <c r="AB73" s="288">
        <v>0.1191</v>
      </c>
      <c r="AC73" s="288">
        <v>0.2382</v>
      </c>
    </row>
    <row r="74" spans="1:29" x14ac:dyDescent="0.25">
      <c r="A74" s="14"/>
      <c r="B74" s="15"/>
      <c r="C74" s="80"/>
      <c r="D74" s="80"/>
      <c r="E74" s="80"/>
      <c r="G74" s="16"/>
      <c r="I74" s="78"/>
      <c r="J74" s="78"/>
      <c r="K74" s="78"/>
      <c r="M74" s="99">
        <f t="shared" ref="M74:M76" si="5">M73+0.1%</f>
        <v>6.7000000000000046E-2</v>
      </c>
      <c r="N74" s="249">
        <v>0.12199999999999996</v>
      </c>
      <c r="O74" s="283">
        <v>6.6199999999999995E-2</v>
      </c>
      <c r="P74" s="283">
        <v>0.12520000000000001</v>
      </c>
      <c r="Q74" s="283">
        <v>0.24909999999999999</v>
      </c>
      <c r="S74" s="99">
        <f t="shared" ref="S74:S76" si="6">S73+0.1%</f>
        <v>6.7000000000000046E-2</v>
      </c>
      <c r="T74" s="249">
        <v>0.12199999999999996</v>
      </c>
      <c r="U74" s="283">
        <v>6.4299999999999996E-2</v>
      </c>
      <c r="V74" s="283">
        <v>0.1215</v>
      </c>
      <c r="W74" s="291">
        <v>0.24179999999999999</v>
      </c>
      <c r="Y74" s="99">
        <f t="shared" ref="Y74:Y77" si="7">Y73+0.1%</f>
        <v>6.7000000000000046E-2</v>
      </c>
      <c r="Z74" s="249">
        <v>0.12299999999999996</v>
      </c>
      <c r="AA74" s="288">
        <v>6.3600000000000004E-2</v>
      </c>
      <c r="AB74" s="288">
        <v>0.12089999999999999</v>
      </c>
      <c r="AC74" s="288">
        <v>0.2417</v>
      </c>
    </row>
    <row r="75" spans="1:29" x14ac:dyDescent="0.25">
      <c r="A75" s="14"/>
      <c r="B75" s="15"/>
      <c r="C75" s="80"/>
      <c r="D75" s="80"/>
      <c r="E75" s="80"/>
      <c r="G75" s="16"/>
      <c r="I75" s="78"/>
      <c r="J75" s="78"/>
      <c r="K75" s="78"/>
      <c r="M75" s="99">
        <f t="shared" si="5"/>
        <v>6.8000000000000047E-2</v>
      </c>
      <c r="N75" s="249">
        <v>0.12099999999999995</v>
      </c>
      <c r="O75" s="283">
        <v>6.7199999999999996E-2</v>
      </c>
      <c r="P75" s="283">
        <v>0.127</v>
      </c>
      <c r="Q75" s="283">
        <v>0.25259999999999999</v>
      </c>
      <c r="S75" s="99">
        <f t="shared" si="6"/>
        <v>6.8000000000000047E-2</v>
      </c>
      <c r="T75" s="249">
        <v>0.12099999999999995</v>
      </c>
      <c r="U75" s="283">
        <v>6.5299999999999997E-2</v>
      </c>
      <c r="V75" s="283">
        <v>0.12330000000000001</v>
      </c>
      <c r="W75" s="291">
        <v>0.24529999999999999</v>
      </c>
      <c r="Y75" s="99">
        <f t="shared" si="7"/>
        <v>6.8000000000000047E-2</v>
      </c>
      <c r="Z75" s="249">
        <v>0.12199999999999996</v>
      </c>
      <c r="AA75" s="288">
        <v>6.4600000000000005E-2</v>
      </c>
      <c r="AB75" s="288">
        <v>0.12280000000000001</v>
      </c>
      <c r="AC75" s="288">
        <v>0.2452</v>
      </c>
    </row>
    <row r="76" spans="1:29" x14ac:dyDescent="0.25">
      <c r="A76" s="14"/>
      <c r="B76" s="15"/>
      <c r="C76" s="80"/>
      <c r="D76" s="80"/>
      <c r="E76" s="80"/>
      <c r="G76" s="16"/>
      <c r="I76" s="78"/>
      <c r="J76" s="78"/>
      <c r="K76" s="78"/>
      <c r="M76" s="99">
        <f t="shared" si="5"/>
        <v>6.9000000000000047E-2</v>
      </c>
      <c r="N76" s="7">
        <v>0.11999999999999995</v>
      </c>
      <c r="O76" s="290">
        <v>6.8199999999999997E-2</v>
      </c>
      <c r="P76" s="290">
        <v>0.1288</v>
      </c>
      <c r="Q76" s="290">
        <v>0.25609999999999999</v>
      </c>
      <c r="S76" s="99">
        <f t="shared" si="6"/>
        <v>6.9000000000000047E-2</v>
      </c>
      <c r="T76" s="7">
        <v>0.11999999999999995</v>
      </c>
      <c r="U76" s="290">
        <v>6.6299999999999998E-2</v>
      </c>
      <c r="V76" s="290">
        <v>0.12520000000000001</v>
      </c>
      <c r="W76" s="290">
        <v>0.24879999999999999</v>
      </c>
      <c r="Y76" s="99">
        <f t="shared" si="7"/>
        <v>6.9000000000000047E-2</v>
      </c>
      <c r="Z76" s="249">
        <v>0.12099999999999995</v>
      </c>
      <c r="AA76" s="288">
        <v>6.5600000000000006E-2</v>
      </c>
      <c r="AB76" s="288">
        <v>0.1246</v>
      </c>
      <c r="AC76" s="288">
        <v>0.2487</v>
      </c>
    </row>
    <row r="77" spans="1:29" x14ac:dyDescent="0.25">
      <c r="A77" s="14"/>
      <c r="B77" s="15"/>
      <c r="C77" s="80"/>
      <c r="D77" s="80"/>
      <c r="E77" s="80"/>
      <c r="G77" s="16"/>
      <c r="I77" s="78"/>
      <c r="J77" s="78"/>
      <c r="K77" s="78"/>
      <c r="M77" s="99"/>
      <c r="N77" s="7"/>
      <c r="O77" s="290"/>
      <c r="P77" s="290"/>
      <c r="Q77" s="290"/>
      <c r="S77" s="99"/>
      <c r="T77" s="7"/>
      <c r="U77" s="290"/>
      <c r="V77" s="290"/>
      <c r="W77" s="290"/>
      <c r="Y77" s="99">
        <f t="shared" si="7"/>
        <v>7.0000000000000048E-2</v>
      </c>
      <c r="Z77" s="249">
        <v>0.11999999999999995</v>
      </c>
      <c r="AA77" s="288">
        <v>6.6500000000000004E-2</v>
      </c>
      <c r="AB77" s="288">
        <v>0.12640000000000001</v>
      </c>
      <c r="AC77" s="288">
        <v>0.25219999999999998</v>
      </c>
    </row>
    <row r="78" spans="1:29" x14ac:dyDescent="0.25">
      <c r="A78" s="14"/>
      <c r="B78" s="15"/>
      <c r="C78" s="80"/>
      <c r="D78" s="80"/>
      <c r="E78" s="80"/>
      <c r="G78" s="16"/>
      <c r="I78" s="78"/>
      <c r="J78" s="78"/>
      <c r="K78" s="78"/>
      <c r="M78" s="99"/>
      <c r="N78" s="7"/>
      <c r="O78" s="290"/>
      <c r="P78" s="290"/>
      <c r="Q78" s="290"/>
      <c r="S78" s="99"/>
      <c r="T78" s="7"/>
      <c r="U78" s="290"/>
      <c r="V78" s="290"/>
      <c r="W78" s="290"/>
      <c r="Y78" s="99"/>
      <c r="Z78" s="249"/>
      <c r="AA78" s="288"/>
      <c r="AB78" s="288"/>
      <c r="AC78" s="288"/>
    </row>
    <row r="79" spans="1:29" x14ac:dyDescent="0.25">
      <c r="A79" s="14"/>
      <c r="B79" s="15"/>
      <c r="C79" s="80"/>
      <c r="D79" s="80"/>
      <c r="E79" s="80"/>
      <c r="G79" s="16"/>
      <c r="I79" s="78"/>
      <c r="J79" s="78"/>
      <c r="K79" s="78"/>
      <c r="M79" s="99"/>
      <c r="N79" s="7"/>
      <c r="O79" s="290"/>
      <c r="P79" s="290"/>
      <c r="Q79" s="290"/>
      <c r="S79" s="99"/>
      <c r="T79" s="7"/>
      <c r="U79" s="290"/>
      <c r="V79" s="290"/>
      <c r="W79" s="290"/>
      <c r="Y79" s="99"/>
      <c r="Z79" s="249"/>
      <c r="AA79" s="288"/>
      <c r="AB79" s="288"/>
      <c r="AC79" s="288"/>
    </row>
    <row r="80" spans="1:29" x14ac:dyDescent="0.25">
      <c r="A80" s="14"/>
      <c r="B80" s="15"/>
      <c r="C80" s="80"/>
      <c r="D80" s="80"/>
      <c r="E80" s="80"/>
      <c r="G80" s="16"/>
      <c r="I80" s="78"/>
      <c r="J80" s="78"/>
      <c r="K80" s="78"/>
      <c r="M80" s="99"/>
      <c r="N80" s="7"/>
      <c r="O80" s="290"/>
      <c r="P80" s="290"/>
      <c r="Q80" s="290"/>
      <c r="S80" s="99"/>
      <c r="T80" s="7"/>
      <c r="U80" s="290"/>
      <c r="V80" s="290"/>
      <c r="W80" s="290"/>
      <c r="Y80" s="99"/>
      <c r="Z80" s="144"/>
      <c r="AA80" s="282"/>
      <c r="AB80" s="292"/>
      <c r="AC80" s="292"/>
    </row>
    <row r="81" spans="1:29" x14ac:dyDescent="0.25">
      <c r="A81" s="14"/>
      <c r="B81" s="15"/>
      <c r="C81" s="80"/>
      <c r="D81" s="80"/>
      <c r="E81" s="80"/>
      <c r="G81" s="16"/>
      <c r="I81" s="78"/>
      <c r="J81" s="78"/>
      <c r="K81" s="78"/>
      <c r="M81" s="99"/>
      <c r="N81" s="7"/>
      <c r="O81" s="290"/>
      <c r="P81" s="290"/>
      <c r="Q81" s="290"/>
      <c r="S81" s="99"/>
      <c r="T81" s="7"/>
      <c r="U81" s="290"/>
      <c r="V81" s="290"/>
      <c r="W81" s="290"/>
      <c r="Y81" s="99"/>
      <c r="Z81" s="249"/>
      <c r="AA81" s="288"/>
      <c r="AB81" s="288"/>
      <c r="AC81" s="288"/>
    </row>
    <row r="82" spans="1:29" x14ac:dyDescent="0.25">
      <c r="A82" s="14"/>
      <c r="B82" s="15"/>
      <c r="C82" s="80"/>
      <c r="D82" s="80"/>
      <c r="E82" s="80"/>
      <c r="G82" s="16"/>
      <c r="I82" s="78"/>
      <c r="J82" s="78"/>
      <c r="K82" s="78"/>
      <c r="M82" s="99"/>
      <c r="N82" s="7"/>
      <c r="O82" s="290"/>
      <c r="P82" s="290"/>
      <c r="Q82" s="290"/>
      <c r="S82" s="99"/>
      <c r="T82" s="7"/>
      <c r="U82" s="290"/>
      <c r="V82" s="290"/>
      <c r="W82" s="290"/>
      <c r="Y82" s="99"/>
      <c r="Z82" s="249"/>
      <c r="AA82" s="288"/>
      <c r="AB82" s="288"/>
      <c r="AC82" s="288"/>
    </row>
    <row r="83" spans="1:29" x14ac:dyDescent="0.25">
      <c r="A83" s="14"/>
      <c r="B83" s="15"/>
      <c r="C83" s="80"/>
      <c r="D83" s="80"/>
      <c r="E83" s="80"/>
      <c r="G83" s="16"/>
      <c r="I83" s="78"/>
      <c r="J83" s="78"/>
      <c r="K83" s="78"/>
      <c r="M83" s="82"/>
      <c r="N83" s="83"/>
      <c r="O83" s="78"/>
      <c r="P83" s="78"/>
      <c r="Q83" s="78"/>
      <c r="S83" s="82"/>
      <c r="T83" s="83"/>
      <c r="U83" s="78"/>
      <c r="V83" s="78"/>
      <c r="W83" s="78"/>
      <c r="Y83" s="99"/>
      <c r="Z83" s="144"/>
      <c r="AA83" s="7"/>
      <c r="AB83" s="138"/>
      <c r="AC83" s="138"/>
    </row>
    <row r="84" spans="1:29" x14ac:dyDescent="0.25">
      <c r="A84" s="14"/>
      <c r="B84" s="15"/>
      <c r="C84" s="80"/>
      <c r="D84" s="80"/>
      <c r="E84" s="80"/>
      <c r="G84" s="16"/>
      <c r="I84" s="78"/>
      <c r="J84" s="78"/>
      <c r="K84" s="78"/>
      <c r="M84" s="82"/>
      <c r="N84" s="83"/>
      <c r="O84" s="78"/>
      <c r="P84" s="78"/>
      <c r="Q84" s="78"/>
      <c r="S84" s="82"/>
      <c r="T84" s="83"/>
      <c r="U84" s="78"/>
      <c r="V84" s="78"/>
      <c r="W84" s="78"/>
      <c r="Y84" s="99"/>
      <c r="Z84" s="144"/>
      <c r="AA84" s="7"/>
      <c r="AB84" s="138"/>
      <c r="AC84" s="138"/>
    </row>
    <row r="85" spans="1:29" x14ac:dyDescent="0.25">
      <c r="A85" s="14"/>
      <c r="B85" s="15"/>
      <c r="C85" s="80"/>
      <c r="D85" s="80"/>
      <c r="E85" s="80"/>
      <c r="G85" s="16"/>
      <c r="I85" s="78"/>
      <c r="J85" s="78"/>
      <c r="K85" s="78"/>
      <c r="M85" s="82"/>
      <c r="N85" s="83"/>
      <c r="O85" s="78"/>
      <c r="P85" s="78"/>
      <c r="Q85" s="78"/>
      <c r="S85" s="82"/>
      <c r="T85" s="83"/>
      <c r="U85" s="78"/>
      <c r="V85" s="78"/>
      <c r="W85" s="78"/>
      <c r="Y85" s="82"/>
      <c r="Z85" s="86"/>
      <c r="AA85" s="11"/>
      <c r="AB85" s="92"/>
      <c r="AC85" s="92"/>
    </row>
    <row r="86" spans="1:29" x14ac:dyDescent="0.25">
      <c r="A86" s="14"/>
      <c r="B86" s="15"/>
      <c r="C86" s="80"/>
      <c r="D86" s="80"/>
      <c r="E86" s="80"/>
      <c r="G86" s="16"/>
      <c r="I86" s="78"/>
      <c r="J86" s="78"/>
      <c r="K86" s="78"/>
      <c r="M86" s="82"/>
      <c r="N86" s="83"/>
      <c r="O86" s="78"/>
      <c r="P86" s="78"/>
      <c r="Q86" s="78"/>
      <c r="S86" s="82"/>
      <c r="T86" s="83"/>
      <c r="U86" s="78"/>
      <c r="V86" s="78"/>
      <c r="W86" s="78"/>
      <c r="Y86" s="82"/>
      <c r="Z86" s="86"/>
      <c r="AA86" s="11"/>
      <c r="AB86" s="92"/>
      <c r="AC86" s="92"/>
    </row>
    <row r="87" spans="1:29" x14ac:dyDescent="0.25">
      <c r="A87" s="14"/>
      <c r="B87" s="15"/>
      <c r="C87" s="80"/>
      <c r="D87" s="80"/>
      <c r="E87" s="80"/>
      <c r="G87" s="16"/>
      <c r="I87" s="78"/>
      <c r="J87" s="78"/>
      <c r="K87" s="78"/>
      <c r="M87" s="82"/>
      <c r="N87" s="83"/>
      <c r="O87" s="78"/>
      <c r="P87" s="78"/>
      <c r="Q87" s="78"/>
      <c r="S87" s="82"/>
      <c r="T87" s="83"/>
      <c r="U87" s="78"/>
      <c r="V87" s="78"/>
      <c r="W87" s="78"/>
      <c r="Y87" s="82"/>
      <c r="Z87" s="86"/>
      <c r="AA87" s="11"/>
      <c r="AB87" s="92"/>
      <c r="AC87" s="92"/>
    </row>
    <row r="88" spans="1:29" x14ac:dyDescent="0.25">
      <c r="A88" s="14"/>
      <c r="B88" s="15"/>
      <c r="C88" s="80"/>
      <c r="D88" s="80"/>
      <c r="E88" s="80"/>
      <c r="G88" s="16"/>
      <c r="M88" s="82"/>
      <c r="N88" s="83"/>
      <c r="O88" s="78"/>
      <c r="P88" s="78"/>
      <c r="Q88" s="78"/>
      <c r="S88" s="82"/>
      <c r="T88" s="83"/>
      <c r="U88" s="78"/>
      <c r="V88" s="78"/>
      <c r="W88" s="78"/>
      <c r="Y88" s="82"/>
      <c r="Z88" s="86"/>
      <c r="AA88" s="11"/>
      <c r="AB88" s="92"/>
      <c r="AC88" s="92"/>
    </row>
    <row r="89" spans="1:29" x14ac:dyDescent="0.25">
      <c r="A89" s="14"/>
      <c r="B89" s="15"/>
      <c r="C89" s="80"/>
      <c r="D89" s="80"/>
      <c r="E89" s="80"/>
      <c r="G89" s="16"/>
      <c r="M89" s="82"/>
      <c r="N89" s="83"/>
      <c r="O89" s="78"/>
      <c r="P89" s="78"/>
      <c r="Q89" s="78"/>
      <c r="S89" s="82"/>
      <c r="T89" s="83"/>
      <c r="U89" s="78"/>
      <c r="V89" s="78"/>
      <c r="W89" s="78"/>
      <c r="Y89" s="82"/>
      <c r="Z89" s="86"/>
      <c r="AA89" s="11"/>
      <c r="AB89" s="92"/>
      <c r="AC89" s="92"/>
    </row>
    <row r="90" spans="1:29" x14ac:dyDescent="0.25">
      <c r="A90" s="14"/>
      <c r="B90" s="15"/>
      <c r="C90" s="80"/>
      <c r="D90" s="80"/>
      <c r="E90" s="80"/>
      <c r="G90" s="16"/>
      <c r="M90" s="82"/>
      <c r="N90" s="83"/>
      <c r="O90" s="78"/>
      <c r="P90" s="78"/>
      <c r="Q90" s="78"/>
      <c r="S90" s="82"/>
      <c r="T90" s="83"/>
      <c r="U90" s="78"/>
      <c r="V90" s="78"/>
      <c r="W90" s="78"/>
      <c r="Y90" s="82"/>
      <c r="Z90" s="86"/>
      <c r="AA90" s="11"/>
      <c r="AB90" s="92"/>
      <c r="AC90" s="92"/>
    </row>
    <row r="91" spans="1:29" x14ac:dyDescent="0.25">
      <c r="A91" s="14"/>
      <c r="B91" s="15"/>
      <c r="C91" s="80"/>
      <c r="D91" s="80"/>
      <c r="E91" s="80"/>
      <c r="G91" s="16"/>
      <c r="M91" s="82"/>
      <c r="N91" s="83"/>
      <c r="O91" s="78"/>
      <c r="P91" s="78"/>
      <c r="Q91" s="78"/>
      <c r="S91" s="82"/>
      <c r="T91" s="83"/>
      <c r="U91" s="78"/>
      <c r="V91" s="78"/>
      <c r="W91" s="78"/>
      <c r="Y91" s="82"/>
      <c r="Z91" s="86"/>
      <c r="AA91" s="11"/>
      <c r="AB91" s="92"/>
      <c r="AC91" s="92"/>
    </row>
    <row r="92" spans="1:29" x14ac:dyDescent="0.25">
      <c r="A92" s="14"/>
      <c r="B92" s="15"/>
      <c r="G92" s="16"/>
      <c r="M92" s="82"/>
      <c r="N92" s="83"/>
      <c r="O92" s="78"/>
      <c r="P92" s="78"/>
      <c r="Q92" s="78"/>
      <c r="S92" s="82"/>
      <c r="T92" s="83"/>
      <c r="U92" s="78"/>
      <c r="V92" s="78"/>
      <c r="W92" s="78"/>
      <c r="Y92" s="82"/>
      <c r="Z92" s="86"/>
      <c r="AA92" s="11"/>
      <c r="AB92" s="92"/>
      <c r="AC92" s="92"/>
    </row>
    <row r="93" spans="1:29" x14ac:dyDescent="0.25">
      <c r="A93" s="14"/>
      <c r="B93" s="15"/>
      <c r="G93" s="16"/>
      <c r="M93" s="82"/>
      <c r="N93" s="83"/>
      <c r="O93" s="78"/>
      <c r="P93" s="78"/>
      <c r="Q93" s="78"/>
      <c r="S93" s="82"/>
      <c r="T93" s="83"/>
      <c r="U93" s="78"/>
      <c r="V93" s="78"/>
      <c r="W93" s="78"/>
      <c r="Y93" s="82"/>
      <c r="Z93" s="86"/>
      <c r="AA93" s="11"/>
      <c r="AB93" s="92"/>
      <c r="AC93" s="92"/>
    </row>
    <row r="94" spans="1:29" x14ac:dyDescent="0.25">
      <c r="A94" s="14"/>
      <c r="B94" s="15"/>
      <c r="G94" s="16"/>
      <c r="M94" s="82"/>
      <c r="N94" s="83"/>
      <c r="O94" s="78"/>
      <c r="P94" s="78"/>
      <c r="Q94" s="78"/>
      <c r="S94" s="82"/>
      <c r="T94" s="83"/>
      <c r="U94" s="78"/>
      <c r="V94" s="78"/>
      <c r="W94" s="78"/>
      <c r="Y94" s="82"/>
      <c r="Z94" s="86"/>
      <c r="AA94" s="11"/>
      <c r="AB94" s="92"/>
      <c r="AC94" s="92"/>
    </row>
    <row r="95" spans="1:29" x14ac:dyDescent="0.25">
      <c r="A95" s="14"/>
      <c r="B95" s="15"/>
      <c r="G95" s="16"/>
      <c r="M95" s="82"/>
      <c r="N95" s="83"/>
      <c r="O95" s="78"/>
      <c r="P95" s="78"/>
      <c r="Q95" s="78"/>
      <c r="S95" s="82"/>
      <c r="T95" s="83"/>
      <c r="U95" s="78"/>
      <c r="V95" s="78"/>
      <c r="W95" s="78"/>
      <c r="Y95" s="82"/>
      <c r="Z95" s="86"/>
      <c r="AA95" s="11"/>
      <c r="AB95" s="92"/>
      <c r="AC95" s="92"/>
    </row>
    <row r="96" spans="1:29" x14ac:dyDescent="0.25">
      <c r="A96" s="14"/>
      <c r="B96" s="15"/>
      <c r="G96" s="16"/>
      <c r="M96" s="82"/>
      <c r="N96" s="83"/>
      <c r="O96" s="78"/>
      <c r="P96" s="78"/>
      <c r="Q96" s="78"/>
      <c r="S96" s="82"/>
      <c r="T96" s="83"/>
      <c r="U96" s="78"/>
      <c r="V96" s="78"/>
      <c r="W96" s="78"/>
      <c r="Y96" s="82"/>
      <c r="Z96" s="86"/>
      <c r="AA96" s="11"/>
      <c r="AB96" s="92"/>
      <c r="AC96" s="92"/>
    </row>
    <row r="97" spans="1:29" x14ac:dyDescent="0.25">
      <c r="A97" s="14"/>
      <c r="B97" s="15"/>
      <c r="G97" s="16"/>
      <c r="M97" s="82"/>
      <c r="N97" s="83"/>
      <c r="O97" s="78"/>
      <c r="P97" s="78"/>
      <c r="Q97" s="78"/>
      <c r="S97" s="82"/>
      <c r="T97" s="83"/>
      <c r="U97" s="78"/>
      <c r="V97" s="78"/>
      <c r="W97" s="78"/>
      <c r="Y97" s="82"/>
      <c r="Z97" s="86"/>
      <c r="AA97" s="11"/>
      <c r="AB97" s="92"/>
      <c r="AC97" s="92"/>
    </row>
    <row r="98" spans="1:29" x14ac:dyDescent="0.25">
      <c r="A98" s="14"/>
      <c r="B98" s="15"/>
      <c r="G98" s="16"/>
      <c r="M98" s="82"/>
      <c r="N98" s="83"/>
      <c r="O98" s="78"/>
      <c r="P98" s="78"/>
      <c r="Q98" s="78"/>
      <c r="S98" s="82"/>
      <c r="T98" s="83"/>
      <c r="U98" s="78"/>
      <c r="V98" s="78"/>
      <c r="W98" s="78"/>
      <c r="Y98" s="82"/>
      <c r="Z98" s="86"/>
      <c r="AA98" s="11"/>
      <c r="AB98" s="92"/>
      <c r="AC98" s="92"/>
    </row>
    <row r="99" spans="1:29" x14ac:dyDescent="0.25">
      <c r="A99" s="14"/>
      <c r="B99" s="15"/>
      <c r="G99" s="16"/>
      <c r="M99" s="82"/>
      <c r="N99" s="83"/>
      <c r="O99" s="78"/>
      <c r="P99" s="78"/>
      <c r="Q99" s="78"/>
      <c r="S99" s="82"/>
      <c r="T99" s="83"/>
      <c r="U99" s="78"/>
      <c r="V99" s="78"/>
      <c r="W99" s="78"/>
      <c r="Y99" s="82"/>
      <c r="Z99" s="86"/>
      <c r="AA99" s="11"/>
      <c r="AB99" s="92"/>
      <c r="AC99" s="92"/>
    </row>
    <row r="100" spans="1:29" x14ac:dyDescent="0.25">
      <c r="A100" s="14"/>
      <c r="B100" s="15"/>
      <c r="G100" s="16"/>
      <c r="M100" s="82"/>
      <c r="N100" s="83"/>
      <c r="O100" s="78"/>
      <c r="P100" s="78"/>
      <c r="Q100" s="78"/>
      <c r="S100" s="82"/>
      <c r="T100" s="83"/>
      <c r="U100" s="78"/>
      <c r="V100" s="78"/>
      <c r="W100" s="78"/>
      <c r="Y100" s="82"/>
      <c r="Z100" s="86"/>
      <c r="AA100" s="11"/>
      <c r="AB100" s="92"/>
      <c r="AC100" s="92"/>
    </row>
    <row r="101" spans="1:29" x14ac:dyDescent="0.25">
      <c r="A101" s="14"/>
      <c r="B101" s="15"/>
      <c r="G101" s="16"/>
      <c r="M101" s="82"/>
      <c r="N101" s="83"/>
      <c r="O101" s="78"/>
      <c r="P101" s="78"/>
      <c r="Q101" s="78"/>
      <c r="S101" s="82"/>
      <c r="T101" s="83"/>
      <c r="U101" s="78"/>
      <c r="V101" s="78"/>
      <c r="W101" s="78"/>
      <c r="Y101" s="82"/>
      <c r="Z101" s="86"/>
      <c r="AA101" s="11"/>
      <c r="AB101" s="92"/>
      <c r="AC101" s="92"/>
    </row>
    <row r="102" spans="1:29" x14ac:dyDescent="0.25">
      <c r="A102" s="14"/>
      <c r="B102" s="15"/>
      <c r="G102" s="16"/>
      <c r="M102" s="82"/>
      <c r="N102" s="83"/>
      <c r="O102" s="78"/>
      <c r="P102" s="78"/>
      <c r="Q102" s="78"/>
      <c r="S102" s="82"/>
      <c r="T102" s="83"/>
      <c r="U102" s="80"/>
      <c r="V102" s="92"/>
      <c r="W102" s="92"/>
      <c r="Y102" s="82"/>
      <c r="Z102" s="86"/>
      <c r="AA102" s="11"/>
      <c r="AB102" s="92"/>
      <c r="AC102" s="95"/>
    </row>
    <row r="103" spans="1:29" x14ac:dyDescent="0.25">
      <c r="A103" s="14"/>
      <c r="B103" s="15"/>
      <c r="G103" s="16"/>
      <c r="M103" s="82"/>
      <c r="N103" s="83"/>
      <c r="O103" s="78"/>
      <c r="P103" s="78"/>
      <c r="Q103" s="78"/>
      <c r="S103" s="82"/>
      <c r="T103" s="83"/>
      <c r="U103" s="80"/>
      <c r="V103" s="92"/>
      <c r="W103" s="92"/>
      <c r="Y103" s="82"/>
      <c r="Z103" s="86"/>
      <c r="AA103" s="11"/>
      <c r="AB103" s="92"/>
      <c r="AC103" s="92"/>
    </row>
    <row r="104" spans="1:29" x14ac:dyDescent="0.25">
      <c r="A104" s="14"/>
      <c r="B104" s="15"/>
      <c r="G104" s="16"/>
      <c r="M104" s="82"/>
      <c r="N104" s="83"/>
      <c r="O104" s="78"/>
      <c r="P104" s="78"/>
      <c r="Q104" s="78"/>
      <c r="S104" s="82"/>
      <c r="T104" s="83"/>
      <c r="U104" s="80"/>
      <c r="V104" s="92"/>
      <c r="W104" s="92"/>
      <c r="Y104" s="82"/>
      <c r="Z104" s="86"/>
      <c r="AA104" s="11"/>
      <c r="AB104" s="92"/>
      <c r="AC104" s="92"/>
    </row>
    <row r="105" spans="1:29" x14ac:dyDescent="0.25">
      <c r="A105" s="14"/>
      <c r="B105" s="15"/>
      <c r="G105" s="16"/>
      <c r="M105" s="82"/>
      <c r="N105" s="83"/>
      <c r="O105" s="78"/>
      <c r="P105" s="78"/>
      <c r="Q105" s="78"/>
      <c r="S105" s="82"/>
      <c r="T105" s="83"/>
      <c r="U105" s="80"/>
      <c r="V105" s="92"/>
      <c r="W105" s="92"/>
      <c r="Y105" s="82"/>
      <c r="Z105" s="86"/>
      <c r="AA105" s="11"/>
      <c r="AB105" s="92"/>
      <c r="AC105" s="92"/>
    </row>
    <row r="106" spans="1:29" x14ac:dyDescent="0.25">
      <c r="A106" s="14"/>
      <c r="B106" s="15"/>
      <c r="G106" s="16"/>
      <c r="M106" s="82"/>
      <c r="N106" s="83"/>
      <c r="O106" s="78"/>
      <c r="P106" s="78"/>
      <c r="Q106" s="78"/>
      <c r="S106" s="82"/>
      <c r="T106" s="83"/>
      <c r="U106" s="80"/>
      <c r="V106" s="92"/>
      <c r="W106" s="92"/>
      <c r="Y106" s="82"/>
      <c r="Z106" s="86"/>
      <c r="AA106" s="17"/>
      <c r="AB106" s="92"/>
      <c r="AC106" s="92"/>
    </row>
    <row r="107" spans="1:29" x14ac:dyDescent="0.25">
      <c r="A107" s="14"/>
      <c r="B107" s="15"/>
      <c r="G107" s="16"/>
      <c r="M107" s="82"/>
      <c r="N107" s="83"/>
      <c r="O107" s="78"/>
      <c r="P107" s="78"/>
      <c r="Q107" s="78"/>
      <c r="S107" s="82"/>
      <c r="T107" s="83"/>
      <c r="U107" s="80"/>
      <c r="V107" s="92"/>
      <c r="W107" s="92"/>
      <c r="Y107" s="10"/>
      <c r="Z107" s="17"/>
      <c r="AA107" s="17"/>
    </row>
    <row r="108" spans="1:29" x14ac:dyDescent="0.25">
      <c r="A108" s="14"/>
      <c r="B108" s="15"/>
      <c r="G108" s="16"/>
      <c r="M108" s="82"/>
      <c r="N108" s="83"/>
      <c r="O108" s="78"/>
      <c r="P108" s="78"/>
      <c r="Q108" s="78"/>
      <c r="S108" s="82"/>
      <c r="T108" s="83"/>
      <c r="U108" s="80"/>
      <c r="V108" s="92"/>
      <c r="W108" s="92"/>
      <c r="Y108" s="10"/>
      <c r="Z108" s="17"/>
      <c r="AA108" s="17"/>
    </row>
    <row r="109" spans="1:29" x14ac:dyDescent="0.25">
      <c r="A109" s="14"/>
      <c r="B109" s="15"/>
      <c r="G109" s="16"/>
      <c r="M109" s="82"/>
      <c r="N109" s="83"/>
      <c r="O109" s="78"/>
      <c r="P109" s="78"/>
      <c r="Q109" s="78"/>
      <c r="S109" s="82"/>
      <c r="T109" s="83"/>
      <c r="U109" s="80"/>
      <c r="V109" s="92"/>
      <c r="W109" s="92"/>
      <c r="Y109" s="10"/>
      <c r="Z109" s="17"/>
      <c r="AA109" s="17"/>
    </row>
    <row r="110" spans="1:29" x14ac:dyDescent="0.25">
      <c r="A110" s="14"/>
      <c r="B110" s="15"/>
      <c r="G110" s="16"/>
      <c r="M110" s="82"/>
      <c r="N110" s="83"/>
      <c r="O110" s="78"/>
      <c r="P110" s="78"/>
      <c r="Q110" s="78"/>
      <c r="S110" s="82"/>
      <c r="T110" s="83"/>
      <c r="U110" s="80"/>
      <c r="V110" s="92"/>
      <c r="W110" s="92"/>
      <c r="Y110" s="10"/>
      <c r="Z110" s="17"/>
      <c r="AA110" s="17"/>
    </row>
    <row r="111" spans="1:29" x14ac:dyDescent="0.25">
      <c r="A111" s="14"/>
      <c r="B111" s="15"/>
      <c r="G111" s="16"/>
      <c r="M111" s="82"/>
      <c r="N111" s="83"/>
      <c r="O111" s="78"/>
      <c r="P111" s="78"/>
      <c r="Q111" s="78"/>
      <c r="S111" s="82"/>
      <c r="T111" s="83"/>
      <c r="U111" s="80"/>
      <c r="V111" s="92"/>
      <c r="W111" s="92"/>
      <c r="Y111" s="10"/>
      <c r="Z111" s="17"/>
      <c r="AA111" s="17"/>
    </row>
    <row r="112" spans="1:29" x14ac:dyDescent="0.25">
      <c r="A112" s="14"/>
      <c r="B112" s="15"/>
      <c r="G112" s="16"/>
      <c r="M112" s="82"/>
      <c r="N112" s="83"/>
      <c r="O112" s="78"/>
      <c r="P112" s="78"/>
      <c r="Q112" s="78"/>
      <c r="S112" s="82"/>
      <c r="T112" s="83"/>
      <c r="U112" s="80"/>
      <c r="V112" s="92"/>
      <c r="W112" s="92"/>
      <c r="Y112" s="10"/>
      <c r="Z112" s="17"/>
      <c r="AA112" s="17"/>
    </row>
    <row r="113" spans="1:27" x14ac:dyDescent="0.25">
      <c r="A113" s="14"/>
      <c r="B113" s="15"/>
      <c r="G113" s="16"/>
      <c r="M113" s="82"/>
      <c r="N113" s="83"/>
      <c r="O113" s="78"/>
      <c r="P113" s="78"/>
      <c r="Q113" s="78"/>
      <c r="S113" s="82"/>
      <c r="T113" s="83"/>
      <c r="U113" s="80"/>
      <c r="V113" s="92"/>
      <c r="W113" s="92"/>
      <c r="Y113" s="10"/>
      <c r="Z113" s="17"/>
      <c r="AA113" s="17"/>
    </row>
    <row r="114" spans="1:27" x14ac:dyDescent="0.25">
      <c r="A114" s="14"/>
      <c r="B114" s="15"/>
      <c r="G114" s="16"/>
      <c r="M114" s="82"/>
      <c r="N114" s="83"/>
      <c r="O114" s="78"/>
      <c r="P114" s="78"/>
      <c r="Q114" s="78"/>
      <c r="S114" s="82"/>
      <c r="T114" s="83"/>
      <c r="U114" s="80"/>
      <c r="V114" s="92"/>
      <c r="W114" s="92"/>
      <c r="Y114" s="10"/>
      <c r="Z114" s="17"/>
      <c r="AA114" s="17"/>
    </row>
    <row r="115" spans="1:27" x14ac:dyDescent="0.25">
      <c r="A115" s="14"/>
      <c r="B115" s="15"/>
      <c r="G115" s="16"/>
      <c r="M115" s="82"/>
      <c r="N115" s="83"/>
      <c r="O115" s="78"/>
      <c r="P115" s="78"/>
      <c r="Q115" s="78"/>
      <c r="S115" s="82"/>
      <c r="T115" s="83"/>
      <c r="U115" s="80"/>
      <c r="V115" s="92"/>
      <c r="W115" s="92"/>
      <c r="Y115" s="10"/>
      <c r="Z115" s="17"/>
      <c r="AA115" s="17"/>
    </row>
    <row r="116" spans="1:27" x14ac:dyDescent="0.25">
      <c r="A116" s="14"/>
      <c r="B116" s="15"/>
      <c r="G116" s="16"/>
      <c r="M116" s="82"/>
      <c r="N116" s="83"/>
      <c r="O116" s="78"/>
      <c r="P116" s="78"/>
      <c r="Q116" s="78"/>
      <c r="S116" s="82"/>
      <c r="T116" s="83"/>
      <c r="U116" s="80"/>
      <c r="V116" s="92"/>
      <c r="W116" s="92"/>
      <c r="Y116" s="10"/>
      <c r="Z116" s="17"/>
      <c r="AA116" s="17"/>
    </row>
    <row r="117" spans="1:27" x14ac:dyDescent="0.25">
      <c r="A117" s="14"/>
      <c r="B117" s="14"/>
      <c r="G117" s="16"/>
      <c r="M117" s="82"/>
      <c r="N117" s="83"/>
      <c r="O117" s="78"/>
      <c r="P117" s="78"/>
      <c r="Q117" s="78"/>
      <c r="S117" s="82"/>
      <c r="T117" s="83"/>
      <c r="U117" s="80"/>
      <c r="V117" s="92"/>
      <c r="W117" s="92"/>
      <c r="Y117" s="10"/>
      <c r="Z117" s="17"/>
      <c r="AA117" s="17"/>
    </row>
    <row r="118" spans="1:27" x14ac:dyDescent="0.25">
      <c r="A118" s="14"/>
      <c r="B118" s="14"/>
      <c r="G118" s="16"/>
      <c r="M118" s="82"/>
      <c r="N118" s="83"/>
      <c r="O118" s="78"/>
      <c r="P118" s="78"/>
      <c r="Q118" s="78"/>
      <c r="S118" s="82"/>
      <c r="T118" s="83"/>
      <c r="U118" s="80"/>
      <c r="V118" s="92"/>
      <c r="W118" s="92"/>
      <c r="Y118" s="10"/>
      <c r="Z118" s="17"/>
      <c r="AA118" s="17"/>
    </row>
    <row r="119" spans="1:27" x14ac:dyDescent="0.25">
      <c r="A119" s="14"/>
      <c r="B119" s="14"/>
      <c r="G119" s="16"/>
      <c r="M119" s="82"/>
      <c r="N119" s="83"/>
      <c r="O119" s="80"/>
      <c r="P119" s="92"/>
      <c r="Q119" s="92"/>
      <c r="S119" s="82"/>
      <c r="T119" s="83"/>
      <c r="U119" s="80"/>
      <c r="V119" s="92"/>
      <c r="W119" s="92"/>
      <c r="Y119" s="10"/>
      <c r="Z119" s="17"/>
      <c r="AA119" s="17"/>
    </row>
    <row r="120" spans="1:27" x14ac:dyDescent="0.25">
      <c r="A120" s="14"/>
      <c r="B120" s="14"/>
      <c r="G120" s="16"/>
      <c r="M120" s="82"/>
      <c r="N120" s="83"/>
      <c r="O120" s="80"/>
      <c r="P120" s="92"/>
      <c r="Q120" s="92"/>
      <c r="S120" s="82"/>
      <c r="T120" s="83"/>
      <c r="U120" s="80"/>
      <c r="V120" s="92"/>
      <c r="W120" s="92"/>
      <c r="Y120" s="10"/>
      <c r="Z120" s="17"/>
      <c r="AA120" s="17"/>
    </row>
    <row r="121" spans="1:27" x14ac:dyDescent="0.25">
      <c r="A121" s="14"/>
      <c r="B121" s="14"/>
      <c r="G121" s="16"/>
      <c r="M121" s="82"/>
      <c r="N121" s="83"/>
      <c r="O121" s="80"/>
      <c r="P121" s="92"/>
      <c r="Q121" s="92"/>
      <c r="S121" s="82"/>
      <c r="T121" s="83"/>
      <c r="U121" s="80"/>
      <c r="V121" s="92"/>
      <c r="W121" s="92"/>
      <c r="Y121" s="10"/>
      <c r="Z121" s="17"/>
      <c r="AA121" s="17"/>
    </row>
    <row r="122" spans="1:27" x14ac:dyDescent="0.25">
      <c r="A122" s="14"/>
      <c r="B122" s="14"/>
      <c r="G122" s="16"/>
      <c r="M122" s="82"/>
      <c r="N122" s="83"/>
      <c r="O122" s="80"/>
      <c r="P122" s="92"/>
      <c r="Q122" s="92"/>
      <c r="S122" s="82"/>
      <c r="T122" s="83"/>
      <c r="U122" s="80"/>
      <c r="V122" s="92"/>
      <c r="W122" s="92"/>
      <c r="Y122" s="10"/>
      <c r="Z122" s="17"/>
      <c r="AA122" s="17"/>
    </row>
    <row r="123" spans="1:27" x14ac:dyDescent="0.25">
      <c r="A123" s="14"/>
      <c r="B123" s="14"/>
      <c r="G123" s="16"/>
      <c r="M123" s="82"/>
      <c r="N123" s="83"/>
      <c r="O123" s="80"/>
      <c r="P123" s="92"/>
      <c r="Q123" s="92"/>
      <c r="S123" s="82"/>
      <c r="T123" s="83"/>
      <c r="U123" s="80"/>
      <c r="V123" s="92"/>
      <c r="W123" s="92"/>
      <c r="Y123" s="10"/>
      <c r="Z123" s="17"/>
      <c r="AA123" s="17"/>
    </row>
    <row r="124" spans="1:27" x14ac:dyDescent="0.25">
      <c r="A124" s="14"/>
      <c r="B124" s="14"/>
      <c r="G124" s="16"/>
      <c r="M124" s="82"/>
      <c r="N124" s="83"/>
      <c r="O124" s="80"/>
      <c r="P124" s="92"/>
      <c r="Q124" s="92"/>
      <c r="S124" s="82"/>
      <c r="T124" s="83"/>
      <c r="U124" s="80"/>
      <c r="V124" s="92"/>
      <c r="W124" s="92"/>
      <c r="Y124" s="10"/>
      <c r="Z124" s="17"/>
      <c r="AA124" s="17"/>
    </row>
    <row r="125" spans="1:27" x14ac:dyDescent="0.25">
      <c r="A125" s="14"/>
      <c r="B125" s="14"/>
      <c r="G125" s="16"/>
      <c r="M125" s="82"/>
      <c r="N125" s="83"/>
      <c r="O125" s="80"/>
      <c r="P125" s="92"/>
      <c r="Q125" s="92"/>
      <c r="S125" s="82"/>
      <c r="T125" s="83"/>
      <c r="U125" s="80"/>
      <c r="V125" s="92"/>
      <c r="W125" s="92"/>
      <c r="Y125" s="10"/>
      <c r="Z125" s="17"/>
      <c r="AA125" s="17"/>
    </row>
    <row r="126" spans="1:27" x14ac:dyDescent="0.25">
      <c r="A126" s="14"/>
      <c r="B126" s="14"/>
      <c r="G126" s="16"/>
      <c r="M126" s="82"/>
      <c r="N126" s="83"/>
      <c r="O126" s="80"/>
      <c r="P126" s="92"/>
      <c r="Q126" s="92"/>
      <c r="S126" s="82"/>
      <c r="T126" s="83"/>
      <c r="U126" s="80"/>
      <c r="V126" s="92"/>
      <c r="W126" s="92"/>
      <c r="Y126" s="10"/>
      <c r="Z126" s="17"/>
      <c r="AA126" s="17"/>
    </row>
    <row r="127" spans="1:27" x14ac:dyDescent="0.25">
      <c r="A127" s="14"/>
      <c r="B127" s="14"/>
      <c r="G127" s="16"/>
      <c r="M127" s="82"/>
      <c r="N127" s="83"/>
      <c r="O127" s="80"/>
      <c r="P127" s="92"/>
      <c r="Q127" s="92"/>
      <c r="S127" s="82"/>
      <c r="T127" s="83"/>
      <c r="U127" s="80"/>
      <c r="V127" s="92"/>
      <c r="W127" s="92"/>
      <c r="Y127" s="10"/>
      <c r="Z127" s="17"/>
      <c r="AA127" s="17"/>
    </row>
    <row r="128" spans="1:27" x14ac:dyDescent="0.25">
      <c r="A128" s="14"/>
      <c r="B128" s="14"/>
      <c r="G128" s="16"/>
      <c r="M128" s="82"/>
      <c r="N128" s="83"/>
      <c r="O128" s="80"/>
      <c r="P128" s="92"/>
      <c r="Q128" s="92"/>
      <c r="S128" s="82"/>
      <c r="T128" s="83"/>
      <c r="U128" s="80"/>
      <c r="V128" s="92"/>
      <c r="W128" s="92"/>
      <c r="Y128" s="10"/>
      <c r="Z128" s="17"/>
      <c r="AA128" s="17"/>
    </row>
    <row r="129" spans="1:27" x14ac:dyDescent="0.25">
      <c r="A129" s="14"/>
      <c r="B129" s="14"/>
      <c r="G129" s="16"/>
      <c r="M129" s="82"/>
      <c r="N129" s="83"/>
      <c r="O129" s="80"/>
      <c r="P129" s="92"/>
      <c r="Q129" s="92"/>
      <c r="S129" s="82"/>
      <c r="T129" s="83"/>
      <c r="U129" s="80"/>
      <c r="V129" s="92"/>
      <c r="W129" s="92"/>
      <c r="Y129" s="10"/>
      <c r="Z129" s="17"/>
      <c r="AA129" s="17"/>
    </row>
    <row r="130" spans="1:27" x14ac:dyDescent="0.25">
      <c r="A130" s="14"/>
      <c r="B130" s="14"/>
      <c r="G130" s="16"/>
      <c r="M130" s="82"/>
      <c r="N130" s="83"/>
      <c r="O130" s="80"/>
      <c r="P130" s="92"/>
      <c r="Q130" s="92"/>
      <c r="S130" s="82"/>
      <c r="T130" s="83"/>
      <c r="U130" s="80"/>
      <c r="V130" s="92"/>
      <c r="W130" s="92"/>
      <c r="Y130" s="10"/>
      <c r="Z130" s="17"/>
      <c r="AA130" s="17"/>
    </row>
    <row r="131" spans="1:27" x14ac:dyDescent="0.25">
      <c r="A131" s="14"/>
      <c r="B131" s="14"/>
      <c r="G131" s="16"/>
      <c r="M131" s="82"/>
      <c r="N131" s="83"/>
      <c r="O131" s="80"/>
      <c r="P131" s="92"/>
      <c r="Q131" s="92"/>
      <c r="S131" s="82"/>
      <c r="T131" s="83"/>
      <c r="U131" s="80"/>
      <c r="V131" s="92"/>
      <c r="W131" s="92"/>
      <c r="Y131" s="10"/>
      <c r="Z131" s="17"/>
      <c r="AA131" s="17"/>
    </row>
    <row r="132" spans="1:27" x14ac:dyDescent="0.25">
      <c r="A132" s="14"/>
      <c r="B132" s="14"/>
      <c r="G132" s="16"/>
      <c r="M132" s="82"/>
      <c r="N132" s="83"/>
      <c r="O132" s="80"/>
      <c r="P132" s="92"/>
      <c r="Q132" s="92"/>
      <c r="S132" s="82"/>
      <c r="T132" s="83"/>
      <c r="U132" s="80"/>
      <c r="V132" s="92"/>
      <c r="W132" s="92"/>
      <c r="Y132" s="10"/>
      <c r="Z132" s="17"/>
      <c r="AA132" s="17"/>
    </row>
    <row r="133" spans="1:27" x14ac:dyDescent="0.25">
      <c r="A133" s="14"/>
      <c r="B133" s="14"/>
      <c r="G133" s="16"/>
      <c r="M133" s="82"/>
      <c r="N133" s="83"/>
      <c r="O133" s="80"/>
      <c r="P133" s="92"/>
      <c r="Q133" s="92"/>
      <c r="S133" s="82"/>
      <c r="T133" s="83"/>
      <c r="U133" s="80"/>
      <c r="V133" s="92"/>
      <c r="W133" s="92"/>
      <c r="Y133" s="10"/>
      <c r="Z133" s="17"/>
      <c r="AA133" s="17"/>
    </row>
    <row r="134" spans="1:27" x14ac:dyDescent="0.25">
      <c r="A134" s="14"/>
      <c r="B134" s="14"/>
      <c r="G134" s="16"/>
      <c r="M134" s="82"/>
      <c r="N134" s="83"/>
      <c r="O134" s="80"/>
      <c r="P134" s="92"/>
      <c r="Q134" s="92"/>
      <c r="S134" s="82"/>
      <c r="T134" s="83"/>
      <c r="U134" s="80"/>
      <c r="V134" s="92"/>
      <c r="W134" s="92"/>
      <c r="Y134" s="10"/>
      <c r="Z134" s="17"/>
      <c r="AA134" s="17"/>
    </row>
    <row r="135" spans="1:27" x14ac:dyDescent="0.25">
      <c r="A135" s="14"/>
      <c r="B135" s="14"/>
      <c r="G135" s="16"/>
      <c r="M135" s="82"/>
      <c r="N135" s="83"/>
      <c r="O135" s="80"/>
      <c r="P135" s="92"/>
      <c r="Q135" s="92"/>
      <c r="S135" s="82"/>
      <c r="T135" s="83"/>
      <c r="U135" s="80"/>
      <c r="V135" s="92"/>
      <c r="W135" s="92"/>
      <c r="Y135" s="10"/>
      <c r="Z135" s="17"/>
      <c r="AA135" s="17"/>
    </row>
    <row r="136" spans="1:27" x14ac:dyDescent="0.25">
      <c r="A136" s="14"/>
      <c r="B136" s="14"/>
      <c r="G136" s="16"/>
      <c r="M136" s="82"/>
      <c r="N136" s="83"/>
      <c r="O136" s="80"/>
      <c r="P136" s="92"/>
      <c r="Q136" s="92"/>
      <c r="S136" s="82"/>
      <c r="T136" s="83"/>
      <c r="U136" s="80"/>
      <c r="V136" s="92"/>
      <c r="W136" s="92"/>
      <c r="Y136" s="10"/>
      <c r="Z136" s="17"/>
      <c r="AA136" s="17"/>
    </row>
    <row r="137" spans="1:27" x14ac:dyDescent="0.25">
      <c r="A137" s="14"/>
      <c r="B137" s="14"/>
      <c r="G137" s="16"/>
      <c r="M137" s="82"/>
      <c r="N137" s="83"/>
      <c r="O137" s="80"/>
      <c r="P137" s="92"/>
      <c r="Q137" s="92"/>
      <c r="S137" s="82"/>
      <c r="T137" s="83"/>
      <c r="U137" s="80"/>
      <c r="V137" s="92"/>
      <c r="W137" s="92"/>
      <c r="Y137" s="10"/>
      <c r="Z137" s="17"/>
      <c r="AA137" s="17"/>
    </row>
    <row r="138" spans="1:27" x14ac:dyDescent="0.25">
      <c r="A138" s="14"/>
      <c r="B138" s="14"/>
      <c r="G138" s="16"/>
      <c r="M138" s="82"/>
      <c r="N138" s="83"/>
      <c r="O138" s="80"/>
      <c r="P138" s="92"/>
      <c r="Q138" s="92"/>
      <c r="S138" s="82"/>
      <c r="T138" s="83"/>
      <c r="U138" s="80"/>
      <c r="V138" s="92"/>
      <c r="W138" s="92"/>
      <c r="Y138" s="10"/>
      <c r="Z138" s="17"/>
      <c r="AA138" s="17"/>
    </row>
    <row r="139" spans="1:27" x14ac:dyDescent="0.25">
      <c r="A139" s="14"/>
      <c r="B139" s="14"/>
      <c r="G139" s="16"/>
      <c r="M139" s="82"/>
      <c r="N139" s="83"/>
      <c r="O139" s="80"/>
      <c r="P139" s="92"/>
      <c r="Q139" s="92"/>
      <c r="S139" s="82"/>
      <c r="T139" s="83"/>
      <c r="U139" s="80"/>
      <c r="V139" s="92"/>
      <c r="W139" s="92"/>
      <c r="Y139" s="10"/>
      <c r="Z139" s="17"/>
      <c r="AA139" s="17"/>
    </row>
    <row r="140" spans="1:27" x14ac:dyDescent="0.25">
      <c r="A140" s="14"/>
      <c r="B140" s="14"/>
      <c r="G140" s="16"/>
      <c r="M140" s="82"/>
      <c r="N140" s="83"/>
      <c r="O140" s="80"/>
      <c r="P140" s="92"/>
      <c r="Q140" s="92"/>
      <c r="S140" s="82"/>
      <c r="T140" s="83"/>
      <c r="U140" s="80"/>
      <c r="V140" s="92"/>
      <c r="W140" s="92"/>
      <c r="Y140" s="10"/>
      <c r="Z140" s="17"/>
      <c r="AA140" s="17"/>
    </row>
    <row r="141" spans="1:27" x14ac:dyDescent="0.25">
      <c r="A141" s="14"/>
      <c r="B141" s="14"/>
      <c r="G141" s="16"/>
      <c r="M141" s="82"/>
      <c r="N141" s="83"/>
      <c r="O141" s="80"/>
      <c r="P141" s="92"/>
      <c r="Q141" s="92"/>
      <c r="S141" s="82"/>
      <c r="T141" s="83"/>
      <c r="U141" s="80"/>
      <c r="V141" s="92"/>
      <c r="W141" s="92"/>
      <c r="Y141" s="10"/>
      <c r="Z141" s="17"/>
      <c r="AA141" s="17"/>
    </row>
    <row r="142" spans="1:27" x14ac:dyDescent="0.25">
      <c r="A142" s="14"/>
      <c r="B142" s="14"/>
      <c r="G142" s="16"/>
      <c r="M142" s="82"/>
      <c r="N142" s="83"/>
      <c r="O142" s="80"/>
      <c r="P142" s="92"/>
      <c r="Q142" s="92"/>
      <c r="S142" s="82"/>
      <c r="T142" s="83"/>
      <c r="U142" s="80"/>
      <c r="V142" s="92"/>
      <c r="W142" s="92"/>
      <c r="Y142" s="10"/>
      <c r="Z142" s="17"/>
      <c r="AA142" s="17"/>
    </row>
    <row r="143" spans="1:27" x14ac:dyDescent="0.25">
      <c r="A143" s="14"/>
      <c r="B143" s="14"/>
      <c r="G143" s="16"/>
      <c r="M143" s="82"/>
      <c r="N143" s="83"/>
      <c r="O143" s="80"/>
      <c r="P143" s="92"/>
      <c r="Q143" s="92"/>
      <c r="S143" s="82"/>
      <c r="T143" s="83"/>
      <c r="U143" s="80"/>
      <c r="V143" s="92"/>
      <c r="W143" s="92"/>
      <c r="Y143" s="10"/>
      <c r="Z143" s="17"/>
      <c r="AA143" s="17"/>
    </row>
    <row r="144" spans="1:27" x14ac:dyDescent="0.25">
      <c r="A144" s="14"/>
      <c r="B144" s="14"/>
      <c r="G144" s="16"/>
      <c r="M144" s="82"/>
      <c r="N144" s="83"/>
      <c r="O144" s="80"/>
      <c r="P144" s="92"/>
      <c r="Q144" s="92"/>
      <c r="S144" s="82"/>
      <c r="T144" s="83"/>
      <c r="U144" s="80"/>
      <c r="V144" s="92"/>
      <c r="W144" s="92"/>
      <c r="Y144" s="10"/>
      <c r="Z144" s="17"/>
      <c r="AA144" s="17"/>
    </row>
    <row r="145" spans="1:27" x14ac:dyDescent="0.25">
      <c r="A145" s="14"/>
      <c r="B145" s="14"/>
      <c r="G145" s="16"/>
      <c r="M145" s="82"/>
      <c r="N145" s="83"/>
      <c r="O145" s="80"/>
      <c r="P145" s="92"/>
      <c r="Q145" s="92"/>
      <c r="S145" s="82"/>
      <c r="T145" s="83"/>
      <c r="U145" s="80"/>
      <c r="V145" s="92"/>
      <c r="W145" s="92"/>
      <c r="Y145" s="10"/>
      <c r="Z145" s="17"/>
      <c r="AA145" s="17"/>
    </row>
    <row r="146" spans="1:27" x14ac:dyDescent="0.25">
      <c r="A146" s="14"/>
      <c r="B146" s="14"/>
      <c r="G146" s="15"/>
      <c r="M146" s="82"/>
      <c r="N146" s="83"/>
      <c r="O146" s="80"/>
      <c r="P146" s="92"/>
      <c r="Q146" s="92"/>
      <c r="S146" s="82"/>
      <c r="T146" s="83"/>
      <c r="U146" s="80"/>
      <c r="V146" s="92"/>
      <c r="W146" s="92"/>
      <c r="Y146" s="10"/>
      <c r="Z146" s="17"/>
      <c r="AA146" s="17"/>
    </row>
    <row r="147" spans="1:27" x14ac:dyDescent="0.25">
      <c r="A147" s="14"/>
      <c r="B147" s="14"/>
      <c r="G147" s="15"/>
      <c r="M147" s="82"/>
      <c r="N147" s="83"/>
      <c r="O147" s="80"/>
      <c r="P147" s="92"/>
      <c r="Q147" s="92"/>
      <c r="S147" s="82"/>
      <c r="T147" s="83"/>
      <c r="U147" s="80"/>
      <c r="V147" s="92"/>
      <c r="W147" s="92"/>
      <c r="Y147" s="10"/>
      <c r="Z147" s="17"/>
      <c r="AA147" s="17"/>
    </row>
    <row r="148" spans="1:27" x14ac:dyDescent="0.25">
      <c r="A148" s="14"/>
      <c r="B148" s="14"/>
      <c r="G148" s="15"/>
      <c r="M148" s="82"/>
      <c r="N148" s="83"/>
      <c r="O148" s="80"/>
      <c r="P148" s="92"/>
      <c r="Q148" s="92"/>
      <c r="S148" s="82"/>
      <c r="T148" s="83"/>
      <c r="U148" s="80"/>
      <c r="V148" s="92"/>
      <c r="W148" s="92"/>
      <c r="Y148" s="10"/>
      <c r="Z148" s="17"/>
      <c r="AA148" s="17"/>
    </row>
    <row r="149" spans="1:27" x14ac:dyDescent="0.25">
      <c r="A149" s="14"/>
      <c r="B149" s="14"/>
      <c r="G149" s="15"/>
      <c r="M149" s="82"/>
      <c r="N149" s="83"/>
      <c r="O149" s="80"/>
      <c r="P149" s="92"/>
      <c r="Q149" s="92"/>
      <c r="S149" s="82"/>
      <c r="T149" s="83"/>
      <c r="U149" s="80"/>
      <c r="V149" s="92"/>
      <c r="W149" s="92"/>
      <c r="Y149" s="10"/>
      <c r="Z149" s="17"/>
      <c r="AA149" s="17"/>
    </row>
    <row r="150" spans="1:27" x14ac:dyDescent="0.25">
      <c r="A150" s="14"/>
      <c r="B150" s="14"/>
      <c r="G150" s="15"/>
      <c r="M150" s="82"/>
      <c r="N150" s="83"/>
      <c r="O150" s="80"/>
      <c r="P150" s="92"/>
      <c r="Q150" s="92"/>
      <c r="S150" s="82"/>
      <c r="T150" s="83"/>
      <c r="U150" s="80"/>
      <c r="V150" s="92"/>
      <c r="W150" s="92"/>
      <c r="Y150" s="10"/>
      <c r="Z150" s="17"/>
      <c r="AA150" s="17"/>
    </row>
    <row r="151" spans="1:27" x14ac:dyDescent="0.25">
      <c r="A151" s="14"/>
      <c r="B151" s="14"/>
      <c r="G151" s="15"/>
      <c r="M151" s="82"/>
      <c r="N151" s="83"/>
      <c r="O151" s="80"/>
      <c r="P151" s="92"/>
      <c r="Q151" s="92"/>
      <c r="S151" s="82"/>
      <c r="T151" s="83"/>
      <c r="U151" s="80"/>
      <c r="V151" s="92"/>
      <c r="W151" s="92"/>
      <c r="Y151" s="10"/>
      <c r="Z151" s="17"/>
      <c r="AA151" s="17"/>
    </row>
    <row r="152" spans="1:27" x14ac:dyDescent="0.25">
      <c r="A152" s="14"/>
      <c r="B152" s="14"/>
      <c r="G152" s="15"/>
      <c r="M152" s="82"/>
      <c r="N152" s="83"/>
      <c r="O152" s="80"/>
      <c r="P152" s="92"/>
      <c r="Q152" s="92"/>
      <c r="S152" s="82"/>
      <c r="T152" s="83"/>
      <c r="U152" s="80"/>
      <c r="V152" s="92"/>
      <c r="W152" s="92"/>
      <c r="Y152" s="10"/>
      <c r="Z152" s="17"/>
      <c r="AA152" s="17"/>
    </row>
    <row r="153" spans="1:27" x14ac:dyDescent="0.25">
      <c r="A153" s="14"/>
      <c r="B153" s="14"/>
      <c r="G153" s="15"/>
      <c r="M153" s="82"/>
      <c r="N153" s="83"/>
      <c r="O153" s="80"/>
      <c r="P153" s="92"/>
      <c r="Q153" s="92"/>
      <c r="S153" s="82"/>
      <c r="T153" s="83"/>
      <c r="U153" s="80"/>
      <c r="V153" s="92"/>
      <c r="W153" s="92"/>
      <c r="Y153" s="10"/>
      <c r="Z153" s="17"/>
      <c r="AA153" s="17"/>
    </row>
    <row r="154" spans="1:27" x14ac:dyDescent="0.25">
      <c r="A154" s="14"/>
      <c r="B154" s="14"/>
      <c r="G154" s="15"/>
      <c r="M154" s="82"/>
      <c r="N154" s="83"/>
      <c r="O154" s="80"/>
      <c r="P154" s="92"/>
      <c r="Q154" s="92"/>
      <c r="S154" s="82"/>
      <c r="T154" s="83"/>
      <c r="U154" s="80"/>
      <c r="V154" s="92"/>
      <c r="W154" s="92"/>
      <c r="Y154" s="10"/>
      <c r="Z154" s="17"/>
      <c r="AA154" s="17"/>
    </row>
    <row r="155" spans="1:27" x14ac:dyDescent="0.25">
      <c r="A155" s="14"/>
      <c r="B155" s="14"/>
      <c r="G155" s="15"/>
      <c r="M155" s="82"/>
      <c r="N155" s="83"/>
      <c r="O155" s="80"/>
      <c r="P155" s="92"/>
      <c r="Q155" s="92"/>
      <c r="S155" s="82"/>
      <c r="T155" s="83"/>
      <c r="U155" s="80"/>
      <c r="V155" s="92"/>
      <c r="W155" s="92"/>
      <c r="Y155" s="10"/>
      <c r="Z155" s="17"/>
      <c r="AA155" s="17"/>
    </row>
    <row r="156" spans="1:27" x14ac:dyDescent="0.25">
      <c r="A156" s="14"/>
      <c r="B156" s="14"/>
      <c r="G156" s="15"/>
      <c r="M156" s="82"/>
      <c r="N156" s="83"/>
      <c r="O156" s="80"/>
      <c r="P156" s="92"/>
      <c r="Q156" s="92"/>
      <c r="S156" s="82"/>
      <c r="T156" s="83"/>
      <c r="U156" s="80"/>
      <c r="V156" s="92"/>
      <c r="W156" s="92"/>
      <c r="Y156" s="10"/>
      <c r="Z156" s="17"/>
      <c r="AA156" s="17"/>
    </row>
    <row r="157" spans="1:27" x14ac:dyDescent="0.25">
      <c r="A157" s="14"/>
      <c r="B157" s="14"/>
      <c r="G157" s="15"/>
      <c r="M157" s="82"/>
      <c r="N157" s="83"/>
      <c r="O157" s="80"/>
      <c r="P157" s="92"/>
      <c r="Q157" s="92"/>
      <c r="S157" s="82"/>
      <c r="T157" s="83"/>
      <c r="U157" s="80"/>
      <c r="V157" s="92"/>
      <c r="W157" s="92"/>
      <c r="Y157" s="10"/>
      <c r="Z157" s="17"/>
      <c r="AA157" s="17"/>
    </row>
    <row r="158" spans="1:27" x14ac:dyDescent="0.25">
      <c r="A158" s="14"/>
      <c r="B158" s="14"/>
      <c r="G158" s="15"/>
      <c r="M158" s="82"/>
      <c r="N158" s="83"/>
      <c r="O158" s="80"/>
      <c r="P158" s="92"/>
      <c r="Q158" s="92"/>
      <c r="S158" s="82"/>
      <c r="T158" s="83"/>
      <c r="U158" s="80"/>
      <c r="V158" s="92"/>
      <c r="W158" s="92"/>
      <c r="Y158" s="10"/>
      <c r="Z158" s="17"/>
      <c r="AA158" s="17"/>
    </row>
    <row r="159" spans="1:27" x14ac:dyDescent="0.25">
      <c r="A159" s="14"/>
      <c r="B159" s="14"/>
      <c r="G159" s="15"/>
      <c r="M159" s="82"/>
      <c r="N159" s="83"/>
      <c r="O159" s="80"/>
      <c r="P159" s="92"/>
      <c r="Q159" s="92"/>
      <c r="S159" s="82"/>
      <c r="T159" s="83"/>
      <c r="U159" s="80"/>
      <c r="V159" s="92"/>
      <c r="W159" s="92"/>
      <c r="Y159" s="10"/>
      <c r="Z159" s="17"/>
      <c r="AA159" s="17"/>
    </row>
    <row r="160" spans="1:27" x14ac:dyDescent="0.25">
      <c r="A160" s="14"/>
      <c r="B160" s="14"/>
      <c r="G160" s="15"/>
      <c r="M160" s="82"/>
      <c r="N160" s="83"/>
      <c r="O160" s="80"/>
      <c r="P160" s="92"/>
      <c r="Q160" s="92"/>
      <c r="S160" s="82"/>
      <c r="T160" s="83"/>
      <c r="U160" s="80"/>
      <c r="V160" s="92"/>
      <c r="W160" s="92"/>
      <c r="Y160" s="10"/>
      <c r="Z160" s="17"/>
      <c r="AA160" s="17"/>
    </row>
    <row r="161" spans="1:27" x14ac:dyDescent="0.25">
      <c r="A161" s="14"/>
      <c r="B161" s="14"/>
      <c r="G161" s="15"/>
      <c r="M161" s="82"/>
      <c r="N161" s="83"/>
      <c r="O161" s="80"/>
      <c r="P161" s="92"/>
      <c r="Q161" s="92"/>
      <c r="S161" s="82"/>
      <c r="T161" s="83"/>
      <c r="U161" s="80"/>
      <c r="V161" s="92"/>
      <c r="W161" s="92"/>
      <c r="Y161" s="10"/>
      <c r="Z161" s="17"/>
      <c r="AA161" s="17"/>
    </row>
    <row r="162" spans="1:27" x14ac:dyDescent="0.25">
      <c r="A162" s="14"/>
      <c r="B162" s="14"/>
      <c r="G162" s="15"/>
      <c r="M162" s="82"/>
      <c r="N162" s="83"/>
      <c r="O162" s="80"/>
      <c r="P162" s="92"/>
      <c r="Q162" s="92"/>
      <c r="S162" s="82"/>
      <c r="T162" s="83"/>
      <c r="U162" s="80"/>
      <c r="V162" s="92"/>
      <c r="W162" s="92"/>
      <c r="Y162" s="10"/>
      <c r="Z162" s="17"/>
      <c r="AA162" s="17"/>
    </row>
    <row r="163" spans="1:27" x14ac:dyDescent="0.25">
      <c r="A163" s="14"/>
      <c r="B163" s="14"/>
      <c r="G163" s="15"/>
      <c r="M163" s="82"/>
      <c r="N163" s="83"/>
      <c r="O163" s="80"/>
      <c r="P163" s="92"/>
      <c r="Q163" s="92"/>
      <c r="S163" s="82"/>
      <c r="T163" s="83"/>
      <c r="U163" s="80"/>
      <c r="V163" s="92"/>
      <c r="W163" s="92"/>
      <c r="Y163" s="10"/>
      <c r="Z163" s="17"/>
      <c r="AA163" s="17"/>
    </row>
    <row r="164" spans="1:27" x14ac:dyDescent="0.25">
      <c r="A164" s="14"/>
      <c r="B164" s="14"/>
      <c r="G164" s="15"/>
      <c r="M164" s="82"/>
      <c r="N164" s="83"/>
      <c r="O164" s="80"/>
      <c r="P164" s="92"/>
      <c r="Q164" s="92"/>
      <c r="S164" s="82"/>
      <c r="T164" s="83"/>
      <c r="U164" s="80"/>
      <c r="V164" s="92"/>
      <c r="W164" s="92"/>
      <c r="Y164" s="10"/>
      <c r="Z164" s="17"/>
      <c r="AA164" s="17"/>
    </row>
    <row r="165" spans="1:27" x14ac:dyDescent="0.25">
      <c r="B165" s="14"/>
      <c r="M165" s="82"/>
      <c r="N165" s="83"/>
      <c r="O165" s="80"/>
      <c r="P165" s="92"/>
      <c r="Q165" s="92"/>
      <c r="S165" s="82"/>
      <c r="T165" s="83"/>
      <c r="U165" s="80"/>
      <c r="V165" s="92"/>
      <c r="W165" s="92"/>
      <c r="Y165" s="10"/>
      <c r="Z165" s="17"/>
      <c r="AA165" s="17"/>
    </row>
    <row r="166" spans="1:27" x14ac:dyDescent="0.25">
      <c r="B166" s="14"/>
      <c r="M166" s="82"/>
      <c r="N166" s="83"/>
      <c r="O166" s="80"/>
      <c r="P166" s="92"/>
      <c r="Q166" s="92"/>
      <c r="S166" s="82"/>
      <c r="T166" s="83"/>
      <c r="U166" s="80"/>
      <c r="V166" s="92"/>
      <c r="W166" s="92"/>
      <c r="Y166" s="10"/>
      <c r="Z166" s="17"/>
      <c r="AA166" s="17"/>
    </row>
    <row r="167" spans="1:27" x14ac:dyDescent="0.25">
      <c r="B167" s="14"/>
      <c r="M167" s="82"/>
      <c r="N167" s="83"/>
      <c r="O167" s="80"/>
      <c r="P167" s="92"/>
      <c r="Q167" s="92"/>
      <c r="S167" s="82"/>
      <c r="T167" s="83"/>
      <c r="U167" s="80"/>
      <c r="V167" s="92"/>
      <c r="W167" s="92"/>
      <c r="Y167" s="10"/>
      <c r="Z167" s="17"/>
      <c r="AA167" s="17"/>
    </row>
    <row r="168" spans="1:27" x14ac:dyDescent="0.25">
      <c r="B168" s="14"/>
      <c r="M168" s="82"/>
      <c r="N168" s="83"/>
      <c r="O168" s="80"/>
      <c r="P168" s="92"/>
      <c r="Q168" s="92"/>
      <c r="S168" s="82"/>
      <c r="T168" s="83"/>
      <c r="U168" s="80"/>
      <c r="V168" s="92"/>
      <c r="W168" s="92"/>
      <c r="Y168" s="10"/>
      <c r="Z168" s="17"/>
      <c r="AA168" s="17"/>
    </row>
    <row r="169" spans="1:27" x14ac:dyDescent="0.25">
      <c r="B169" s="14"/>
      <c r="M169" s="82"/>
      <c r="N169" s="83"/>
      <c r="O169" s="80"/>
      <c r="P169" s="92"/>
      <c r="Q169" s="92"/>
      <c r="S169" s="82"/>
      <c r="T169" s="83"/>
      <c r="U169" s="80"/>
      <c r="V169" s="92"/>
      <c r="W169" s="92"/>
      <c r="Y169" s="10"/>
      <c r="Z169" s="17"/>
      <c r="AA169" s="17"/>
    </row>
    <row r="170" spans="1:27" x14ac:dyDescent="0.25">
      <c r="B170" s="14"/>
      <c r="M170" s="82"/>
      <c r="N170" s="83"/>
      <c r="O170" s="80"/>
      <c r="P170" s="92"/>
      <c r="Q170" s="92"/>
      <c r="S170" s="82"/>
      <c r="T170" s="83"/>
      <c r="U170" s="80"/>
      <c r="V170" s="92"/>
      <c r="W170" s="92"/>
      <c r="Y170" s="10"/>
      <c r="Z170" s="17"/>
      <c r="AA170" s="17"/>
    </row>
    <row r="171" spans="1:27" x14ac:dyDescent="0.25">
      <c r="B171" s="14"/>
      <c r="M171" s="82"/>
      <c r="N171" s="83"/>
      <c r="O171" s="80"/>
      <c r="P171" s="92"/>
      <c r="Q171" s="92"/>
      <c r="S171" s="82"/>
      <c r="T171" s="83"/>
      <c r="U171" s="80"/>
      <c r="V171" s="92"/>
      <c r="W171" s="92"/>
      <c r="Y171" s="10"/>
      <c r="Z171" s="17"/>
      <c r="AA171" s="17"/>
    </row>
    <row r="172" spans="1:27" x14ac:dyDescent="0.25">
      <c r="B172" s="14"/>
      <c r="M172" s="82"/>
      <c r="N172" s="83"/>
      <c r="O172" s="80"/>
      <c r="P172" s="92"/>
      <c r="Q172" s="92"/>
      <c r="S172" s="82"/>
      <c r="T172" s="83"/>
      <c r="U172" s="80"/>
      <c r="V172" s="92"/>
      <c r="W172" s="92"/>
      <c r="Y172" s="10"/>
      <c r="Z172" s="17"/>
      <c r="AA172" s="17"/>
    </row>
    <row r="173" spans="1:27" x14ac:dyDescent="0.25">
      <c r="B173" s="14"/>
      <c r="M173" s="82"/>
      <c r="N173" s="83"/>
      <c r="O173" s="80"/>
      <c r="P173" s="92"/>
      <c r="Q173" s="92"/>
      <c r="S173" s="82"/>
      <c r="T173" s="83"/>
      <c r="U173" s="80"/>
      <c r="V173" s="92"/>
      <c r="W173" s="92"/>
      <c r="Y173" s="10"/>
      <c r="Z173" s="17"/>
      <c r="AA173" s="17"/>
    </row>
    <row r="174" spans="1:27" x14ac:dyDescent="0.25">
      <c r="B174" s="14"/>
      <c r="M174" s="82"/>
      <c r="N174" s="83"/>
      <c r="O174" s="80"/>
      <c r="P174" s="92"/>
      <c r="Q174" s="92"/>
      <c r="S174" s="82"/>
      <c r="T174" s="83"/>
      <c r="U174" s="80"/>
      <c r="V174" s="92"/>
      <c r="W174" s="92"/>
      <c r="Y174" s="10"/>
      <c r="Z174" s="17"/>
      <c r="AA174" s="17"/>
    </row>
    <row r="175" spans="1:27" x14ac:dyDescent="0.25">
      <c r="B175" s="14"/>
      <c r="M175" s="82"/>
      <c r="N175" s="83"/>
      <c r="O175" s="80"/>
      <c r="P175" s="92"/>
      <c r="Q175" s="92"/>
      <c r="S175" s="82"/>
      <c r="T175" s="83"/>
      <c r="U175" s="80"/>
      <c r="V175" s="92"/>
      <c r="W175" s="92"/>
      <c r="Y175" s="10"/>
      <c r="Z175" s="17"/>
      <c r="AA175" s="17"/>
    </row>
    <row r="176" spans="1:27" x14ac:dyDescent="0.25">
      <c r="B176" s="14"/>
      <c r="M176" s="82"/>
      <c r="N176" s="83"/>
      <c r="O176" s="80"/>
      <c r="P176" s="92"/>
      <c r="Q176" s="92"/>
      <c r="S176" s="82"/>
      <c r="T176" s="83"/>
      <c r="U176" s="80"/>
      <c r="V176" s="92"/>
      <c r="W176" s="92"/>
      <c r="Y176" s="10"/>
      <c r="Z176" s="17"/>
      <c r="AA176" s="17"/>
    </row>
    <row r="177" spans="2:27" x14ac:dyDescent="0.25">
      <c r="B177" s="14"/>
      <c r="M177" s="82"/>
      <c r="N177" s="83"/>
      <c r="O177" s="80"/>
      <c r="P177" s="92"/>
      <c r="Q177" s="92"/>
      <c r="S177" s="82"/>
      <c r="T177" s="83"/>
      <c r="U177" s="80"/>
      <c r="V177" s="92"/>
      <c r="W177" s="92"/>
      <c r="Y177" s="10"/>
      <c r="Z177" s="17"/>
      <c r="AA177" s="17"/>
    </row>
    <row r="178" spans="2:27" x14ac:dyDescent="0.25">
      <c r="B178" s="14"/>
      <c r="M178" s="82"/>
      <c r="N178" s="83"/>
      <c r="O178" s="80"/>
      <c r="P178" s="92"/>
      <c r="Q178" s="92"/>
      <c r="S178" s="82"/>
      <c r="T178" s="83"/>
      <c r="U178" s="80"/>
      <c r="V178" s="92"/>
      <c r="W178" s="92"/>
      <c r="Y178" s="10"/>
      <c r="Z178" s="17"/>
      <c r="AA178" s="17"/>
    </row>
    <row r="179" spans="2:27" x14ac:dyDescent="0.25">
      <c r="B179" s="14"/>
      <c r="M179" s="82"/>
      <c r="N179" s="83"/>
      <c r="O179" s="80"/>
      <c r="P179" s="92"/>
      <c r="Q179" s="92"/>
      <c r="S179" s="82"/>
      <c r="T179" s="83"/>
      <c r="U179" s="80"/>
      <c r="V179" s="92"/>
      <c r="W179" s="92"/>
      <c r="Y179" s="10"/>
      <c r="Z179" s="17"/>
      <c r="AA179" s="17"/>
    </row>
    <row r="180" spans="2:27" x14ac:dyDescent="0.25">
      <c r="B180" s="14"/>
      <c r="M180" s="82"/>
      <c r="N180" s="83"/>
      <c r="O180" s="80"/>
      <c r="P180" s="92"/>
      <c r="Q180" s="92"/>
      <c r="S180" s="82"/>
      <c r="T180" s="83"/>
      <c r="U180" s="80"/>
      <c r="V180" s="92"/>
      <c r="W180" s="92"/>
      <c r="Y180" s="10"/>
      <c r="Z180" s="17"/>
      <c r="AA180" s="17"/>
    </row>
    <row r="181" spans="2:27" x14ac:dyDescent="0.25">
      <c r="B181" s="14"/>
      <c r="M181" s="82"/>
      <c r="N181" s="83"/>
      <c r="O181" s="80"/>
      <c r="P181" s="92"/>
      <c r="Q181" s="92"/>
      <c r="S181" s="82"/>
      <c r="T181" s="83"/>
      <c r="U181" s="80"/>
      <c r="V181" s="92"/>
      <c r="W181" s="92"/>
      <c r="Y181" s="10"/>
      <c r="Z181" s="17"/>
      <c r="AA181" s="17"/>
    </row>
    <row r="182" spans="2:27" x14ac:dyDescent="0.25">
      <c r="B182" s="14"/>
      <c r="M182" s="82"/>
      <c r="N182" s="83"/>
      <c r="O182" s="80"/>
      <c r="P182" s="92"/>
      <c r="Q182" s="92"/>
      <c r="S182" s="82"/>
      <c r="T182" s="83"/>
      <c r="U182" s="80"/>
      <c r="V182" s="92"/>
      <c r="W182" s="92"/>
      <c r="Y182" s="10"/>
      <c r="Z182" s="17"/>
      <c r="AA182" s="17"/>
    </row>
    <row r="183" spans="2:27" x14ac:dyDescent="0.25">
      <c r="B183" s="14"/>
      <c r="M183" s="82"/>
      <c r="N183" s="83"/>
      <c r="O183" s="80"/>
      <c r="P183" s="92"/>
      <c r="Q183" s="92"/>
      <c r="S183" s="82"/>
      <c r="T183" s="83"/>
      <c r="U183" s="80"/>
      <c r="V183" s="92"/>
      <c r="W183" s="92"/>
      <c r="Y183" s="10"/>
      <c r="Z183" s="17"/>
      <c r="AA183" s="17"/>
    </row>
    <row r="184" spans="2:27" x14ac:dyDescent="0.25">
      <c r="B184" s="14"/>
      <c r="M184" s="82"/>
      <c r="N184" s="83"/>
      <c r="O184" s="80"/>
      <c r="P184" s="92"/>
      <c r="Q184" s="92"/>
      <c r="S184" s="82"/>
      <c r="T184" s="83"/>
      <c r="U184" s="80"/>
      <c r="V184" s="92"/>
      <c r="W184" s="92"/>
      <c r="Y184" s="10"/>
      <c r="Z184" s="12"/>
      <c r="AA184" s="12"/>
    </row>
    <row r="185" spans="2:27" x14ac:dyDescent="0.25">
      <c r="B185" s="14"/>
      <c r="M185" s="82"/>
      <c r="N185" s="83"/>
      <c r="O185" s="80"/>
      <c r="P185" s="92"/>
      <c r="Q185" s="92"/>
      <c r="S185" s="82"/>
      <c r="T185" s="83"/>
      <c r="U185" s="80"/>
      <c r="V185" s="92"/>
      <c r="W185" s="92"/>
      <c r="Y185" s="10"/>
      <c r="Z185" s="12"/>
      <c r="AA185" s="12"/>
    </row>
    <row r="186" spans="2:27" x14ac:dyDescent="0.25">
      <c r="B186" s="14"/>
      <c r="M186" s="82"/>
      <c r="N186" s="83"/>
      <c r="O186" s="80"/>
      <c r="P186" s="92"/>
      <c r="Q186" s="92"/>
      <c r="S186" s="82"/>
      <c r="T186" s="83"/>
      <c r="U186" s="80"/>
      <c r="V186" s="92"/>
      <c r="W186" s="92"/>
      <c r="Y186" s="13"/>
      <c r="Z186" s="13"/>
      <c r="AA186" s="13"/>
    </row>
    <row r="187" spans="2:27" x14ac:dyDescent="0.25">
      <c r="B187" s="14"/>
      <c r="M187" s="82"/>
      <c r="N187" s="83"/>
      <c r="O187" s="80"/>
      <c r="P187" s="92"/>
      <c r="Q187" s="92"/>
      <c r="S187" s="82"/>
      <c r="T187" s="83"/>
      <c r="U187" s="80"/>
      <c r="V187" s="92"/>
      <c r="W187" s="92"/>
      <c r="Y187" s="13"/>
      <c r="Z187" s="13"/>
      <c r="AA187" s="13"/>
    </row>
    <row r="188" spans="2:27" x14ac:dyDescent="0.25">
      <c r="B188" s="14"/>
      <c r="M188" s="82"/>
      <c r="N188" s="83"/>
      <c r="O188" s="80"/>
      <c r="P188" s="92"/>
      <c r="Q188" s="92"/>
      <c r="S188" s="82"/>
      <c r="T188" s="83"/>
      <c r="U188" s="80"/>
      <c r="V188" s="92"/>
      <c r="W188" s="92"/>
      <c r="Y188" s="13"/>
      <c r="Z188" s="13"/>
      <c r="AA188" s="13"/>
    </row>
    <row r="189" spans="2:27" x14ac:dyDescent="0.25">
      <c r="B189" s="14"/>
      <c r="M189" s="82"/>
      <c r="N189" s="83"/>
      <c r="O189" s="80"/>
      <c r="P189" s="92"/>
      <c r="Q189" s="92"/>
      <c r="S189" s="82"/>
      <c r="T189" s="83"/>
      <c r="U189" s="80"/>
      <c r="V189" s="92"/>
      <c r="W189" s="92"/>
      <c r="Y189" s="13"/>
      <c r="Z189" s="13"/>
      <c r="AA189" s="13"/>
    </row>
    <row r="190" spans="2:27" x14ac:dyDescent="0.25">
      <c r="B190" s="14"/>
      <c r="M190" s="82"/>
      <c r="N190" s="83"/>
      <c r="O190" s="80"/>
      <c r="P190" s="92"/>
      <c r="Q190" s="92"/>
      <c r="S190" s="82"/>
      <c r="T190" s="83"/>
      <c r="U190" s="80"/>
      <c r="V190" s="92"/>
      <c r="W190" s="92"/>
      <c r="Y190" s="13"/>
      <c r="Z190" s="13"/>
      <c r="AA190" s="13"/>
    </row>
    <row r="191" spans="2:27" x14ac:dyDescent="0.25">
      <c r="B191" s="14"/>
      <c r="M191" s="82"/>
      <c r="N191" s="83"/>
      <c r="O191" s="80"/>
      <c r="P191" s="92"/>
      <c r="Q191" s="92"/>
      <c r="S191" s="82"/>
      <c r="T191" s="83"/>
      <c r="U191" s="80"/>
      <c r="V191" s="92"/>
      <c r="W191" s="92"/>
      <c r="Y191" s="13"/>
      <c r="Z191" s="13"/>
      <c r="AA191" s="13"/>
    </row>
    <row r="192" spans="2:27" x14ac:dyDescent="0.25">
      <c r="B192" s="14"/>
      <c r="M192" s="82"/>
      <c r="N192" s="83"/>
      <c r="O192" s="80"/>
      <c r="P192" s="92"/>
      <c r="Q192" s="92"/>
      <c r="S192" s="82"/>
      <c r="T192" s="83"/>
      <c r="U192" s="80"/>
      <c r="V192" s="92"/>
      <c r="W192" s="92"/>
      <c r="Y192" s="13"/>
      <c r="Z192" s="13"/>
      <c r="AA192" s="13"/>
    </row>
    <row r="193" spans="2:27" x14ac:dyDescent="0.25">
      <c r="B193" s="14"/>
      <c r="M193" s="82"/>
      <c r="N193" s="83"/>
      <c r="O193" s="80"/>
      <c r="P193" s="92"/>
      <c r="Q193" s="92"/>
      <c r="S193" s="82"/>
      <c r="T193" s="83"/>
      <c r="U193" s="80"/>
      <c r="V193" s="92"/>
      <c r="W193" s="92"/>
      <c r="Y193" s="13"/>
      <c r="Z193" s="13"/>
      <c r="AA193" s="13"/>
    </row>
    <row r="194" spans="2:27" x14ac:dyDescent="0.25">
      <c r="B194" s="14"/>
      <c r="M194" s="82"/>
      <c r="N194" s="83"/>
      <c r="O194" s="80"/>
      <c r="P194" s="92"/>
      <c r="Q194" s="92"/>
      <c r="S194" s="82"/>
      <c r="T194" s="83"/>
      <c r="U194" s="80"/>
      <c r="V194" s="92"/>
      <c r="W194" s="92"/>
      <c r="Y194" s="13"/>
      <c r="Z194" s="13"/>
      <c r="AA194" s="13"/>
    </row>
    <row r="195" spans="2:27" x14ac:dyDescent="0.25">
      <c r="B195" s="14"/>
      <c r="M195" s="82"/>
      <c r="N195" s="83"/>
      <c r="O195" s="80"/>
      <c r="P195" s="92"/>
      <c r="Q195" s="92"/>
      <c r="S195" s="82"/>
      <c r="T195" s="83"/>
      <c r="U195" s="80"/>
      <c r="V195" s="92"/>
      <c r="W195" s="92"/>
      <c r="Y195" s="13"/>
      <c r="Z195" s="13"/>
      <c r="AA195" s="13"/>
    </row>
    <row r="196" spans="2:27" x14ac:dyDescent="0.25">
      <c r="B196" s="14"/>
      <c r="M196" s="82"/>
      <c r="N196" s="83"/>
      <c r="O196" s="80"/>
      <c r="P196" s="92"/>
      <c r="Q196" s="92"/>
      <c r="S196" s="82"/>
      <c r="T196" s="83"/>
      <c r="U196" s="80"/>
      <c r="V196" s="92"/>
      <c r="W196" s="92"/>
      <c r="Y196" s="13"/>
      <c r="Z196" s="13"/>
      <c r="AA196" s="13"/>
    </row>
    <row r="197" spans="2:27" x14ac:dyDescent="0.25">
      <c r="B197" s="14"/>
      <c r="M197" s="82"/>
      <c r="N197" s="83"/>
      <c r="O197" s="80"/>
      <c r="P197" s="92"/>
      <c r="Q197" s="92"/>
      <c r="S197" s="82"/>
      <c r="T197" s="83"/>
      <c r="U197" s="80"/>
      <c r="V197" s="92"/>
      <c r="W197" s="92"/>
      <c r="Y197" s="13"/>
      <c r="Z197" s="13"/>
      <c r="AA197" s="13"/>
    </row>
    <row r="198" spans="2:27" x14ac:dyDescent="0.25">
      <c r="B198" s="14"/>
      <c r="M198" s="82"/>
      <c r="N198" s="83"/>
      <c r="O198" s="80"/>
      <c r="P198" s="92"/>
      <c r="Q198" s="92"/>
      <c r="S198" s="82"/>
      <c r="T198" s="83"/>
      <c r="U198" s="80"/>
      <c r="V198" s="92"/>
      <c r="W198" s="92"/>
      <c r="Y198" s="13"/>
      <c r="Z198" s="13"/>
      <c r="AA198" s="13"/>
    </row>
    <row r="199" spans="2:27" x14ac:dyDescent="0.25">
      <c r="B199" s="14"/>
      <c r="M199" s="82"/>
      <c r="N199" s="83"/>
      <c r="O199" s="80"/>
      <c r="P199" s="92"/>
      <c r="Q199" s="92"/>
      <c r="S199" s="82"/>
      <c r="T199" s="83"/>
      <c r="U199" s="80"/>
      <c r="V199" s="92"/>
      <c r="W199" s="92"/>
      <c r="Y199" s="13"/>
      <c r="Z199" s="13"/>
      <c r="AA199" s="13"/>
    </row>
    <row r="200" spans="2:27" x14ac:dyDescent="0.25">
      <c r="B200" s="14"/>
      <c r="M200" s="82"/>
      <c r="N200" s="83"/>
      <c r="O200" s="80"/>
      <c r="P200" s="92"/>
      <c r="Q200" s="92"/>
      <c r="S200" s="82"/>
      <c r="T200" s="83"/>
      <c r="U200" s="80"/>
      <c r="V200" s="92"/>
      <c r="W200" s="92"/>
      <c r="Y200" s="13"/>
      <c r="Z200" s="13"/>
      <c r="AA200" s="13"/>
    </row>
    <row r="201" spans="2:27" x14ac:dyDescent="0.25">
      <c r="B201" s="14"/>
      <c r="M201" s="82"/>
      <c r="N201" s="83"/>
      <c r="O201" s="80"/>
      <c r="P201" s="92"/>
      <c r="Q201" s="92"/>
      <c r="S201" s="82"/>
      <c r="T201" s="83"/>
      <c r="U201" s="80"/>
      <c r="V201" s="92"/>
      <c r="W201" s="92"/>
      <c r="Y201" s="13"/>
      <c r="Z201" s="13"/>
      <c r="AA201" s="13"/>
    </row>
    <row r="202" spans="2:27" x14ac:dyDescent="0.25">
      <c r="B202" s="14"/>
      <c r="M202" s="82"/>
      <c r="N202" s="83"/>
      <c r="O202" s="80"/>
      <c r="P202" s="92"/>
      <c r="Q202" s="92"/>
      <c r="S202" s="82"/>
      <c r="T202" s="83"/>
      <c r="U202" s="80"/>
      <c r="V202" s="92"/>
      <c r="W202" s="92"/>
      <c r="Y202" s="13"/>
      <c r="Z202" s="13"/>
      <c r="AA202" s="13"/>
    </row>
    <row r="203" spans="2:27" x14ac:dyDescent="0.25">
      <c r="B203" s="14"/>
      <c r="M203" s="82"/>
      <c r="N203" s="83"/>
      <c r="O203" s="80"/>
      <c r="P203" s="92"/>
      <c r="Q203" s="92"/>
      <c r="S203" s="82"/>
      <c r="T203" s="83"/>
      <c r="U203" s="80"/>
      <c r="V203" s="92"/>
      <c r="W203" s="92"/>
      <c r="Y203" s="13"/>
      <c r="Z203" s="13"/>
      <c r="AA203" s="13"/>
    </row>
    <row r="204" spans="2:27" x14ac:dyDescent="0.25">
      <c r="B204" s="14"/>
      <c r="M204" s="82"/>
      <c r="N204" s="83"/>
      <c r="O204" s="80"/>
      <c r="P204" s="92"/>
      <c r="Q204" s="92"/>
      <c r="S204" s="82"/>
      <c r="T204" s="83"/>
      <c r="U204" s="80"/>
      <c r="V204" s="92"/>
      <c r="W204" s="92"/>
      <c r="Y204" s="13"/>
      <c r="Z204" s="13"/>
      <c r="AA204" s="13"/>
    </row>
    <row r="205" spans="2:27" x14ac:dyDescent="0.25">
      <c r="B205" s="14"/>
      <c r="M205" s="82"/>
      <c r="N205" s="83"/>
      <c r="O205" s="80"/>
      <c r="P205" s="92"/>
      <c r="Q205" s="92"/>
      <c r="S205" s="82"/>
      <c r="T205" s="83"/>
      <c r="U205" s="80"/>
      <c r="V205" s="92"/>
      <c r="W205" s="92"/>
      <c r="Y205" s="13"/>
      <c r="Z205" s="13"/>
      <c r="AA205" s="13"/>
    </row>
    <row r="206" spans="2:27" x14ac:dyDescent="0.25">
      <c r="B206" s="14"/>
      <c r="M206" s="82"/>
      <c r="N206" s="83"/>
      <c r="O206" s="80"/>
      <c r="P206" s="92"/>
      <c r="Q206" s="92"/>
      <c r="S206" s="82"/>
      <c r="T206" s="83"/>
      <c r="U206" s="80"/>
      <c r="V206" s="92"/>
      <c r="W206" s="92"/>
      <c r="Y206" s="13"/>
      <c r="Z206" s="13"/>
      <c r="AA206" s="13"/>
    </row>
    <row r="207" spans="2:27" x14ac:dyDescent="0.25">
      <c r="B207" s="14"/>
      <c r="M207" s="82"/>
      <c r="N207" s="83"/>
      <c r="O207" s="80"/>
      <c r="P207" s="92"/>
      <c r="Q207" s="92"/>
      <c r="S207" s="82"/>
      <c r="T207" s="83"/>
      <c r="U207" s="80"/>
      <c r="V207" s="92"/>
      <c r="W207" s="92"/>
      <c r="Y207" s="13"/>
      <c r="Z207" s="13"/>
      <c r="AA207" s="13"/>
    </row>
    <row r="208" spans="2:27" x14ac:dyDescent="0.25">
      <c r="B208" s="14"/>
      <c r="M208" s="82"/>
      <c r="N208" s="83"/>
      <c r="O208" s="80"/>
      <c r="P208" s="92"/>
      <c r="Q208" s="92"/>
      <c r="S208" s="82"/>
      <c r="T208" s="83"/>
      <c r="U208" s="80"/>
      <c r="V208" s="92"/>
      <c r="W208" s="92"/>
      <c r="Y208" s="13"/>
      <c r="Z208" s="13"/>
      <c r="AA208" s="13"/>
    </row>
    <row r="209" spans="2:27" x14ac:dyDescent="0.25">
      <c r="B209" s="14"/>
      <c r="M209" s="82"/>
      <c r="N209" s="83"/>
      <c r="O209" s="80"/>
      <c r="P209" s="92"/>
      <c r="Q209" s="92"/>
      <c r="S209" s="82"/>
      <c r="T209" s="83"/>
      <c r="U209" s="80"/>
      <c r="V209" s="92"/>
      <c r="W209" s="92"/>
      <c r="Y209" s="13"/>
      <c r="Z209" s="13"/>
      <c r="AA209" s="13"/>
    </row>
    <row r="210" spans="2:27" x14ac:dyDescent="0.25">
      <c r="B210" s="14"/>
      <c r="M210" s="82"/>
      <c r="N210" s="83"/>
      <c r="O210" s="80"/>
      <c r="P210" s="92"/>
      <c r="Q210" s="92"/>
      <c r="S210" s="82"/>
      <c r="T210" s="83"/>
      <c r="U210" s="80"/>
      <c r="V210" s="92"/>
      <c r="W210" s="92"/>
      <c r="Y210" s="13"/>
      <c r="Z210" s="13"/>
      <c r="AA210" s="13"/>
    </row>
    <row r="211" spans="2:27" x14ac:dyDescent="0.25">
      <c r="B211" s="14"/>
      <c r="M211" s="82"/>
      <c r="N211" s="83"/>
      <c r="O211" s="80"/>
      <c r="P211" s="92"/>
      <c r="Q211" s="92"/>
      <c r="S211" s="82"/>
      <c r="T211" s="83"/>
      <c r="U211" s="80"/>
      <c r="V211" s="92"/>
      <c r="W211" s="92"/>
      <c r="Y211" s="13"/>
      <c r="Z211" s="13"/>
      <c r="AA211" s="13"/>
    </row>
    <row r="212" spans="2:27" x14ac:dyDescent="0.25">
      <c r="B212" s="14"/>
      <c r="M212" s="82"/>
      <c r="N212" s="83"/>
      <c r="O212" s="80"/>
      <c r="P212" s="92"/>
      <c r="Q212" s="92"/>
      <c r="S212" s="82"/>
      <c r="T212" s="83"/>
      <c r="U212" s="80"/>
      <c r="V212" s="92"/>
      <c r="W212" s="92"/>
      <c r="Y212" s="13"/>
      <c r="Z212" s="13"/>
      <c r="AA212" s="13"/>
    </row>
    <row r="213" spans="2:27" x14ac:dyDescent="0.25">
      <c r="B213" s="14"/>
      <c r="M213" s="82"/>
      <c r="N213" s="83"/>
      <c r="O213" s="80"/>
      <c r="P213" s="92"/>
      <c r="Q213" s="92"/>
      <c r="S213" s="82"/>
      <c r="T213" s="83"/>
      <c r="U213" s="80"/>
      <c r="V213" s="92"/>
      <c r="W213" s="92"/>
      <c r="Y213" s="13"/>
      <c r="Z213" s="13"/>
      <c r="AA213" s="13"/>
    </row>
    <row r="214" spans="2:27" x14ac:dyDescent="0.25">
      <c r="B214" s="14"/>
      <c r="M214" s="82"/>
      <c r="N214" s="83"/>
      <c r="O214" s="80"/>
      <c r="P214" s="92"/>
      <c r="Q214" s="92"/>
      <c r="S214" s="82"/>
      <c r="T214" s="83"/>
      <c r="U214" s="80"/>
      <c r="V214" s="92"/>
      <c r="W214" s="92"/>
      <c r="Y214" s="13"/>
      <c r="Z214" s="13"/>
      <c r="AA214" s="13"/>
    </row>
    <row r="215" spans="2:27" x14ac:dyDescent="0.25">
      <c r="B215" s="14"/>
      <c r="M215" s="82"/>
      <c r="N215" s="83"/>
      <c r="O215" s="80"/>
      <c r="P215" s="92"/>
      <c r="Q215" s="92"/>
      <c r="S215" s="82"/>
      <c r="T215" s="83"/>
      <c r="U215" s="80"/>
      <c r="V215" s="92"/>
      <c r="W215" s="92"/>
      <c r="Y215" s="13"/>
      <c r="Z215" s="13"/>
      <c r="AA215" s="13"/>
    </row>
    <row r="216" spans="2:27" x14ac:dyDescent="0.25">
      <c r="B216" s="14"/>
      <c r="M216" s="82"/>
      <c r="N216" s="83"/>
      <c r="O216" s="80"/>
      <c r="P216" s="92"/>
      <c r="Q216" s="92"/>
      <c r="S216" s="82"/>
      <c r="T216" s="83"/>
      <c r="U216" s="80"/>
      <c r="V216" s="92"/>
      <c r="W216" s="92"/>
      <c r="Y216" s="13"/>
      <c r="Z216" s="13"/>
      <c r="AA216" s="13"/>
    </row>
    <row r="217" spans="2:27" x14ac:dyDescent="0.25">
      <c r="B217" s="14"/>
      <c r="M217" s="82"/>
      <c r="N217" s="83"/>
      <c r="O217" s="80"/>
      <c r="P217" s="92"/>
      <c r="Q217" s="92"/>
      <c r="S217" s="82"/>
      <c r="T217" s="83"/>
      <c r="U217" s="80"/>
      <c r="V217" s="92"/>
      <c r="W217" s="92"/>
      <c r="Y217" s="13"/>
      <c r="Z217" s="13"/>
      <c r="AA217" s="13"/>
    </row>
    <row r="218" spans="2:27" x14ac:dyDescent="0.25">
      <c r="B218" s="14"/>
      <c r="M218" s="82"/>
      <c r="N218" s="83"/>
      <c r="O218" s="80"/>
      <c r="P218" s="92"/>
      <c r="Q218" s="92"/>
      <c r="S218" s="82"/>
      <c r="T218" s="83"/>
      <c r="U218" s="80"/>
      <c r="V218" s="92"/>
      <c r="W218" s="92"/>
      <c r="Y218" s="13"/>
      <c r="Z218" s="13"/>
      <c r="AA218" s="13"/>
    </row>
    <row r="219" spans="2:27" x14ac:dyDescent="0.25">
      <c r="B219" s="14"/>
      <c r="M219" s="82"/>
      <c r="N219" s="83"/>
      <c r="O219" s="80"/>
      <c r="P219" s="92"/>
      <c r="Q219" s="92"/>
      <c r="S219" s="82"/>
      <c r="T219" s="83"/>
      <c r="U219" s="80"/>
      <c r="V219" s="92"/>
      <c r="W219" s="92"/>
      <c r="Y219" s="13"/>
      <c r="Z219" s="13"/>
      <c r="AA219" s="13"/>
    </row>
    <row r="220" spans="2:27" x14ac:dyDescent="0.25">
      <c r="B220" s="14"/>
      <c r="M220" s="82"/>
      <c r="N220" s="83"/>
      <c r="O220" s="80"/>
      <c r="P220" s="92"/>
      <c r="Q220" s="92"/>
      <c r="S220" s="82"/>
      <c r="T220" s="83"/>
      <c r="U220" s="80"/>
      <c r="V220" s="92"/>
      <c r="W220" s="92"/>
      <c r="Y220" s="13"/>
      <c r="Z220" s="13"/>
      <c r="AA220" s="13"/>
    </row>
    <row r="221" spans="2:27" x14ac:dyDescent="0.25">
      <c r="B221" s="14"/>
      <c r="M221" s="82"/>
      <c r="N221" s="83"/>
      <c r="O221" s="80"/>
      <c r="P221" s="92"/>
      <c r="Q221" s="92"/>
      <c r="S221" s="82"/>
      <c r="T221" s="83"/>
      <c r="U221" s="80"/>
      <c r="V221" s="92"/>
      <c r="W221" s="92"/>
      <c r="Y221" s="13"/>
      <c r="Z221" s="13"/>
      <c r="AA221" s="13"/>
    </row>
    <row r="222" spans="2:27" x14ac:dyDescent="0.25">
      <c r="B222" s="14"/>
      <c r="M222" s="82"/>
      <c r="N222" s="83"/>
      <c r="O222" s="80"/>
      <c r="P222" s="92"/>
      <c r="Q222" s="92"/>
      <c r="S222" s="82"/>
      <c r="T222" s="83"/>
      <c r="U222" s="80"/>
      <c r="V222" s="92"/>
      <c r="W222" s="92"/>
      <c r="Y222" s="13"/>
      <c r="Z222" s="13"/>
      <c r="AA222" s="13"/>
    </row>
    <row r="223" spans="2:27" x14ac:dyDescent="0.25">
      <c r="B223" s="14"/>
      <c r="M223" s="82"/>
      <c r="N223" s="83"/>
      <c r="O223" s="80"/>
      <c r="P223" s="92"/>
      <c r="Q223" s="92"/>
      <c r="S223" s="82"/>
      <c r="T223" s="83"/>
      <c r="U223" s="80"/>
      <c r="V223" s="92"/>
      <c r="W223" s="92"/>
      <c r="Y223" s="13"/>
      <c r="Z223" s="13"/>
      <c r="AA223" s="13"/>
    </row>
    <row r="224" spans="2:27" x14ac:dyDescent="0.25">
      <c r="B224" s="14"/>
      <c r="M224" s="82"/>
      <c r="N224" s="83"/>
      <c r="O224" s="80"/>
      <c r="P224" s="92"/>
      <c r="Q224" s="92"/>
      <c r="S224" s="82"/>
      <c r="T224" s="83"/>
      <c r="U224" s="80"/>
      <c r="V224" s="92"/>
      <c r="W224" s="92"/>
      <c r="Y224" s="13"/>
      <c r="Z224" s="13"/>
      <c r="AA224" s="13"/>
    </row>
    <row r="225" spans="2:27" x14ac:dyDescent="0.25">
      <c r="B225" s="14"/>
      <c r="M225" s="82"/>
      <c r="N225" s="83"/>
      <c r="O225" s="80"/>
      <c r="P225" s="92"/>
      <c r="Q225" s="92"/>
      <c r="S225" s="82"/>
      <c r="T225" s="83"/>
      <c r="U225" s="80"/>
      <c r="V225" s="92"/>
      <c r="W225" s="92"/>
      <c r="Y225" s="13"/>
      <c r="Z225" s="13"/>
      <c r="AA225" s="13"/>
    </row>
    <row r="226" spans="2:27" x14ac:dyDescent="0.25">
      <c r="B226" s="14"/>
      <c r="M226" s="82"/>
      <c r="N226" s="83"/>
      <c r="O226" s="80"/>
      <c r="P226" s="92"/>
      <c r="Q226" s="92"/>
      <c r="S226" s="82"/>
      <c r="T226" s="83"/>
      <c r="U226" s="80"/>
      <c r="V226" s="92"/>
      <c r="W226" s="92"/>
      <c r="Y226" s="13"/>
      <c r="Z226" s="13"/>
      <c r="AA226" s="13"/>
    </row>
    <row r="227" spans="2:27" x14ac:dyDescent="0.25">
      <c r="B227" s="14"/>
      <c r="M227" s="82"/>
      <c r="N227" s="83"/>
      <c r="O227" s="80"/>
      <c r="P227" s="92"/>
      <c r="Q227" s="92"/>
      <c r="S227" s="82"/>
      <c r="T227" s="83"/>
      <c r="U227" s="80"/>
      <c r="V227" s="92"/>
      <c r="W227" s="92"/>
      <c r="Y227" s="13"/>
      <c r="Z227" s="13"/>
      <c r="AA227" s="13"/>
    </row>
    <row r="228" spans="2:27" x14ac:dyDescent="0.25">
      <c r="B228" s="14"/>
      <c r="M228" s="82"/>
      <c r="N228" s="83"/>
      <c r="O228" s="80"/>
      <c r="P228" s="92"/>
      <c r="Q228" s="92"/>
      <c r="S228" s="82"/>
      <c r="T228" s="83"/>
      <c r="U228" s="80"/>
      <c r="V228" s="92"/>
      <c r="W228" s="92"/>
      <c r="Y228" s="13"/>
      <c r="Z228" s="13"/>
      <c r="AA228" s="13"/>
    </row>
    <row r="229" spans="2:27" x14ac:dyDescent="0.25">
      <c r="B229" s="14"/>
      <c r="M229" s="82"/>
      <c r="N229" s="83"/>
      <c r="O229" s="80"/>
      <c r="P229" s="92"/>
      <c r="Q229" s="92"/>
      <c r="S229" s="82"/>
      <c r="T229" s="83"/>
      <c r="U229" s="80"/>
      <c r="V229" s="92"/>
      <c r="W229" s="92"/>
      <c r="Y229" s="13"/>
      <c r="Z229" s="13"/>
      <c r="AA229" s="13"/>
    </row>
    <row r="230" spans="2:27" x14ac:dyDescent="0.25">
      <c r="B230" s="14"/>
      <c r="M230" s="82"/>
      <c r="N230" s="83"/>
      <c r="O230" s="80"/>
      <c r="P230" s="92"/>
      <c r="Q230" s="92"/>
      <c r="S230" s="82"/>
      <c r="T230" s="83"/>
      <c r="U230" s="80"/>
      <c r="V230" s="92"/>
      <c r="W230" s="92"/>
      <c r="Y230" s="13"/>
      <c r="Z230" s="13"/>
      <c r="AA230" s="13"/>
    </row>
    <row r="231" spans="2:27" x14ac:dyDescent="0.25">
      <c r="B231" s="14"/>
      <c r="M231" s="82"/>
      <c r="N231" s="83"/>
      <c r="O231" s="80"/>
      <c r="P231" s="92"/>
      <c r="Q231" s="92"/>
      <c r="S231" s="82"/>
      <c r="T231" s="83"/>
      <c r="U231" s="80"/>
      <c r="V231" s="92"/>
      <c r="W231" s="92"/>
      <c r="Y231" s="13"/>
      <c r="Z231" s="13"/>
      <c r="AA231" s="13"/>
    </row>
    <row r="232" spans="2:27" x14ac:dyDescent="0.25">
      <c r="B232" s="14"/>
      <c r="M232" s="82"/>
      <c r="N232" s="83"/>
      <c r="O232" s="80"/>
      <c r="P232" s="92"/>
      <c r="Q232" s="92"/>
      <c r="S232" s="82"/>
      <c r="T232" s="83"/>
      <c r="U232" s="80"/>
      <c r="V232" s="92"/>
      <c r="W232" s="92"/>
      <c r="Y232" s="13"/>
      <c r="Z232" s="13"/>
      <c r="AA232" s="13"/>
    </row>
    <row r="233" spans="2:27" x14ac:dyDescent="0.25">
      <c r="B233" s="14"/>
      <c r="M233" s="82"/>
      <c r="N233" s="83"/>
      <c r="O233" s="80"/>
      <c r="P233" s="92"/>
      <c r="Q233" s="92"/>
      <c r="S233" s="82"/>
      <c r="T233" s="83"/>
      <c r="U233" s="80"/>
      <c r="V233" s="92"/>
      <c r="W233" s="92"/>
      <c r="Y233" s="13"/>
      <c r="Z233" s="13"/>
      <c r="AA233" s="13"/>
    </row>
    <row r="234" spans="2:27" x14ac:dyDescent="0.25">
      <c r="B234" s="14"/>
      <c r="M234" s="82"/>
      <c r="N234" s="83"/>
      <c r="O234" s="80"/>
      <c r="P234" s="92"/>
      <c r="Q234" s="92"/>
      <c r="S234" s="82"/>
      <c r="T234" s="83"/>
      <c r="U234" s="80"/>
      <c r="V234" s="92"/>
      <c r="W234" s="92"/>
      <c r="Y234" s="13"/>
      <c r="Z234" s="13"/>
      <c r="AA234" s="13"/>
    </row>
    <row r="235" spans="2:27" x14ac:dyDescent="0.25">
      <c r="B235" s="14"/>
      <c r="M235" s="82"/>
      <c r="N235" s="83"/>
      <c r="O235" s="80"/>
      <c r="P235" s="92"/>
      <c r="Q235" s="92"/>
      <c r="S235" s="82"/>
      <c r="T235" s="83"/>
      <c r="U235" s="80"/>
      <c r="V235" s="92"/>
      <c r="W235" s="92"/>
      <c r="Y235" s="13"/>
      <c r="Z235" s="13"/>
      <c r="AA235" s="13"/>
    </row>
    <row r="236" spans="2:27" x14ac:dyDescent="0.25">
      <c r="B236" s="14"/>
      <c r="M236" s="82"/>
      <c r="N236" s="83"/>
      <c r="O236" s="80"/>
      <c r="P236" s="92"/>
      <c r="Q236" s="92"/>
      <c r="S236" s="82"/>
      <c r="T236" s="83"/>
      <c r="U236" s="80"/>
      <c r="V236" s="92"/>
      <c r="W236" s="92"/>
      <c r="Y236" s="13"/>
      <c r="Z236" s="13"/>
      <c r="AA236" s="13"/>
    </row>
    <row r="237" spans="2:27" x14ac:dyDescent="0.25">
      <c r="B237" s="14"/>
      <c r="M237" s="82"/>
      <c r="N237" s="83"/>
      <c r="O237" s="80"/>
      <c r="P237" s="92"/>
      <c r="Q237" s="92"/>
      <c r="S237" s="82"/>
      <c r="T237" s="83"/>
      <c r="U237" s="80"/>
      <c r="V237" s="92"/>
      <c r="W237" s="92"/>
      <c r="Y237" s="13"/>
      <c r="Z237" s="13"/>
      <c r="AA237" s="13"/>
    </row>
    <row r="238" spans="2:27" x14ac:dyDescent="0.25">
      <c r="B238" s="14"/>
      <c r="M238" s="82"/>
      <c r="N238" s="83"/>
      <c r="O238" s="80"/>
      <c r="P238" s="92"/>
      <c r="Q238" s="92"/>
      <c r="S238" s="82"/>
      <c r="T238" s="83"/>
      <c r="U238" s="80"/>
      <c r="V238" s="92"/>
      <c r="W238" s="92"/>
      <c r="Y238" s="13"/>
      <c r="Z238" s="13"/>
      <c r="AA238" s="13"/>
    </row>
    <row r="239" spans="2:27" x14ac:dyDescent="0.25">
      <c r="B239" s="14"/>
      <c r="M239" s="82"/>
      <c r="N239" s="83"/>
      <c r="O239" s="80"/>
      <c r="P239" s="92"/>
      <c r="Q239" s="92"/>
      <c r="S239" s="82"/>
      <c r="T239" s="83"/>
      <c r="U239" s="80"/>
      <c r="V239" s="92"/>
      <c r="W239" s="92"/>
      <c r="Y239" s="13"/>
      <c r="Z239" s="13"/>
      <c r="AA239" s="13"/>
    </row>
    <row r="240" spans="2:27" x14ac:dyDescent="0.25">
      <c r="B240" s="14"/>
      <c r="M240" s="82"/>
      <c r="N240" s="83"/>
      <c r="O240" s="80"/>
      <c r="P240" s="92"/>
      <c r="Q240" s="92"/>
      <c r="S240" s="82"/>
      <c r="T240" s="83"/>
      <c r="U240" s="80"/>
      <c r="V240" s="92"/>
      <c r="W240" s="92"/>
      <c r="Y240" s="13"/>
      <c r="Z240" s="13"/>
      <c r="AA240" s="13"/>
    </row>
    <row r="241" spans="2:27" x14ac:dyDescent="0.25">
      <c r="B241" s="14"/>
      <c r="M241" s="82"/>
      <c r="N241" s="83"/>
      <c r="O241" s="80"/>
      <c r="P241" s="92"/>
      <c r="Q241" s="92"/>
      <c r="S241" s="82"/>
      <c r="T241" s="83"/>
      <c r="U241" s="80"/>
      <c r="V241" s="92"/>
      <c r="W241" s="92"/>
      <c r="Y241" s="13"/>
      <c r="Z241" s="13"/>
      <c r="AA241" s="13"/>
    </row>
    <row r="242" spans="2:27" x14ac:dyDescent="0.25">
      <c r="B242" s="14"/>
      <c r="M242" s="82"/>
      <c r="N242" s="83"/>
      <c r="O242" s="80"/>
      <c r="P242" s="92"/>
      <c r="Q242" s="92"/>
      <c r="S242" s="82"/>
      <c r="T242" s="83"/>
      <c r="U242" s="80"/>
      <c r="V242" s="92"/>
      <c r="W242" s="92"/>
      <c r="Y242" s="13"/>
      <c r="Z242" s="13"/>
      <c r="AA242" s="13"/>
    </row>
    <row r="243" spans="2:27" x14ac:dyDescent="0.25">
      <c r="B243" s="14"/>
      <c r="M243" s="82"/>
      <c r="N243" s="83"/>
      <c r="O243" s="80"/>
      <c r="P243" s="92"/>
      <c r="Q243" s="92"/>
      <c r="S243" s="82"/>
      <c r="T243" s="83"/>
      <c r="U243" s="80"/>
      <c r="V243" s="92"/>
      <c r="W243" s="92"/>
      <c r="Y243" s="13"/>
      <c r="Z243" s="13"/>
      <c r="AA243" s="13"/>
    </row>
    <row r="244" spans="2:27" x14ac:dyDescent="0.25">
      <c r="B244" s="14"/>
      <c r="M244" s="82"/>
      <c r="N244" s="83"/>
      <c r="O244" s="80"/>
      <c r="P244" s="92"/>
      <c r="Q244" s="92"/>
      <c r="S244" s="82"/>
      <c r="T244" s="83"/>
      <c r="U244" s="80"/>
      <c r="V244" s="92"/>
      <c r="W244" s="92"/>
      <c r="Y244" s="13"/>
      <c r="Z244" s="13"/>
      <c r="AA244" s="13"/>
    </row>
    <row r="245" spans="2:27" x14ac:dyDescent="0.25">
      <c r="B245" s="14"/>
      <c r="M245" s="82"/>
      <c r="N245" s="83"/>
      <c r="O245" s="80"/>
      <c r="P245" s="92"/>
      <c r="Q245" s="92"/>
      <c r="S245" s="82"/>
      <c r="T245" s="83"/>
      <c r="U245" s="80"/>
      <c r="V245" s="92"/>
      <c r="W245" s="92"/>
      <c r="Y245" s="13"/>
      <c r="Z245" s="13"/>
      <c r="AA245" s="13"/>
    </row>
    <row r="246" spans="2:27" x14ac:dyDescent="0.25">
      <c r="B246" s="14"/>
      <c r="M246" s="82"/>
      <c r="N246" s="83"/>
      <c r="O246" s="80"/>
      <c r="P246" s="92"/>
      <c r="Q246" s="92"/>
      <c r="S246" s="82"/>
      <c r="T246" s="83"/>
      <c r="U246" s="80"/>
      <c r="V246" s="92"/>
      <c r="W246" s="92"/>
      <c r="Y246" s="13"/>
      <c r="Z246" s="13"/>
      <c r="AA246" s="13"/>
    </row>
    <row r="247" spans="2:27" x14ac:dyDescent="0.25">
      <c r="B247" s="14"/>
      <c r="M247" s="82"/>
      <c r="N247" s="83"/>
      <c r="O247" s="80"/>
      <c r="P247" s="92"/>
      <c r="Q247" s="92"/>
      <c r="S247" s="82"/>
      <c r="T247" s="83"/>
      <c r="U247" s="80"/>
      <c r="V247" s="92"/>
      <c r="W247" s="92"/>
      <c r="Y247" s="13"/>
      <c r="Z247" s="13"/>
      <c r="AA247" s="13"/>
    </row>
    <row r="248" spans="2:27" x14ac:dyDescent="0.25">
      <c r="B248" s="14"/>
      <c r="M248" s="82"/>
      <c r="N248" s="83"/>
      <c r="O248" s="80"/>
      <c r="P248" s="92"/>
      <c r="Q248" s="92"/>
      <c r="S248" s="82"/>
      <c r="T248" s="83"/>
      <c r="U248" s="80"/>
      <c r="V248" s="92"/>
      <c r="W248" s="92"/>
      <c r="Y248" s="13"/>
      <c r="Z248" s="13"/>
      <c r="AA248" s="13"/>
    </row>
    <row r="249" spans="2:27" x14ac:dyDescent="0.25">
      <c r="B249" s="14"/>
      <c r="M249" s="82"/>
      <c r="N249" s="83"/>
      <c r="O249" s="80"/>
      <c r="P249" s="92"/>
      <c r="Q249" s="92"/>
      <c r="S249" s="82"/>
      <c r="T249" s="83"/>
      <c r="U249" s="80"/>
      <c r="V249" s="92"/>
      <c r="W249" s="92"/>
      <c r="Y249" s="13"/>
      <c r="Z249" s="13"/>
      <c r="AA249" s="13"/>
    </row>
    <row r="250" spans="2:27" x14ac:dyDescent="0.25">
      <c r="B250" s="14"/>
      <c r="M250" s="82"/>
      <c r="N250" s="83"/>
      <c r="O250" s="80"/>
      <c r="P250" s="92"/>
      <c r="Q250" s="92"/>
      <c r="S250" s="82"/>
      <c r="T250" s="83"/>
      <c r="U250" s="80"/>
      <c r="V250" s="92"/>
      <c r="W250" s="92"/>
      <c r="Y250" s="13"/>
      <c r="Z250" s="13"/>
      <c r="AA250" s="13"/>
    </row>
    <row r="251" spans="2:27" x14ac:dyDescent="0.25">
      <c r="B251" s="14"/>
      <c r="M251" s="82"/>
      <c r="N251" s="83"/>
      <c r="O251" s="80"/>
      <c r="P251" s="92"/>
      <c r="Q251" s="92"/>
      <c r="S251" s="82"/>
      <c r="T251" s="83"/>
      <c r="U251" s="80"/>
      <c r="V251" s="92"/>
      <c r="W251" s="92"/>
      <c r="Y251" s="13"/>
      <c r="Z251" s="13"/>
      <c r="AA251" s="13"/>
    </row>
    <row r="252" spans="2:27" x14ac:dyDescent="0.25">
      <c r="B252" s="14"/>
      <c r="M252" s="82"/>
      <c r="N252" s="83"/>
      <c r="O252" s="80"/>
      <c r="P252" s="92"/>
      <c r="Q252" s="92"/>
      <c r="S252" s="82"/>
      <c r="T252" s="83"/>
      <c r="U252" s="80"/>
      <c r="V252" s="92"/>
      <c r="W252" s="92"/>
      <c r="Y252" s="13"/>
      <c r="Z252" s="13"/>
      <c r="AA252" s="13"/>
    </row>
    <row r="253" spans="2:27" x14ac:dyDescent="0.25">
      <c r="B253" s="14"/>
      <c r="M253" s="82"/>
      <c r="N253" s="83"/>
      <c r="O253" s="80"/>
      <c r="P253" s="92"/>
      <c r="Q253" s="92"/>
      <c r="S253" s="82"/>
      <c r="T253" s="83"/>
      <c r="U253" s="80"/>
      <c r="V253" s="92"/>
      <c r="W253" s="92"/>
      <c r="Y253" s="13"/>
      <c r="Z253" s="13"/>
      <c r="AA253" s="13"/>
    </row>
    <row r="254" spans="2:27" x14ac:dyDescent="0.25">
      <c r="B254" s="14"/>
      <c r="M254" s="82"/>
      <c r="N254" s="83"/>
      <c r="O254" s="80"/>
      <c r="P254" s="92"/>
      <c r="Q254" s="92"/>
      <c r="S254" s="82"/>
      <c r="T254" s="83"/>
      <c r="U254" s="80"/>
      <c r="V254" s="92"/>
      <c r="W254" s="92"/>
      <c r="Y254" s="13"/>
      <c r="Z254" s="13"/>
      <c r="AA254" s="13"/>
    </row>
    <row r="255" spans="2:27" x14ac:dyDescent="0.25">
      <c r="B255" s="14"/>
      <c r="M255" s="82"/>
      <c r="N255" s="83"/>
      <c r="O255" s="80"/>
      <c r="P255" s="92"/>
      <c r="Q255" s="92"/>
      <c r="S255" s="82"/>
      <c r="T255" s="83"/>
      <c r="U255" s="80"/>
      <c r="V255" s="92"/>
      <c r="W255" s="92"/>
      <c r="Y255" s="13"/>
      <c r="Z255" s="13"/>
      <c r="AA255" s="13"/>
    </row>
    <row r="256" spans="2:27" x14ac:dyDescent="0.25">
      <c r="B256" s="14"/>
      <c r="M256" s="82"/>
      <c r="N256" s="83"/>
      <c r="O256" s="80"/>
      <c r="P256" s="92"/>
      <c r="Q256" s="92"/>
      <c r="S256" s="82"/>
      <c r="T256" s="83"/>
      <c r="U256" s="80"/>
      <c r="V256" s="92"/>
      <c r="W256" s="92"/>
      <c r="Y256" s="13"/>
      <c r="Z256" s="13"/>
      <c r="AA256" s="13"/>
    </row>
    <row r="257" spans="2:27" x14ac:dyDescent="0.25">
      <c r="B257" s="14"/>
      <c r="M257" s="82"/>
      <c r="N257" s="83"/>
      <c r="O257" s="80"/>
      <c r="P257" s="92"/>
      <c r="Q257" s="92"/>
      <c r="S257" s="82"/>
      <c r="T257" s="83"/>
      <c r="U257" s="80"/>
      <c r="V257" s="92"/>
      <c r="W257" s="92"/>
      <c r="Y257" s="13"/>
      <c r="Z257" s="13"/>
      <c r="AA257" s="13"/>
    </row>
    <row r="258" spans="2:27" x14ac:dyDescent="0.25">
      <c r="B258" s="14"/>
      <c r="M258" s="82"/>
      <c r="N258" s="83"/>
      <c r="O258" s="80"/>
      <c r="P258" s="92"/>
      <c r="Q258" s="92"/>
      <c r="S258" s="82"/>
      <c r="T258" s="83"/>
      <c r="U258" s="80"/>
      <c r="V258" s="92"/>
      <c r="W258" s="92"/>
      <c r="Y258" s="13"/>
      <c r="Z258" s="13"/>
      <c r="AA258" s="13"/>
    </row>
    <row r="259" spans="2:27" x14ac:dyDescent="0.25">
      <c r="B259" s="14"/>
      <c r="M259" s="82"/>
      <c r="N259" s="83"/>
      <c r="O259" s="80"/>
      <c r="P259" s="92"/>
      <c r="Q259" s="92"/>
      <c r="S259" s="82"/>
      <c r="T259" s="83"/>
      <c r="U259" s="80"/>
      <c r="V259" s="92"/>
      <c r="W259" s="92"/>
      <c r="Y259" s="13"/>
      <c r="Z259" s="13"/>
      <c r="AA259" s="13"/>
    </row>
    <row r="260" spans="2:27" x14ac:dyDescent="0.25">
      <c r="B260" s="14"/>
      <c r="M260" s="82"/>
      <c r="N260" s="83"/>
      <c r="O260" s="80"/>
      <c r="P260" s="92"/>
      <c r="Q260" s="92"/>
      <c r="S260" s="82"/>
      <c r="T260" s="83"/>
      <c r="U260" s="80"/>
      <c r="V260" s="92"/>
      <c r="W260" s="92"/>
      <c r="Y260" s="13"/>
      <c r="Z260" s="13"/>
      <c r="AA260" s="13"/>
    </row>
    <row r="261" spans="2:27" x14ac:dyDescent="0.25">
      <c r="B261" s="14"/>
      <c r="M261" s="82"/>
      <c r="N261" s="83"/>
      <c r="O261" s="80"/>
      <c r="P261" s="92"/>
      <c r="Q261" s="92"/>
      <c r="S261" s="82"/>
      <c r="T261" s="83"/>
      <c r="U261" s="80"/>
      <c r="V261" s="92"/>
      <c r="W261" s="92"/>
      <c r="Y261" s="13"/>
      <c r="Z261" s="13"/>
      <c r="AA261" s="13"/>
    </row>
    <row r="262" spans="2:27" x14ac:dyDescent="0.25">
      <c r="B262" s="14"/>
      <c r="M262" s="82"/>
      <c r="N262" s="83"/>
      <c r="O262" s="80"/>
      <c r="P262" s="92"/>
      <c r="Q262" s="92"/>
      <c r="S262" s="82"/>
      <c r="T262" s="83"/>
      <c r="U262" s="80"/>
      <c r="V262" s="92"/>
      <c r="W262" s="92"/>
      <c r="Y262" s="13"/>
      <c r="Z262" s="13"/>
      <c r="AA262" s="13"/>
    </row>
    <row r="263" spans="2:27" x14ac:dyDescent="0.25">
      <c r="B263" s="14"/>
      <c r="M263" s="82"/>
      <c r="N263" s="83"/>
      <c r="O263" s="80"/>
      <c r="P263" s="92"/>
      <c r="Q263" s="92"/>
      <c r="S263" s="82"/>
      <c r="T263" s="83"/>
      <c r="U263" s="80"/>
      <c r="V263" s="92"/>
      <c r="W263" s="92"/>
      <c r="Y263" s="13"/>
      <c r="Z263" s="13"/>
      <c r="AA263" s="13"/>
    </row>
    <row r="264" spans="2:27" x14ac:dyDescent="0.25">
      <c r="B264" s="14"/>
      <c r="M264" s="82"/>
      <c r="N264" s="83"/>
      <c r="O264" s="80"/>
      <c r="P264" s="92"/>
      <c r="Q264" s="92"/>
      <c r="S264" s="82"/>
      <c r="T264" s="83"/>
      <c r="U264" s="80"/>
      <c r="V264" s="92"/>
      <c r="W264" s="92"/>
      <c r="Y264" s="13"/>
      <c r="Z264" s="13"/>
      <c r="AA264" s="13"/>
    </row>
    <row r="265" spans="2:27" x14ac:dyDescent="0.25">
      <c r="B265" s="14"/>
      <c r="M265" s="82"/>
      <c r="N265" s="83"/>
      <c r="O265" s="80"/>
      <c r="P265" s="92"/>
      <c r="Q265" s="92"/>
      <c r="S265" s="82"/>
      <c r="T265" s="83"/>
      <c r="U265" s="80"/>
      <c r="V265" s="92"/>
      <c r="W265" s="92"/>
      <c r="Y265" s="13"/>
      <c r="Z265" s="13"/>
      <c r="AA265" s="13"/>
    </row>
    <row r="266" spans="2:27" x14ac:dyDescent="0.25">
      <c r="B266" s="14"/>
      <c r="M266" s="82"/>
      <c r="N266" s="83"/>
      <c r="O266" s="80"/>
      <c r="P266" s="92"/>
      <c r="Q266" s="92"/>
      <c r="S266" s="82"/>
      <c r="T266" s="83"/>
      <c r="U266" s="80"/>
      <c r="V266" s="92"/>
      <c r="W266" s="92"/>
      <c r="Y266" s="13"/>
      <c r="Z266" s="13"/>
      <c r="AA266" s="13"/>
    </row>
    <row r="267" spans="2:27" x14ac:dyDescent="0.25">
      <c r="B267" s="14"/>
      <c r="M267" s="82"/>
      <c r="N267" s="83"/>
      <c r="O267" s="80"/>
      <c r="P267" s="92"/>
      <c r="Q267" s="92"/>
      <c r="S267" s="82"/>
      <c r="T267" s="83"/>
      <c r="U267" s="80"/>
      <c r="V267" s="92"/>
      <c r="W267" s="92"/>
      <c r="Y267" s="13"/>
      <c r="Z267" s="13"/>
      <c r="AA267" s="13"/>
    </row>
    <row r="268" spans="2:27" x14ac:dyDescent="0.25">
      <c r="B268" s="14"/>
      <c r="M268" s="82"/>
      <c r="N268" s="83"/>
      <c r="O268" s="80"/>
      <c r="P268" s="92"/>
      <c r="Q268" s="92"/>
      <c r="S268" s="82"/>
      <c r="T268" s="83"/>
      <c r="U268" s="80"/>
      <c r="V268" s="92"/>
      <c r="W268" s="92"/>
      <c r="Y268" s="13"/>
      <c r="Z268" s="13"/>
      <c r="AA268" s="13"/>
    </row>
    <row r="269" spans="2:27" x14ac:dyDescent="0.25">
      <c r="B269" s="14"/>
      <c r="M269" s="82"/>
      <c r="N269" s="83"/>
      <c r="O269" s="80"/>
      <c r="P269" s="92"/>
      <c r="Q269" s="92"/>
      <c r="S269" s="82"/>
      <c r="T269" s="83"/>
      <c r="U269" s="80"/>
      <c r="V269" s="92"/>
      <c r="W269" s="92"/>
      <c r="Y269" s="13"/>
      <c r="Z269" s="13"/>
      <c r="AA269" s="13"/>
    </row>
    <row r="270" spans="2:27" x14ac:dyDescent="0.25">
      <c r="B270" s="14"/>
      <c r="M270" s="82"/>
      <c r="N270" s="83"/>
      <c r="O270" s="80"/>
      <c r="P270" s="92"/>
      <c r="Q270" s="92"/>
      <c r="S270" s="82"/>
      <c r="T270" s="83"/>
      <c r="U270" s="80"/>
      <c r="V270" s="92"/>
      <c r="W270" s="92"/>
      <c r="Y270" s="13"/>
      <c r="Z270" s="13"/>
      <c r="AA270" s="13"/>
    </row>
    <row r="271" spans="2:27" x14ac:dyDescent="0.25">
      <c r="B271" s="14"/>
      <c r="M271" s="82"/>
      <c r="N271" s="83"/>
      <c r="O271" s="80"/>
      <c r="P271" s="92"/>
      <c r="Q271" s="92"/>
      <c r="S271" s="82"/>
      <c r="T271" s="83"/>
      <c r="U271" s="80"/>
      <c r="V271" s="92"/>
      <c r="W271" s="92"/>
      <c r="Y271" s="13"/>
      <c r="Z271" s="13"/>
      <c r="AA271" s="13"/>
    </row>
    <row r="272" spans="2:27" x14ac:dyDescent="0.25">
      <c r="B272" s="14"/>
      <c r="M272" s="82"/>
      <c r="N272" s="83"/>
      <c r="O272" s="80"/>
      <c r="P272" s="92"/>
      <c r="Q272" s="92"/>
      <c r="S272" s="82"/>
      <c r="T272" s="83"/>
      <c r="U272" s="80"/>
      <c r="V272" s="92"/>
      <c r="W272" s="92"/>
      <c r="Y272" s="13"/>
      <c r="Z272" s="13"/>
      <c r="AA272" s="13"/>
    </row>
    <row r="273" spans="2:27" x14ac:dyDescent="0.25">
      <c r="B273" s="14"/>
      <c r="M273" s="82"/>
      <c r="N273" s="83"/>
      <c r="O273" s="80"/>
      <c r="P273" s="92"/>
      <c r="Q273" s="92"/>
      <c r="S273" s="82"/>
      <c r="T273" s="83"/>
      <c r="U273" s="80"/>
      <c r="V273" s="92"/>
      <c r="W273" s="92"/>
      <c r="Y273" s="13"/>
      <c r="Z273" s="13"/>
      <c r="AA273" s="13"/>
    </row>
    <row r="274" spans="2:27" x14ac:dyDescent="0.25">
      <c r="B274" s="14"/>
      <c r="M274" s="82"/>
      <c r="N274" s="83"/>
      <c r="O274" s="80"/>
      <c r="P274" s="92"/>
      <c r="Q274" s="92"/>
      <c r="S274" s="82"/>
      <c r="T274" s="83"/>
      <c r="U274" s="80"/>
      <c r="V274" s="92"/>
      <c r="W274" s="92"/>
      <c r="Y274" s="13"/>
      <c r="Z274" s="13"/>
      <c r="AA274" s="13"/>
    </row>
    <row r="275" spans="2:27" x14ac:dyDescent="0.25">
      <c r="B275" s="14"/>
      <c r="M275" s="82"/>
      <c r="N275" s="83"/>
      <c r="O275" s="80"/>
      <c r="P275" s="92"/>
      <c r="Q275" s="92"/>
      <c r="S275" s="82"/>
      <c r="T275" s="83"/>
      <c r="U275" s="80"/>
      <c r="V275" s="92"/>
      <c r="W275" s="92"/>
      <c r="Y275" s="13"/>
      <c r="Z275" s="13"/>
      <c r="AA275" s="13"/>
    </row>
    <row r="276" spans="2:27" x14ac:dyDescent="0.25">
      <c r="B276" s="14"/>
      <c r="M276" s="82"/>
      <c r="N276" s="83"/>
      <c r="O276" s="80"/>
      <c r="P276" s="92"/>
      <c r="Q276" s="92"/>
      <c r="S276" s="82"/>
      <c r="T276" s="83"/>
      <c r="U276" s="80"/>
      <c r="V276" s="92"/>
      <c r="W276" s="92"/>
      <c r="Y276" s="13"/>
      <c r="Z276" s="13"/>
      <c r="AA276" s="13"/>
    </row>
    <row r="277" spans="2:27" x14ac:dyDescent="0.25">
      <c r="B277" s="14"/>
      <c r="M277" s="82"/>
      <c r="N277" s="83"/>
      <c r="O277" s="80"/>
      <c r="P277" s="92"/>
      <c r="Q277" s="92"/>
      <c r="S277" s="82"/>
      <c r="T277" s="83"/>
      <c r="U277" s="80"/>
      <c r="V277" s="92"/>
      <c r="W277" s="92"/>
      <c r="Y277" s="13"/>
      <c r="Z277" s="13"/>
      <c r="AA277" s="13"/>
    </row>
    <row r="278" spans="2:27" x14ac:dyDescent="0.25">
      <c r="B278" s="14"/>
      <c r="M278" s="82"/>
      <c r="N278" s="83"/>
      <c r="O278" s="80"/>
      <c r="P278" s="92"/>
      <c r="Q278" s="92"/>
      <c r="S278" s="82"/>
      <c r="T278" s="83"/>
      <c r="U278" s="80"/>
      <c r="V278" s="92"/>
      <c r="W278" s="92"/>
      <c r="Y278" s="13"/>
      <c r="Z278" s="13"/>
      <c r="AA278" s="13"/>
    </row>
    <row r="279" spans="2:27" x14ac:dyDescent="0.25">
      <c r="B279" s="14"/>
      <c r="M279" s="82"/>
      <c r="N279" s="83"/>
      <c r="O279" s="80"/>
      <c r="P279" s="92"/>
      <c r="Q279" s="92"/>
      <c r="S279" s="82"/>
      <c r="T279" s="83"/>
      <c r="U279" s="80"/>
      <c r="V279" s="92"/>
      <c r="W279" s="92"/>
      <c r="Y279" s="13"/>
      <c r="Z279" s="13"/>
      <c r="AA279" s="13"/>
    </row>
    <row r="280" spans="2:27" x14ac:dyDescent="0.25">
      <c r="B280" s="14"/>
      <c r="M280" s="82"/>
      <c r="N280" s="83"/>
      <c r="O280" s="80"/>
      <c r="P280" s="92"/>
      <c r="Q280" s="92"/>
      <c r="S280" s="82"/>
      <c r="T280" s="83"/>
      <c r="U280" s="80"/>
      <c r="V280" s="92"/>
      <c r="W280" s="92"/>
      <c r="Y280" s="13"/>
      <c r="Z280" s="13"/>
      <c r="AA280" s="13"/>
    </row>
    <row r="281" spans="2:27" x14ac:dyDescent="0.25">
      <c r="B281" s="14"/>
      <c r="M281" s="82"/>
      <c r="N281" s="83"/>
      <c r="O281" s="80"/>
      <c r="P281" s="92"/>
      <c r="Q281" s="92"/>
      <c r="S281" s="82"/>
      <c r="T281" s="83"/>
      <c r="U281" s="80"/>
      <c r="V281" s="92"/>
      <c r="W281" s="92"/>
      <c r="Y281" s="13"/>
      <c r="Z281" s="13"/>
      <c r="AA281" s="13"/>
    </row>
    <row r="282" spans="2:27" x14ac:dyDescent="0.25">
      <c r="B282" s="14"/>
      <c r="M282" s="82"/>
      <c r="N282" s="83"/>
      <c r="O282" s="80"/>
      <c r="P282" s="92"/>
      <c r="Q282" s="92"/>
      <c r="S282" s="82"/>
      <c r="T282" s="83"/>
      <c r="U282" s="80"/>
      <c r="V282" s="92"/>
      <c r="W282" s="92"/>
      <c r="Y282" s="13"/>
      <c r="Z282" s="13"/>
      <c r="AA282" s="13"/>
    </row>
    <row r="283" spans="2:27" x14ac:dyDescent="0.25">
      <c r="B283" s="14"/>
      <c r="M283" s="82"/>
      <c r="N283" s="83"/>
      <c r="O283" s="80"/>
      <c r="P283" s="92"/>
      <c r="Q283" s="92"/>
      <c r="S283" s="82"/>
      <c r="T283" s="83"/>
      <c r="U283" s="80"/>
      <c r="V283" s="92"/>
      <c r="W283" s="92"/>
      <c r="Y283" s="13"/>
      <c r="Z283" s="13"/>
      <c r="AA283" s="13"/>
    </row>
    <row r="284" spans="2:27" x14ac:dyDescent="0.25">
      <c r="B284" s="14"/>
      <c r="M284" s="82"/>
      <c r="N284" s="83"/>
      <c r="O284" s="80"/>
      <c r="P284" s="92"/>
      <c r="Q284" s="92"/>
      <c r="S284" s="82"/>
      <c r="T284" s="83"/>
      <c r="U284" s="80"/>
      <c r="V284" s="92"/>
      <c r="W284" s="92"/>
      <c r="Y284" s="13"/>
      <c r="Z284" s="13"/>
      <c r="AA284" s="13"/>
    </row>
    <row r="285" spans="2:27" x14ac:dyDescent="0.25">
      <c r="B285" s="14"/>
      <c r="M285" s="82"/>
      <c r="N285" s="83"/>
      <c r="O285" s="80"/>
      <c r="P285" s="92"/>
      <c r="Q285" s="92"/>
      <c r="S285" s="82"/>
      <c r="T285" s="83"/>
      <c r="U285" s="80"/>
      <c r="V285" s="92"/>
      <c r="W285" s="92"/>
      <c r="Y285" s="13"/>
      <c r="Z285" s="13"/>
      <c r="AA285" s="13"/>
    </row>
    <row r="286" spans="2:27" x14ac:dyDescent="0.25">
      <c r="B286" s="14"/>
      <c r="M286" s="82"/>
      <c r="N286" s="83"/>
      <c r="O286" s="80"/>
      <c r="P286" s="92"/>
      <c r="Q286" s="92"/>
      <c r="S286" s="82"/>
      <c r="T286" s="83"/>
      <c r="U286" s="80"/>
      <c r="V286" s="92"/>
      <c r="W286" s="92"/>
      <c r="Y286" s="13"/>
      <c r="Z286" s="13"/>
      <c r="AA286" s="13"/>
    </row>
    <row r="287" spans="2:27" x14ac:dyDescent="0.25">
      <c r="B287" s="14"/>
      <c r="M287" s="82"/>
      <c r="N287" s="83"/>
      <c r="O287" s="80"/>
      <c r="P287" s="92"/>
      <c r="Q287" s="92"/>
      <c r="S287" s="82"/>
      <c r="T287" s="83"/>
      <c r="U287" s="80"/>
      <c r="V287" s="92"/>
      <c r="W287" s="92"/>
      <c r="Y287" s="13"/>
      <c r="Z287" s="13"/>
      <c r="AA287" s="13"/>
    </row>
    <row r="288" spans="2:27" x14ac:dyDescent="0.25">
      <c r="B288" s="14"/>
      <c r="M288" s="82"/>
      <c r="N288" s="83"/>
      <c r="O288" s="80"/>
      <c r="P288" s="92"/>
      <c r="Q288" s="92"/>
      <c r="S288" s="82"/>
      <c r="T288" s="83"/>
      <c r="U288" s="80"/>
      <c r="V288" s="92"/>
      <c r="W288" s="92"/>
      <c r="Y288" s="13"/>
      <c r="Z288" s="13"/>
      <c r="AA288" s="13"/>
    </row>
    <row r="289" spans="2:27" x14ac:dyDescent="0.25">
      <c r="B289" s="14"/>
      <c r="M289" s="82"/>
      <c r="N289" s="83"/>
      <c r="O289" s="80"/>
      <c r="P289" s="92"/>
      <c r="Q289" s="92"/>
      <c r="S289" s="82"/>
      <c r="T289" s="83"/>
      <c r="U289" s="80"/>
      <c r="V289" s="92"/>
      <c r="W289" s="92"/>
      <c r="Y289" s="13"/>
      <c r="Z289" s="13"/>
      <c r="AA289" s="13"/>
    </row>
    <row r="290" spans="2:27" x14ac:dyDescent="0.25">
      <c r="B290" s="14"/>
      <c r="M290" s="82"/>
      <c r="N290" s="83"/>
      <c r="O290" s="80"/>
      <c r="P290" s="92"/>
      <c r="Q290" s="92"/>
      <c r="S290" s="82"/>
      <c r="T290" s="83"/>
      <c r="U290" s="80"/>
      <c r="V290" s="92"/>
      <c r="W290" s="92"/>
      <c r="Y290" s="13"/>
      <c r="Z290" s="13"/>
      <c r="AA290" s="13"/>
    </row>
    <row r="291" spans="2:27" x14ac:dyDescent="0.25">
      <c r="B291" s="14"/>
      <c r="M291" s="82"/>
      <c r="N291" s="83"/>
      <c r="O291" s="80"/>
      <c r="P291" s="92"/>
      <c r="Q291" s="92"/>
      <c r="S291" s="82"/>
      <c r="T291" s="83"/>
      <c r="U291" s="80"/>
      <c r="V291" s="92"/>
      <c r="W291" s="92"/>
      <c r="Y291" s="13"/>
      <c r="Z291" s="13"/>
      <c r="AA291" s="13"/>
    </row>
    <row r="292" spans="2:27" x14ac:dyDescent="0.25">
      <c r="B292" s="14"/>
      <c r="M292" s="82"/>
      <c r="N292" s="83"/>
      <c r="O292" s="80"/>
      <c r="P292" s="92"/>
      <c r="Q292" s="92"/>
      <c r="S292" s="82"/>
      <c r="T292" s="83"/>
      <c r="U292" s="80"/>
      <c r="V292" s="92"/>
      <c r="W292" s="92"/>
      <c r="Y292" s="13"/>
      <c r="Z292" s="13"/>
      <c r="AA292" s="13"/>
    </row>
    <row r="293" spans="2:27" x14ac:dyDescent="0.25">
      <c r="B293" s="14"/>
      <c r="M293" s="82"/>
      <c r="N293" s="83"/>
      <c r="O293" s="80"/>
      <c r="P293" s="92"/>
      <c r="Q293" s="92"/>
      <c r="S293" s="82"/>
      <c r="T293" s="83"/>
      <c r="U293" s="80"/>
      <c r="V293" s="92"/>
      <c r="W293" s="92"/>
      <c r="Y293" s="13"/>
      <c r="Z293" s="13"/>
      <c r="AA293" s="13"/>
    </row>
    <row r="294" spans="2:27" x14ac:dyDescent="0.25">
      <c r="B294" s="14"/>
      <c r="M294" s="82"/>
      <c r="N294" s="83"/>
      <c r="O294" s="80"/>
      <c r="P294" s="92"/>
      <c r="Q294" s="92"/>
      <c r="S294" s="82"/>
      <c r="T294" s="83"/>
      <c r="U294" s="80"/>
      <c r="V294" s="92"/>
      <c r="W294" s="92"/>
      <c r="Y294" s="13"/>
      <c r="Z294" s="13"/>
      <c r="AA294" s="13"/>
    </row>
    <row r="295" spans="2:27" x14ac:dyDescent="0.25">
      <c r="B295" s="14"/>
      <c r="M295" s="82"/>
      <c r="N295" s="83"/>
      <c r="O295" s="80"/>
      <c r="P295" s="92"/>
      <c r="Q295" s="92"/>
      <c r="S295" s="82"/>
      <c r="T295" s="83"/>
      <c r="U295" s="80"/>
      <c r="V295" s="92"/>
      <c r="W295" s="92"/>
      <c r="Y295" s="13"/>
      <c r="Z295" s="13"/>
      <c r="AA295" s="13"/>
    </row>
    <row r="296" spans="2:27" x14ac:dyDescent="0.25">
      <c r="B296" s="14"/>
      <c r="M296" s="82"/>
      <c r="N296" s="83"/>
      <c r="O296" s="80"/>
      <c r="P296" s="92"/>
      <c r="Q296" s="92"/>
      <c r="S296" s="82"/>
      <c r="T296" s="83"/>
      <c r="U296" s="80"/>
      <c r="V296" s="92"/>
      <c r="W296" s="92"/>
      <c r="Y296" s="12"/>
      <c r="Z296" s="13"/>
      <c r="AA296" s="13"/>
    </row>
    <row r="297" spans="2:27" x14ac:dyDescent="0.25">
      <c r="B297" s="14"/>
      <c r="M297" s="12"/>
      <c r="N297" s="16"/>
      <c r="O297" s="16"/>
      <c r="S297" s="82"/>
      <c r="T297" s="83"/>
      <c r="U297" s="80"/>
      <c r="V297" s="92"/>
      <c r="W297" s="92"/>
      <c r="Y297" s="12"/>
      <c r="Z297" s="13"/>
      <c r="AA297" s="13"/>
    </row>
    <row r="298" spans="2:27" x14ac:dyDescent="0.25">
      <c r="B298" s="14"/>
      <c r="M298" s="12"/>
      <c r="N298" s="16"/>
      <c r="O298" s="16"/>
      <c r="S298" s="82"/>
      <c r="T298" s="83"/>
      <c r="U298" s="80"/>
      <c r="V298" s="92"/>
      <c r="W298" s="92"/>
      <c r="Y298" s="12"/>
      <c r="Z298" s="13"/>
      <c r="AA298" s="13"/>
    </row>
    <row r="299" spans="2:27" x14ac:dyDescent="0.25">
      <c r="B299" s="14"/>
      <c r="M299" s="12"/>
      <c r="N299" s="16"/>
      <c r="O299" s="16"/>
      <c r="S299" s="82"/>
      <c r="T299" s="83"/>
      <c r="U299" s="80"/>
      <c r="V299" s="92"/>
      <c r="W299" s="92"/>
      <c r="Y299" s="12"/>
      <c r="Z299" s="13"/>
      <c r="AA299" s="13"/>
    </row>
    <row r="300" spans="2:27" x14ac:dyDescent="0.25">
      <c r="B300" s="14"/>
      <c r="M300" s="12"/>
      <c r="N300" s="16"/>
      <c r="O300" s="16"/>
      <c r="S300" s="82"/>
      <c r="T300" s="83"/>
      <c r="U300" s="80"/>
      <c r="V300" s="92"/>
      <c r="W300" s="92"/>
      <c r="Y300" s="12"/>
      <c r="Z300" s="13"/>
      <c r="AA300" s="13"/>
    </row>
    <row r="301" spans="2:27" x14ac:dyDescent="0.25">
      <c r="B301" s="14"/>
      <c r="M301" s="12"/>
      <c r="N301" s="16"/>
      <c r="O301" s="16"/>
      <c r="S301" s="82"/>
      <c r="T301" s="83"/>
      <c r="U301" s="80"/>
      <c r="V301" s="92"/>
      <c r="W301" s="92"/>
      <c r="Y301" s="12"/>
      <c r="Z301" s="13"/>
      <c r="AA301" s="13"/>
    </row>
    <row r="302" spans="2:27" x14ac:dyDescent="0.25">
      <c r="B302" s="14"/>
      <c r="M302" s="12"/>
      <c r="N302" s="16"/>
      <c r="O302" s="16"/>
      <c r="S302" s="82"/>
      <c r="T302" s="83"/>
      <c r="U302" s="80"/>
      <c r="V302" s="92"/>
      <c r="W302" s="92"/>
      <c r="Y302" s="12"/>
      <c r="Z302" s="13"/>
      <c r="AA302" s="13"/>
    </row>
    <row r="303" spans="2:27" x14ac:dyDescent="0.25">
      <c r="B303" s="14"/>
      <c r="M303" s="12"/>
      <c r="N303" s="16"/>
      <c r="O303" s="16"/>
      <c r="S303" s="82"/>
      <c r="T303" s="83"/>
      <c r="U303" s="80"/>
      <c r="V303" s="92"/>
      <c r="W303" s="92"/>
      <c r="Y303" s="12"/>
      <c r="Z303" s="13"/>
      <c r="AA303" s="13"/>
    </row>
    <row r="304" spans="2:27" x14ac:dyDescent="0.25">
      <c r="B304" s="14"/>
      <c r="M304" s="12"/>
      <c r="N304" s="16"/>
      <c r="O304" s="16"/>
      <c r="S304" s="82"/>
      <c r="T304" s="83"/>
      <c r="U304" s="80"/>
      <c r="V304" s="92"/>
      <c r="W304" s="92"/>
      <c r="Y304" s="12"/>
      <c r="Z304" s="13"/>
      <c r="AA304" s="13"/>
    </row>
    <row r="305" spans="2:27" x14ac:dyDescent="0.25">
      <c r="B305" s="14"/>
      <c r="M305" s="12"/>
      <c r="N305" s="16"/>
      <c r="O305" s="16"/>
      <c r="S305" s="82"/>
      <c r="T305" s="83"/>
      <c r="U305" s="80"/>
      <c r="V305" s="92"/>
      <c r="W305" s="92"/>
      <c r="Y305" s="12"/>
      <c r="Z305" s="13"/>
      <c r="AA305" s="13"/>
    </row>
    <row r="306" spans="2:27" x14ac:dyDescent="0.25">
      <c r="B306" s="14"/>
      <c r="M306" s="12"/>
      <c r="N306" s="16"/>
      <c r="O306" s="16"/>
      <c r="S306" s="82"/>
      <c r="T306" s="83"/>
      <c r="U306" s="80"/>
      <c r="V306" s="92"/>
      <c r="W306" s="92"/>
      <c r="Y306" s="12"/>
      <c r="Z306" s="13"/>
      <c r="AA306" s="13"/>
    </row>
    <row r="307" spans="2:27" x14ac:dyDescent="0.25">
      <c r="B307" s="14"/>
      <c r="M307" s="12"/>
      <c r="N307" s="16"/>
      <c r="O307" s="16"/>
      <c r="S307" s="82"/>
      <c r="T307" s="83"/>
      <c r="U307" s="80"/>
      <c r="V307" s="92"/>
      <c r="W307" s="92"/>
      <c r="Y307" s="12"/>
      <c r="Z307" s="13"/>
      <c r="AA307" s="13"/>
    </row>
    <row r="308" spans="2:27" x14ac:dyDescent="0.25">
      <c r="B308" s="14"/>
      <c r="M308" s="12"/>
      <c r="N308" s="16"/>
      <c r="O308" s="16"/>
      <c r="S308" s="82"/>
      <c r="T308" s="83"/>
      <c r="U308" s="80"/>
      <c r="V308" s="92"/>
      <c r="W308" s="92"/>
      <c r="Y308" s="12"/>
      <c r="Z308" s="13"/>
      <c r="AA308" s="13"/>
    </row>
    <row r="309" spans="2:27" x14ac:dyDescent="0.25">
      <c r="B309" s="14"/>
      <c r="M309" s="12"/>
      <c r="N309" s="16"/>
      <c r="O309" s="16"/>
      <c r="S309" s="82"/>
      <c r="T309" s="83"/>
      <c r="U309" s="80"/>
      <c r="V309" s="92"/>
      <c r="W309" s="92"/>
      <c r="Y309" s="12"/>
      <c r="Z309" s="13"/>
      <c r="AA309" s="13"/>
    </row>
    <row r="310" spans="2:27" x14ac:dyDescent="0.25">
      <c r="B310" s="14"/>
      <c r="M310" s="12"/>
      <c r="N310" s="16"/>
      <c r="O310" s="16"/>
      <c r="S310" s="82"/>
      <c r="T310" s="83"/>
      <c r="U310" s="80"/>
      <c r="V310" s="92"/>
      <c r="W310" s="92"/>
      <c r="Y310" s="12"/>
      <c r="Z310" s="13"/>
      <c r="AA310" s="13"/>
    </row>
    <row r="311" spans="2:27" x14ac:dyDescent="0.25">
      <c r="B311" s="14"/>
      <c r="M311" s="12"/>
      <c r="N311" s="16"/>
      <c r="O311" s="16"/>
      <c r="S311" s="82"/>
      <c r="T311" s="83"/>
      <c r="U311" s="80"/>
      <c r="V311" s="92"/>
      <c r="W311" s="92"/>
      <c r="Y311" s="12"/>
      <c r="Z311" s="13"/>
      <c r="AA311" s="13"/>
    </row>
    <row r="312" spans="2:27" x14ac:dyDescent="0.25">
      <c r="B312" s="14"/>
      <c r="M312" s="12"/>
      <c r="N312" s="16"/>
      <c r="O312" s="16"/>
      <c r="S312" s="82"/>
      <c r="T312" s="83"/>
      <c r="U312" s="80"/>
      <c r="V312" s="92"/>
      <c r="W312" s="92"/>
      <c r="Y312" s="12"/>
      <c r="Z312" s="13"/>
      <c r="AA312" s="13"/>
    </row>
    <row r="313" spans="2:27" x14ac:dyDescent="0.25">
      <c r="B313" s="14"/>
      <c r="M313" s="12"/>
      <c r="N313" s="16"/>
      <c r="O313" s="16"/>
      <c r="S313" s="82"/>
      <c r="T313" s="83"/>
      <c r="U313" s="80"/>
      <c r="V313" s="92"/>
      <c r="W313" s="92"/>
      <c r="Y313" s="12"/>
      <c r="Z313" s="13"/>
      <c r="AA313" s="13"/>
    </row>
    <row r="314" spans="2:27" x14ac:dyDescent="0.25">
      <c r="B314" s="14"/>
      <c r="M314" s="12"/>
      <c r="N314" s="16"/>
      <c r="O314" s="16"/>
      <c r="S314" s="82"/>
      <c r="T314" s="83"/>
      <c r="U314" s="80"/>
      <c r="V314" s="92"/>
      <c r="W314" s="92"/>
      <c r="Y314" s="12"/>
      <c r="Z314" s="13"/>
      <c r="AA314" s="13"/>
    </row>
    <row r="315" spans="2:27" x14ac:dyDescent="0.25">
      <c r="B315" s="14"/>
      <c r="M315" s="12"/>
      <c r="N315" s="16"/>
      <c r="O315" s="16"/>
      <c r="S315" s="82"/>
      <c r="T315" s="83"/>
      <c r="U315" s="80"/>
      <c r="V315" s="92"/>
      <c r="W315" s="92"/>
      <c r="Y315" s="12"/>
      <c r="Z315" s="13"/>
      <c r="AA315" s="13"/>
    </row>
    <row r="316" spans="2:27" x14ac:dyDescent="0.25">
      <c r="B316" s="14"/>
      <c r="M316" s="12"/>
      <c r="N316" s="16"/>
      <c r="O316" s="16"/>
      <c r="S316" s="82"/>
      <c r="T316" s="83"/>
      <c r="U316" s="80"/>
      <c r="V316" s="92"/>
      <c r="W316" s="92"/>
      <c r="Y316" s="12"/>
      <c r="Z316" s="13"/>
      <c r="AA316" s="13"/>
    </row>
    <row r="317" spans="2:27" x14ac:dyDescent="0.25">
      <c r="B317" s="14"/>
      <c r="M317" s="12"/>
      <c r="N317" s="16"/>
      <c r="O317" s="16"/>
      <c r="S317" s="82"/>
      <c r="T317" s="83"/>
      <c r="U317" s="80"/>
      <c r="V317" s="92"/>
      <c r="W317" s="92"/>
      <c r="Y317" s="12"/>
      <c r="Z317" s="13"/>
      <c r="AA317" s="13"/>
    </row>
    <row r="318" spans="2:27" x14ac:dyDescent="0.25">
      <c r="B318" s="14"/>
      <c r="M318" s="12"/>
      <c r="N318" s="16"/>
      <c r="O318" s="16"/>
      <c r="S318" s="82"/>
      <c r="T318" s="83"/>
      <c r="U318" s="80"/>
      <c r="V318" s="92"/>
      <c r="W318" s="92"/>
      <c r="Y318" s="12"/>
      <c r="Z318" s="13"/>
      <c r="AA318" s="13"/>
    </row>
    <row r="319" spans="2:27" x14ac:dyDescent="0.25">
      <c r="B319" s="14"/>
      <c r="M319" s="12"/>
      <c r="N319" s="16"/>
      <c r="O319" s="16"/>
      <c r="S319" s="82"/>
      <c r="T319" s="83"/>
      <c r="U319" s="80"/>
      <c r="V319" s="92"/>
      <c r="W319" s="92"/>
      <c r="Y319" s="12"/>
      <c r="Z319" s="13"/>
      <c r="AA319" s="13"/>
    </row>
    <row r="320" spans="2:27" x14ac:dyDescent="0.25">
      <c r="B320" s="14"/>
      <c r="M320" s="12"/>
      <c r="N320" s="16"/>
      <c r="O320" s="16"/>
      <c r="S320" s="82"/>
      <c r="T320" s="83"/>
      <c r="U320" s="80"/>
      <c r="V320" s="92"/>
      <c r="W320" s="92"/>
      <c r="Y320" s="12"/>
      <c r="Z320" s="13"/>
      <c r="AA320" s="13"/>
    </row>
    <row r="321" spans="2:27" x14ac:dyDescent="0.25">
      <c r="B321" s="14"/>
      <c r="M321" s="12"/>
      <c r="N321" s="16"/>
      <c r="O321" s="16"/>
      <c r="S321" s="82"/>
      <c r="T321" s="83"/>
      <c r="U321" s="80"/>
      <c r="V321" s="92"/>
      <c r="W321" s="92"/>
      <c r="Y321" s="12"/>
      <c r="Z321" s="13"/>
      <c r="AA321" s="13"/>
    </row>
    <row r="322" spans="2:27" x14ac:dyDescent="0.25">
      <c r="B322" s="14"/>
      <c r="M322" s="12"/>
      <c r="N322" s="16"/>
      <c r="O322" s="16"/>
      <c r="S322" s="82"/>
      <c r="T322" s="83"/>
      <c r="U322" s="80"/>
      <c r="V322" s="92"/>
      <c r="W322" s="92"/>
      <c r="Y322" s="12"/>
      <c r="Z322" s="13"/>
      <c r="AA322" s="13"/>
    </row>
    <row r="323" spans="2:27" x14ac:dyDescent="0.25">
      <c r="B323" s="14"/>
      <c r="M323" s="12"/>
      <c r="N323" s="16"/>
      <c r="O323" s="16"/>
      <c r="S323" s="82"/>
      <c r="T323" s="83"/>
      <c r="U323" s="80"/>
      <c r="V323" s="92"/>
      <c r="W323" s="92"/>
      <c r="Y323" s="12"/>
      <c r="Z323" s="13"/>
      <c r="AA323" s="13"/>
    </row>
    <row r="324" spans="2:27" x14ac:dyDescent="0.25">
      <c r="B324" s="14"/>
      <c r="M324" s="12"/>
      <c r="N324" s="16"/>
      <c r="O324" s="16"/>
      <c r="S324" s="82"/>
      <c r="T324" s="83"/>
      <c r="U324" s="80"/>
      <c r="V324" s="92"/>
      <c r="W324" s="92"/>
      <c r="Y324" s="12"/>
      <c r="Z324" s="13"/>
      <c r="AA324" s="13"/>
    </row>
    <row r="325" spans="2:27" x14ac:dyDescent="0.25">
      <c r="B325" s="14"/>
      <c r="M325" s="12"/>
      <c r="N325" s="16"/>
      <c r="O325" s="16"/>
      <c r="S325" s="82"/>
      <c r="T325" s="83"/>
      <c r="U325" s="80"/>
      <c r="V325" s="92"/>
      <c r="W325" s="92"/>
      <c r="Y325" s="12"/>
      <c r="Z325" s="13"/>
      <c r="AA325" s="13"/>
    </row>
    <row r="326" spans="2:27" x14ac:dyDescent="0.25">
      <c r="B326" s="14"/>
      <c r="M326" s="12"/>
      <c r="N326" s="16"/>
      <c r="O326" s="16"/>
      <c r="S326" s="82"/>
      <c r="T326" s="83"/>
      <c r="U326" s="80"/>
      <c r="V326" s="92"/>
      <c r="W326" s="92"/>
      <c r="Y326" s="12"/>
      <c r="Z326" s="13"/>
      <c r="AA326" s="13"/>
    </row>
    <row r="327" spans="2:27" x14ac:dyDescent="0.25">
      <c r="B327" s="14"/>
      <c r="M327" s="12"/>
      <c r="N327" s="16"/>
      <c r="O327" s="16"/>
      <c r="S327" s="82"/>
      <c r="T327" s="83"/>
      <c r="U327" s="80"/>
      <c r="V327" s="92"/>
      <c r="W327" s="92"/>
      <c r="Y327" s="12"/>
      <c r="Z327" s="13"/>
      <c r="AA327" s="13"/>
    </row>
    <row r="328" spans="2:27" x14ac:dyDescent="0.25">
      <c r="B328" s="14"/>
      <c r="M328" s="12"/>
      <c r="N328" s="16"/>
      <c r="O328" s="16"/>
      <c r="S328" s="82"/>
      <c r="T328" s="83"/>
      <c r="U328" s="80"/>
      <c r="V328" s="92"/>
      <c r="W328" s="92"/>
      <c r="Y328" s="12"/>
      <c r="Z328" s="13"/>
      <c r="AA328" s="13"/>
    </row>
    <row r="329" spans="2:27" x14ac:dyDescent="0.25">
      <c r="B329" s="14"/>
      <c r="M329" s="12"/>
      <c r="N329" s="16"/>
      <c r="O329" s="16"/>
      <c r="T329" s="15"/>
      <c r="U329" s="14"/>
      <c r="Y329" s="12"/>
      <c r="Z329" s="13"/>
      <c r="AA329" s="13"/>
    </row>
    <row r="330" spans="2:27" x14ac:dyDescent="0.25">
      <c r="B330" s="14"/>
      <c r="M330" s="12"/>
      <c r="N330" s="16"/>
      <c r="O330" s="16"/>
      <c r="T330" s="15"/>
      <c r="U330" s="14"/>
      <c r="Y330" s="12"/>
      <c r="Z330" s="13"/>
      <c r="AA330" s="13"/>
    </row>
    <row r="331" spans="2:27" x14ac:dyDescent="0.25">
      <c r="B331" s="14"/>
      <c r="M331" s="12"/>
      <c r="N331" s="16"/>
      <c r="O331" s="16"/>
      <c r="T331" s="15"/>
      <c r="U331" s="14"/>
      <c r="Y331" s="12"/>
      <c r="Z331" s="13"/>
      <c r="AA331" s="13"/>
    </row>
    <row r="332" spans="2:27" x14ac:dyDescent="0.25">
      <c r="B332" s="14"/>
      <c r="M332" s="12"/>
      <c r="N332" s="16"/>
      <c r="O332" s="16"/>
      <c r="T332" s="15"/>
      <c r="U332" s="14"/>
      <c r="Z332" s="14"/>
      <c r="AA332" s="14"/>
    </row>
    <row r="333" spans="2:27" x14ac:dyDescent="0.25">
      <c r="B333" s="14"/>
      <c r="M333" s="12"/>
      <c r="N333" s="16"/>
      <c r="O333" s="16"/>
      <c r="T333" s="15"/>
      <c r="U333" s="14"/>
      <c r="Z333" s="14"/>
      <c r="AA333" s="14"/>
    </row>
    <row r="334" spans="2:27" x14ac:dyDescent="0.25">
      <c r="B334" s="14"/>
      <c r="M334" s="12"/>
      <c r="N334" s="16"/>
      <c r="O334" s="16"/>
      <c r="T334" s="15"/>
      <c r="U334" s="14"/>
      <c r="Z334" s="14"/>
      <c r="AA334" s="14"/>
    </row>
    <row r="335" spans="2:27" x14ac:dyDescent="0.25">
      <c r="B335" s="14"/>
      <c r="M335" s="12"/>
      <c r="N335" s="16"/>
      <c r="O335" s="16"/>
      <c r="T335" s="15"/>
      <c r="U335" s="14"/>
      <c r="Z335" s="14"/>
      <c r="AA335" s="14"/>
    </row>
    <row r="336" spans="2:27" x14ac:dyDescent="0.25">
      <c r="B336" s="14"/>
      <c r="M336" s="12"/>
      <c r="N336" s="16"/>
      <c r="O336" s="16"/>
      <c r="T336" s="15"/>
      <c r="U336" s="14"/>
      <c r="Z336" s="14"/>
      <c r="AA336" s="14"/>
    </row>
    <row r="337" spans="2:27" x14ac:dyDescent="0.25">
      <c r="B337" s="14"/>
      <c r="M337" s="12"/>
      <c r="N337" s="16"/>
      <c r="O337" s="16"/>
      <c r="T337" s="15"/>
      <c r="U337" s="14"/>
      <c r="Z337" s="14"/>
      <c r="AA337" s="14"/>
    </row>
    <row r="338" spans="2:27" x14ac:dyDescent="0.25">
      <c r="B338" s="14"/>
      <c r="M338" s="12"/>
      <c r="N338" s="16"/>
      <c r="O338" s="16"/>
      <c r="T338" s="15"/>
      <c r="U338" s="14"/>
      <c r="Z338" s="14"/>
      <c r="AA338" s="14"/>
    </row>
    <row r="339" spans="2:27" x14ac:dyDescent="0.25">
      <c r="B339" s="14"/>
      <c r="M339" s="12"/>
      <c r="N339" s="16"/>
      <c r="O339" s="16"/>
      <c r="T339" s="15"/>
      <c r="U339" s="14"/>
      <c r="Z339" s="14"/>
      <c r="AA339" s="14"/>
    </row>
    <row r="340" spans="2:27" x14ac:dyDescent="0.25">
      <c r="B340" s="14"/>
      <c r="M340" s="12"/>
      <c r="N340" s="16"/>
      <c r="O340" s="16"/>
      <c r="T340" s="15"/>
      <c r="U340" s="14"/>
      <c r="Z340" s="14"/>
      <c r="AA340" s="14"/>
    </row>
    <row r="341" spans="2:27" x14ac:dyDescent="0.25">
      <c r="B341" s="14"/>
      <c r="M341" s="12"/>
      <c r="N341" s="16"/>
      <c r="O341" s="16"/>
      <c r="T341" s="15"/>
      <c r="U341" s="14"/>
      <c r="Z341" s="14"/>
      <c r="AA341" s="14"/>
    </row>
    <row r="342" spans="2:27" x14ac:dyDescent="0.25">
      <c r="B342" s="14"/>
      <c r="M342" s="12"/>
      <c r="N342" s="16"/>
      <c r="O342" s="16"/>
      <c r="T342" s="15"/>
      <c r="U342" s="14"/>
      <c r="Z342" s="14"/>
      <c r="AA342" s="14"/>
    </row>
    <row r="343" spans="2:27" x14ac:dyDescent="0.25">
      <c r="B343" s="14"/>
      <c r="M343" s="12"/>
      <c r="N343" s="16"/>
      <c r="O343" s="16"/>
      <c r="T343" s="15"/>
      <c r="U343" s="14"/>
      <c r="Z343" s="14"/>
      <c r="AA343" s="14"/>
    </row>
    <row r="344" spans="2:27" x14ac:dyDescent="0.25">
      <c r="B344" s="14"/>
      <c r="M344" s="12"/>
      <c r="N344" s="16"/>
      <c r="O344" s="16"/>
      <c r="T344" s="15"/>
      <c r="U344" s="14"/>
      <c r="Z344" s="14"/>
      <c r="AA344" s="14"/>
    </row>
    <row r="345" spans="2:27" x14ac:dyDescent="0.25">
      <c r="B345" s="14"/>
      <c r="M345" s="12"/>
      <c r="N345" s="16"/>
      <c r="O345" s="16"/>
      <c r="T345" s="15"/>
      <c r="U345" s="14"/>
      <c r="Z345" s="14"/>
      <c r="AA345" s="14"/>
    </row>
    <row r="346" spans="2:27" x14ac:dyDescent="0.25">
      <c r="B346" s="14"/>
      <c r="M346" s="12"/>
      <c r="N346" s="16"/>
      <c r="O346" s="16"/>
      <c r="T346" s="15"/>
      <c r="U346" s="14"/>
      <c r="Z346" s="14"/>
      <c r="AA346" s="14"/>
    </row>
    <row r="347" spans="2:27" x14ac:dyDescent="0.25">
      <c r="B347" s="14"/>
      <c r="M347" s="12"/>
      <c r="N347" s="16"/>
      <c r="O347" s="16"/>
      <c r="T347" s="15"/>
      <c r="U347" s="14"/>
      <c r="Z347" s="14"/>
      <c r="AA347" s="14"/>
    </row>
    <row r="348" spans="2:27" x14ac:dyDescent="0.25">
      <c r="B348" s="14"/>
      <c r="M348" s="12"/>
      <c r="N348" s="16"/>
      <c r="O348" s="16"/>
      <c r="T348" s="15"/>
      <c r="U348" s="14"/>
      <c r="Z348" s="14"/>
      <c r="AA348" s="14"/>
    </row>
    <row r="349" spans="2:27" x14ac:dyDescent="0.25">
      <c r="B349" s="14"/>
      <c r="M349" s="12"/>
      <c r="N349" s="16"/>
      <c r="O349" s="16"/>
      <c r="T349" s="15"/>
      <c r="U349" s="14"/>
      <c r="Z349" s="14"/>
      <c r="AA349" s="14"/>
    </row>
    <row r="350" spans="2:27" x14ac:dyDescent="0.25">
      <c r="B350" s="14"/>
      <c r="M350" s="12"/>
      <c r="N350" s="16"/>
      <c r="O350" s="16"/>
      <c r="T350" s="15"/>
      <c r="U350" s="14"/>
      <c r="Z350" s="14"/>
      <c r="AA350" s="14"/>
    </row>
    <row r="351" spans="2:27" x14ac:dyDescent="0.25">
      <c r="B351" s="14"/>
      <c r="M351" s="12"/>
      <c r="N351" s="16"/>
      <c r="O351" s="16"/>
      <c r="T351" s="15"/>
      <c r="U351" s="14"/>
      <c r="Z351" s="14"/>
      <c r="AA351" s="14"/>
    </row>
    <row r="352" spans="2:27" x14ac:dyDescent="0.25">
      <c r="B352" s="14"/>
      <c r="M352" s="12"/>
      <c r="N352" s="16"/>
      <c r="O352" s="16"/>
      <c r="T352" s="15"/>
      <c r="U352" s="14"/>
      <c r="Z352" s="14"/>
      <c r="AA352" s="14"/>
    </row>
    <row r="353" spans="2:27" x14ac:dyDescent="0.25">
      <c r="B353" s="14"/>
      <c r="M353" s="12"/>
      <c r="N353" s="16"/>
      <c r="O353" s="16"/>
      <c r="T353" s="15"/>
      <c r="U353" s="14"/>
      <c r="Z353" s="14"/>
      <c r="AA353" s="14"/>
    </row>
    <row r="354" spans="2:27" x14ac:dyDescent="0.25">
      <c r="B354" s="14"/>
      <c r="M354" s="12"/>
      <c r="N354" s="16"/>
      <c r="O354" s="16"/>
      <c r="T354" s="15"/>
      <c r="U354" s="14"/>
      <c r="Z354" s="14"/>
      <c r="AA354" s="14"/>
    </row>
    <row r="355" spans="2:27" x14ac:dyDescent="0.25">
      <c r="B355" s="14"/>
      <c r="M355" s="12"/>
      <c r="N355" s="16"/>
      <c r="O355" s="16"/>
      <c r="T355" s="15"/>
      <c r="U355" s="14"/>
      <c r="Z355" s="14"/>
      <c r="AA355" s="14"/>
    </row>
    <row r="356" spans="2:27" x14ac:dyDescent="0.25">
      <c r="B356" s="14"/>
      <c r="M356" s="12"/>
      <c r="N356" s="16"/>
      <c r="O356" s="16"/>
      <c r="T356" s="15"/>
      <c r="U356" s="14"/>
      <c r="Z356" s="14"/>
      <c r="AA356" s="14"/>
    </row>
    <row r="357" spans="2:27" x14ac:dyDescent="0.25">
      <c r="B357" s="14"/>
      <c r="M357" s="12"/>
      <c r="N357" s="16"/>
      <c r="O357" s="16"/>
      <c r="T357" s="15"/>
      <c r="U357" s="14"/>
      <c r="Z357" s="14"/>
      <c r="AA357" s="14"/>
    </row>
    <row r="358" spans="2:27" x14ac:dyDescent="0.25">
      <c r="B358" s="14"/>
      <c r="M358" s="12"/>
      <c r="N358" s="16"/>
      <c r="O358" s="16"/>
      <c r="T358" s="15"/>
      <c r="U358" s="14"/>
      <c r="Z358" s="14"/>
      <c r="AA358" s="14"/>
    </row>
    <row r="359" spans="2:27" x14ac:dyDescent="0.25">
      <c r="B359" s="14"/>
      <c r="M359" s="12"/>
      <c r="N359" s="16"/>
      <c r="O359" s="16"/>
      <c r="T359" s="15"/>
      <c r="U359" s="14"/>
      <c r="Z359" s="14"/>
      <c r="AA359" s="14"/>
    </row>
    <row r="360" spans="2:27" x14ac:dyDescent="0.25">
      <c r="B360" s="14"/>
      <c r="N360" s="15"/>
      <c r="O360" s="15"/>
      <c r="T360" s="15"/>
      <c r="U360" s="14"/>
      <c r="Z360" s="14"/>
      <c r="AA360" s="14"/>
    </row>
    <row r="361" spans="2:27" x14ac:dyDescent="0.25">
      <c r="B361" s="14"/>
      <c r="N361" s="15"/>
      <c r="O361" s="15"/>
      <c r="T361" s="15"/>
      <c r="U361" s="14"/>
      <c r="Z361" s="14"/>
      <c r="AA361" s="14"/>
    </row>
    <row r="362" spans="2:27" x14ac:dyDescent="0.25">
      <c r="B362" s="14"/>
      <c r="N362" s="15"/>
      <c r="O362" s="15"/>
      <c r="T362" s="15"/>
      <c r="U362" s="14"/>
      <c r="Z362" s="14"/>
      <c r="AA362" s="14"/>
    </row>
    <row r="363" spans="2:27" x14ac:dyDescent="0.25">
      <c r="B363" s="14"/>
      <c r="N363" s="15"/>
      <c r="O363" s="15"/>
      <c r="T363" s="15"/>
      <c r="U363" s="14"/>
      <c r="Z363" s="14"/>
      <c r="AA363" s="14"/>
    </row>
    <row r="364" spans="2:27" x14ac:dyDescent="0.25">
      <c r="B364" s="14"/>
      <c r="N364" s="15"/>
      <c r="O364" s="15"/>
      <c r="T364" s="15"/>
      <c r="U364" s="14"/>
      <c r="Z364" s="14"/>
      <c r="AA364" s="14"/>
    </row>
    <row r="365" spans="2:27" x14ac:dyDescent="0.25">
      <c r="B365" s="14"/>
      <c r="N365" s="15"/>
      <c r="O365" s="15"/>
      <c r="T365" s="15"/>
      <c r="U365" s="14"/>
      <c r="Z365" s="14"/>
      <c r="AA365" s="14"/>
    </row>
    <row r="366" spans="2:27" x14ac:dyDescent="0.25">
      <c r="B366" s="14"/>
      <c r="N366" s="15"/>
      <c r="O366" s="15"/>
      <c r="T366" s="15"/>
      <c r="U366" s="14"/>
      <c r="Z366" s="14"/>
      <c r="AA366" s="14"/>
    </row>
    <row r="367" spans="2:27" x14ac:dyDescent="0.25">
      <c r="B367" s="14"/>
      <c r="N367" s="15"/>
      <c r="O367" s="15"/>
      <c r="T367" s="15"/>
      <c r="U367" s="14"/>
      <c r="Z367" s="14"/>
      <c r="AA367" s="14"/>
    </row>
    <row r="368" spans="2:27" x14ac:dyDescent="0.25">
      <c r="B368" s="14"/>
      <c r="N368" s="15"/>
      <c r="O368" s="15"/>
      <c r="T368" s="15"/>
      <c r="U368" s="14"/>
      <c r="Z368" s="14"/>
      <c r="AA368" s="14"/>
    </row>
    <row r="369" spans="2:27" x14ac:dyDescent="0.25">
      <c r="B369" s="14"/>
      <c r="N369" s="15"/>
      <c r="O369" s="15"/>
      <c r="T369" s="15"/>
      <c r="U369" s="14"/>
      <c r="Z369" s="14"/>
      <c r="AA369" s="14"/>
    </row>
    <row r="370" spans="2:27" x14ac:dyDescent="0.25">
      <c r="B370" s="14"/>
      <c r="N370" s="15"/>
      <c r="O370" s="15"/>
      <c r="T370" s="15"/>
      <c r="U370" s="14"/>
      <c r="Z370" s="14"/>
      <c r="AA370" s="14"/>
    </row>
    <row r="371" spans="2:27" x14ac:dyDescent="0.25">
      <c r="B371" s="14"/>
      <c r="N371" s="15"/>
      <c r="O371" s="15"/>
      <c r="T371" s="15"/>
      <c r="U371" s="14"/>
      <c r="Z371" s="14"/>
      <c r="AA371" s="14"/>
    </row>
    <row r="372" spans="2:27" x14ac:dyDescent="0.25">
      <c r="B372" s="14"/>
      <c r="N372" s="15"/>
      <c r="O372" s="15"/>
      <c r="T372" s="15"/>
      <c r="U372" s="14"/>
      <c r="Z372" s="14"/>
      <c r="AA372" s="14"/>
    </row>
    <row r="373" spans="2:27" x14ac:dyDescent="0.25">
      <c r="B373" s="14"/>
      <c r="N373" s="15"/>
      <c r="O373" s="15"/>
      <c r="T373" s="15"/>
      <c r="U373" s="14"/>
      <c r="Z373" s="14"/>
      <c r="AA373" s="14"/>
    </row>
    <row r="374" spans="2:27" x14ac:dyDescent="0.25">
      <c r="B374" s="14"/>
      <c r="N374" s="15"/>
      <c r="O374" s="15"/>
      <c r="T374" s="15"/>
      <c r="U374" s="14"/>
      <c r="Z374" s="14"/>
      <c r="AA374" s="14"/>
    </row>
    <row r="375" spans="2:27" x14ac:dyDescent="0.25">
      <c r="B375" s="14"/>
      <c r="N375" s="15"/>
      <c r="O375" s="15"/>
      <c r="T375" s="15"/>
      <c r="U375" s="14"/>
      <c r="Z375" s="14"/>
      <c r="AA375" s="14"/>
    </row>
    <row r="376" spans="2:27" x14ac:dyDescent="0.25">
      <c r="B376" s="14"/>
      <c r="N376" s="15"/>
      <c r="O376" s="15"/>
      <c r="T376" s="15"/>
      <c r="U376" s="14"/>
      <c r="Z376" s="14"/>
      <c r="AA376" s="14"/>
    </row>
    <row r="377" spans="2:27" x14ac:dyDescent="0.25">
      <c r="B377" s="14"/>
      <c r="N377" s="15"/>
      <c r="O377" s="15"/>
      <c r="T377" s="15"/>
      <c r="U377" s="14"/>
      <c r="Z377" s="14"/>
      <c r="AA377" s="14"/>
    </row>
    <row r="378" spans="2:27" x14ac:dyDescent="0.25">
      <c r="B378" s="14"/>
      <c r="N378" s="15"/>
      <c r="O378" s="15"/>
      <c r="T378" s="15"/>
      <c r="U378" s="14"/>
      <c r="Z378" s="14"/>
      <c r="AA378" s="14"/>
    </row>
    <row r="379" spans="2:27" x14ac:dyDescent="0.25">
      <c r="B379" s="14"/>
      <c r="N379" s="15"/>
      <c r="O379" s="15"/>
      <c r="T379" s="15"/>
      <c r="U379" s="14"/>
      <c r="Z379" s="14"/>
      <c r="AA379" s="14"/>
    </row>
    <row r="380" spans="2:27" x14ac:dyDescent="0.25">
      <c r="B380" s="14"/>
      <c r="N380" s="15"/>
      <c r="O380" s="15"/>
      <c r="T380" s="15"/>
      <c r="U380" s="14"/>
      <c r="Z380" s="14"/>
      <c r="AA380" s="14"/>
    </row>
    <row r="381" spans="2:27" x14ac:dyDescent="0.25">
      <c r="B381" s="14"/>
      <c r="N381" s="15"/>
      <c r="O381" s="15"/>
      <c r="T381" s="15"/>
      <c r="U381" s="14"/>
      <c r="Z381" s="14"/>
      <c r="AA381" s="14"/>
    </row>
    <row r="382" spans="2:27" x14ac:dyDescent="0.25">
      <c r="B382" s="14"/>
      <c r="N382" s="15"/>
      <c r="O382" s="15"/>
      <c r="T382" s="15"/>
      <c r="U382" s="14"/>
      <c r="Z382" s="14"/>
      <c r="AA382" s="14"/>
    </row>
    <row r="383" spans="2:27" x14ac:dyDescent="0.25">
      <c r="B383" s="14"/>
      <c r="N383" s="15"/>
      <c r="O383" s="15"/>
      <c r="T383" s="15"/>
      <c r="U383" s="14"/>
      <c r="Z383" s="14"/>
      <c r="AA383" s="14"/>
    </row>
    <row r="384" spans="2:27" x14ac:dyDescent="0.25">
      <c r="B384" s="14"/>
      <c r="N384" s="15"/>
      <c r="O384" s="15"/>
      <c r="T384" s="15"/>
      <c r="U384" s="14"/>
      <c r="Z384" s="14"/>
      <c r="AA384" s="14"/>
    </row>
    <row r="385" spans="2:27" x14ac:dyDescent="0.25">
      <c r="B385" s="14"/>
      <c r="N385" s="15"/>
      <c r="O385" s="15"/>
      <c r="T385" s="15"/>
      <c r="U385" s="14"/>
      <c r="Z385" s="14"/>
      <c r="AA385" s="14"/>
    </row>
    <row r="386" spans="2:27" x14ac:dyDescent="0.25">
      <c r="B386" s="14"/>
      <c r="N386" s="15"/>
      <c r="O386" s="15"/>
      <c r="T386" s="15"/>
      <c r="U386" s="14"/>
      <c r="Z386" s="14"/>
      <c r="AA386" s="14"/>
    </row>
    <row r="387" spans="2:27" x14ac:dyDescent="0.25">
      <c r="B387" s="14"/>
      <c r="N387" s="15"/>
      <c r="O387" s="15"/>
      <c r="T387" s="15"/>
      <c r="U387" s="14"/>
      <c r="Z387" s="14"/>
      <c r="AA387" s="14"/>
    </row>
    <row r="388" spans="2:27" x14ac:dyDescent="0.25">
      <c r="B388" s="14"/>
      <c r="N388" s="15"/>
      <c r="O388" s="15"/>
      <c r="T388" s="15"/>
      <c r="U388" s="14"/>
      <c r="Z388" s="14"/>
      <c r="AA388" s="14"/>
    </row>
    <row r="389" spans="2:27" x14ac:dyDescent="0.25">
      <c r="B389" s="14"/>
      <c r="N389" s="15"/>
      <c r="O389" s="15"/>
      <c r="T389" s="15"/>
      <c r="U389" s="14"/>
      <c r="Z389" s="14"/>
      <c r="AA389" s="14"/>
    </row>
    <row r="390" spans="2:27" x14ac:dyDescent="0.25">
      <c r="B390" s="14"/>
      <c r="N390" s="15"/>
      <c r="O390" s="15"/>
      <c r="T390" s="15"/>
      <c r="U390" s="14"/>
      <c r="Z390" s="14"/>
      <c r="AA390" s="14"/>
    </row>
    <row r="391" spans="2:27" x14ac:dyDescent="0.25">
      <c r="B391" s="14"/>
      <c r="N391" s="15"/>
      <c r="O391" s="15"/>
      <c r="T391" s="15"/>
      <c r="U391" s="14"/>
      <c r="Z391" s="14"/>
      <c r="AA391" s="14"/>
    </row>
    <row r="392" spans="2:27" x14ac:dyDescent="0.25">
      <c r="B392" s="14"/>
      <c r="N392" s="15"/>
      <c r="O392" s="15"/>
      <c r="T392" s="15"/>
      <c r="U392" s="14"/>
      <c r="Z392" s="14"/>
      <c r="AA392" s="14"/>
    </row>
    <row r="393" spans="2:27" x14ac:dyDescent="0.25">
      <c r="B393" s="14"/>
      <c r="N393" s="15"/>
      <c r="O393" s="15"/>
      <c r="T393" s="15"/>
      <c r="U393" s="14"/>
      <c r="Z393" s="14"/>
      <c r="AA393" s="14"/>
    </row>
    <row r="394" spans="2:27" x14ac:dyDescent="0.25">
      <c r="B394" s="14"/>
      <c r="N394" s="15"/>
      <c r="O394" s="15"/>
      <c r="T394" s="15"/>
      <c r="U394" s="14"/>
      <c r="Z394" s="14"/>
      <c r="AA394" s="14"/>
    </row>
    <row r="395" spans="2:27" x14ac:dyDescent="0.25">
      <c r="B395" s="14"/>
      <c r="N395" s="15"/>
      <c r="O395" s="15"/>
      <c r="T395" s="15"/>
      <c r="U395" s="14"/>
      <c r="Z395" s="14"/>
      <c r="AA395" s="14"/>
    </row>
    <row r="396" spans="2:27" x14ac:dyDescent="0.25">
      <c r="B396" s="14"/>
      <c r="N396" s="15"/>
      <c r="O396" s="15"/>
      <c r="T396" s="15"/>
      <c r="U396" s="14"/>
      <c r="Z396" s="14"/>
      <c r="AA396" s="14"/>
    </row>
    <row r="397" spans="2:27" x14ac:dyDescent="0.25">
      <c r="B397" s="14"/>
      <c r="N397" s="15"/>
      <c r="O397" s="15"/>
      <c r="T397" s="15"/>
      <c r="U397" s="14"/>
      <c r="Z397" s="14"/>
      <c r="AA397" s="14"/>
    </row>
    <row r="398" spans="2:27" x14ac:dyDescent="0.25">
      <c r="B398" s="14"/>
      <c r="N398" s="15"/>
      <c r="O398" s="15"/>
      <c r="T398" s="15"/>
      <c r="U398" s="14"/>
      <c r="Z398" s="14"/>
      <c r="AA398" s="14"/>
    </row>
    <row r="399" spans="2:27" x14ac:dyDescent="0.25">
      <c r="B399" s="14"/>
      <c r="N399" s="15"/>
      <c r="O399" s="15"/>
      <c r="T399" s="15"/>
      <c r="U399" s="14"/>
      <c r="Z399" s="14"/>
      <c r="AA399" s="14"/>
    </row>
    <row r="400" spans="2:27" x14ac:dyDescent="0.25">
      <c r="B400" s="14"/>
      <c r="N400" s="15"/>
      <c r="O400" s="15"/>
      <c r="T400" s="15"/>
      <c r="U400" s="14"/>
      <c r="Z400" s="14"/>
      <c r="AA400" s="14"/>
    </row>
    <row r="401" spans="2:27" x14ac:dyDescent="0.25">
      <c r="B401" s="14"/>
      <c r="N401" s="15"/>
      <c r="O401" s="15"/>
      <c r="T401" s="15"/>
      <c r="U401" s="14"/>
      <c r="Z401" s="14"/>
      <c r="AA401" s="14"/>
    </row>
    <row r="402" spans="2:27" x14ac:dyDescent="0.25">
      <c r="B402" s="14"/>
      <c r="N402" s="15"/>
      <c r="O402" s="15"/>
      <c r="T402" s="15"/>
      <c r="U402" s="14"/>
      <c r="Z402" s="14"/>
      <c r="AA402" s="14"/>
    </row>
    <row r="403" spans="2:27" x14ac:dyDescent="0.25">
      <c r="B403" s="14"/>
      <c r="N403" s="15"/>
      <c r="O403" s="15"/>
      <c r="T403" s="15"/>
      <c r="U403" s="14"/>
      <c r="Z403" s="14"/>
      <c r="AA403" s="14"/>
    </row>
    <row r="404" spans="2:27" x14ac:dyDescent="0.25">
      <c r="B404" s="14"/>
      <c r="N404" s="15"/>
      <c r="O404" s="15"/>
      <c r="T404" s="15"/>
      <c r="U404" s="14"/>
      <c r="Z404" s="14"/>
      <c r="AA404" s="14"/>
    </row>
    <row r="405" spans="2:27" x14ac:dyDescent="0.25">
      <c r="B405" s="14"/>
      <c r="N405" s="15"/>
      <c r="O405" s="15"/>
      <c r="T405" s="15"/>
      <c r="U405" s="14"/>
      <c r="Z405" s="14"/>
      <c r="AA405" s="14"/>
    </row>
    <row r="406" spans="2:27" x14ac:dyDescent="0.25">
      <c r="B406" s="14"/>
      <c r="N406" s="15"/>
      <c r="O406" s="15"/>
      <c r="T406" s="15"/>
      <c r="U406" s="14"/>
      <c r="Z406" s="14"/>
      <c r="AA406" s="14"/>
    </row>
    <row r="407" spans="2:27" x14ac:dyDescent="0.25">
      <c r="B407" s="14"/>
      <c r="N407" s="15"/>
      <c r="O407" s="15"/>
      <c r="T407" s="15"/>
      <c r="U407" s="14"/>
      <c r="Z407" s="14"/>
      <c r="AA407" s="14"/>
    </row>
    <row r="408" spans="2:27" x14ac:dyDescent="0.25">
      <c r="B408" s="14"/>
      <c r="N408" s="15"/>
      <c r="O408" s="15"/>
      <c r="T408" s="15"/>
      <c r="U408" s="14"/>
      <c r="Z408" s="14"/>
      <c r="AA408" s="14"/>
    </row>
    <row r="409" spans="2:27" x14ac:dyDescent="0.25">
      <c r="B409" s="14"/>
      <c r="N409" s="15"/>
      <c r="O409" s="15"/>
      <c r="T409" s="15"/>
      <c r="U409" s="14"/>
      <c r="Z409" s="14"/>
      <c r="AA409" s="14"/>
    </row>
    <row r="410" spans="2:27" x14ac:dyDescent="0.25">
      <c r="B410" s="14"/>
      <c r="N410" s="15"/>
      <c r="O410" s="15"/>
      <c r="T410" s="15"/>
      <c r="U410" s="14"/>
      <c r="Z410" s="14"/>
      <c r="AA410" s="14"/>
    </row>
    <row r="411" spans="2:27" x14ac:dyDescent="0.25">
      <c r="B411" s="14"/>
      <c r="N411" s="15"/>
      <c r="O411" s="15"/>
      <c r="T411" s="15"/>
      <c r="U411" s="14"/>
      <c r="Z411" s="14"/>
      <c r="AA411" s="14"/>
    </row>
    <row r="412" spans="2:27" x14ac:dyDescent="0.25">
      <c r="B412" s="14"/>
      <c r="N412" s="15"/>
      <c r="O412" s="15"/>
      <c r="T412" s="15"/>
      <c r="U412" s="14"/>
      <c r="Z412" s="14"/>
      <c r="AA412" s="14"/>
    </row>
    <row r="413" spans="2:27" x14ac:dyDescent="0.25">
      <c r="B413" s="14"/>
      <c r="N413" s="15"/>
      <c r="O413" s="15"/>
      <c r="T413" s="15"/>
      <c r="U413" s="14"/>
      <c r="Z413" s="14"/>
      <c r="AA413" s="14"/>
    </row>
    <row r="414" spans="2:27" x14ac:dyDescent="0.25">
      <c r="B414" s="14"/>
      <c r="N414" s="15"/>
      <c r="O414" s="15"/>
      <c r="T414" s="15"/>
      <c r="U414" s="14"/>
      <c r="Z414" s="14"/>
      <c r="AA414" s="14"/>
    </row>
    <row r="415" spans="2:27" x14ac:dyDescent="0.25">
      <c r="B415" s="14"/>
      <c r="N415" s="15"/>
      <c r="O415" s="15"/>
      <c r="T415" s="15"/>
      <c r="U415" s="14"/>
      <c r="Z415" s="14"/>
      <c r="AA415" s="14"/>
    </row>
    <row r="416" spans="2:27" x14ac:dyDescent="0.25">
      <c r="B416" s="14"/>
      <c r="N416" s="15"/>
      <c r="O416" s="15"/>
      <c r="T416" s="15"/>
      <c r="U416" s="14"/>
      <c r="Z416" s="14"/>
      <c r="AA416" s="14"/>
    </row>
    <row r="417" spans="2:27" x14ac:dyDescent="0.25">
      <c r="B417" s="14"/>
      <c r="N417" s="15"/>
      <c r="O417" s="15"/>
      <c r="T417" s="15"/>
      <c r="U417" s="14"/>
      <c r="Z417" s="14"/>
      <c r="AA417" s="14"/>
    </row>
    <row r="418" spans="2:27" x14ac:dyDescent="0.25">
      <c r="B418" s="14"/>
      <c r="N418" s="15"/>
      <c r="O418" s="15"/>
      <c r="T418" s="15"/>
      <c r="U418" s="14"/>
      <c r="Z418" s="14"/>
      <c r="AA418" s="14"/>
    </row>
    <row r="419" spans="2:27" x14ac:dyDescent="0.25">
      <c r="B419" s="14"/>
      <c r="N419" s="15"/>
      <c r="O419" s="15"/>
      <c r="T419" s="15"/>
      <c r="U419" s="14"/>
      <c r="Z419" s="14"/>
      <c r="AA419" s="14"/>
    </row>
    <row r="420" spans="2:27" x14ac:dyDescent="0.25">
      <c r="B420" s="14"/>
      <c r="N420" s="15"/>
      <c r="O420" s="15"/>
      <c r="T420" s="15"/>
      <c r="U420" s="14"/>
      <c r="Z420" s="14"/>
      <c r="AA420" s="14"/>
    </row>
    <row r="421" spans="2:27" x14ac:dyDescent="0.25">
      <c r="B421" s="14"/>
      <c r="N421" s="15"/>
      <c r="O421" s="15"/>
      <c r="T421" s="15"/>
      <c r="U421" s="14"/>
      <c r="Z421" s="14"/>
      <c r="AA421" s="14"/>
    </row>
    <row r="422" spans="2:27" x14ac:dyDescent="0.25">
      <c r="B422" s="14"/>
      <c r="N422" s="15"/>
      <c r="O422" s="15"/>
      <c r="T422" s="15"/>
      <c r="U422" s="14"/>
      <c r="Z422" s="14"/>
      <c r="AA422" s="14"/>
    </row>
    <row r="423" spans="2:27" x14ac:dyDescent="0.25">
      <c r="B423" s="14"/>
      <c r="N423" s="15"/>
      <c r="O423" s="15"/>
      <c r="T423" s="15"/>
      <c r="U423" s="14"/>
      <c r="Z423" s="14"/>
      <c r="AA423" s="14"/>
    </row>
    <row r="424" spans="2:27" x14ac:dyDescent="0.25">
      <c r="B424" s="14"/>
      <c r="N424" s="15"/>
      <c r="O424" s="15"/>
      <c r="T424" s="15"/>
      <c r="U424" s="14"/>
      <c r="Z424" s="14"/>
      <c r="AA424" s="14"/>
    </row>
    <row r="425" spans="2:27" x14ac:dyDescent="0.25">
      <c r="B425" s="14"/>
      <c r="N425" s="15"/>
      <c r="O425" s="15"/>
      <c r="T425" s="15"/>
      <c r="U425" s="14"/>
      <c r="Z425" s="14"/>
      <c r="AA425" s="14"/>
    </row>
    <row r="426" spans="2:27" x14ac:dyDescent="0.25">
      <c r="B426" s="14"/>
      <c r="N426" s="15"/>
      <c r="O426" s="15"/>
      <c r="T426" s="15"/>
      <c r="U426" s="14"/>
      <c r="Z426" s="14"/>
      <c r="AA426" s="14"/>
    </row>
    <row r="427" spans="2:27" x14ac:dyDescent="0.25">
      <c r="B427" s="14"/>
      <c r="N427" s="15"/>
      <c r="O427" s="15"/>
      <c r="T427" s="15"/>
      <c r="U427" s="14"/>
      <c r="Z427" s="14"/>
      <c r="AA427" s="14"/>
    </row>
    <row r="428" spans="2:27" x14ac:dyDescent="0.25">
      <c r="B428" s="14"/>
      <c r="N428" s="15"/>
      <c r="O428" s="15"/>
      <c r="T428" s="15"/>
      <c r="U428" s="14"/>
      <c r="Z428" s="14"/>
      <c r="AA428" s="14"/>
    </row>
    <row r="429" spans="2:27" x14ac:dyDescent="0.25">
      <c r="B429" s="14"/>
      <c r="N429" s="15"/>
      <c r="O429" s="15"/>
      <c r="T429" s="15"/>
      <c r="U429" s="14"/>
      <c r="Z429" s="14"/>
      <c r="AA429" s="14"/>
    </row>
    <row r="430" spans="2:27" x14ac:dyDescent="0.25">
      <c r="B430" s="14"/>
      <c r="N430" s="15"/>
      <c r="O430" s="15"/>
      <c r="T430" s="15"/>
      <c r="U430" s="14"/>
      <c r="Z430" s="14"/>
      <c r="AA430" s="14"/>
    </row>
    <row r="431" spans="2:27" x14ac:dyDescent="0.25">
      <c r="B431" s="14"/>
      <c r="N431" s="15"/>
      <c r="O431" s="15"/>
      <c r="T431" s="15"/>
      <c r="U431" s="14"/>
      <c r="Z431" s="14"/>
      <c r="AA431" s="14"/>
    </row>
    <row r="432" spans="2:27" x14ac:dyDescent="0.25">
      <c r="B432" s="14"/>
      <c r="N432" s="15"/>
      <c r="O432" s="15"/>
      <c r="T432" s="15"/>
      <c r="U432" s="14"/>
      <c r="Z432" s="14"/>
      <c r="AA432" s="14"/>
    </row>
    <row r="433" spans="2:27" x14ac:dyDescent="0.25">
      <c r="B433" s="14"/>
      <c r="N433" s="15"/>
      <c r="O433" s="15"/>
      <c r="T433" s="15"/>
      <c r="U433" s="14"/>
      <c r="Z433" s="14"/>
      <c r="AA433" s="14"/>
    </row>
    <row r="434" spans="2:27" x14ac:dyDescent="0.25">
      <c r="B434" s="14"/>
      <c r="N434" s="15"/>
      <c r="O434" s="15"/>
      <c r="T434" s="15"/>
      <c r="U434" s="14"/>
      <c r="Z434" s="14"/>
      <c r="AA434" s="14"/>
    </row>
    <row r="435" spans="2:27" x14ac:dyDescent="0.25">
      <c r="B435" s="14"/>
      <c r="N435" s="15"/>
      <c r="O435" s="15"/>
      <c r="T435" s="15"/>
      <c r="U435" s="14"/>
      <c r="Z435" s="14"/>
      <c r="AA435" s="14"/>
    </row>
    <row r="436" spans="2:27" x14ac:dyDescent="0.25">
      <c r="B436" s="14"/>
      <c r="N436" s="15"/>
      <c r="O436" s="15"/>
      <c r="T436" s="15"/>
      <c r="U436" s="14"/>
      <c r="Z436" s="14"/>
      <c r="AA436" s="14"/>
    </row>
    <row r="437" spans="2:27" x14ac:dyDescent="0.25">
      <c r="B437" s="14"/>
      <c r="N437" s="15"/>
      <c r="O437" s="15"/>
      <c r="T437" s="15"/>
      <c r="U437" s="14"/>
      <c r="Z437" s="14"/>
      <c r="AA437" s="14"/>
    </row>
    <row r="438" spans="2:27" x14ac:dyDescent="0.25">
      <c r="B438" s="14"/>
      <c r="N438" s="15"/>
      <c r="O438" s="15"/>
      <c r="T438" s="15"/>
      <c r="U438" s="14"/>
      <c r="Z438" s="14"/>
      <c r="AA438" s="14"/>
    </row>
    <row r="439" spans="2:27" x14ac:dyDescent="0.25">
      <c r="B439" s="14"/>
      <c r="N439" s="15"/>
      <c r="O439" s="15"/>
      <c r="T439" s="15"/>
      <c r="U439" s="14"/>
      <c r="Z439" s="14"/>
      <c r="AA439" s="14"/>
    </row>
    <row r="440" spans="2:27" x14ac:dyDescent="0.25">
      <c r="B440" s="14"/>
      <c r="N440" s="15"/>
      <c r="O440" s="15"/>
      <c r="T440" s="15"/>
      <c r="U440" s="14"/>
      <c r="Z440" s="14"/>
      <c r="AA440" s="14"/>
    </row>
    <row r="441" spans="2:27" x14ac:dyDescent="0.25">
      <c r="B441" s="14"/>
      <c r="N441" s="15"/>
      <c r="O441" s="15"/>
      <c r="T441" s="15"/>
      <c r="U441" s="14"/>
      <c r="Z441" s="14"/>
      <c r="AA441" s="14"/>
    </row>
    <row r="442" spans="2:27" x14ac:dyDescent="0.25">
      <c r="B442" s="14"/>
      <c r="N442" s="15"/>
      <c r="O442" s="15"/>
      <c r="T442" s="15"/>
      <c r="U442" s="14"/>
      <c r="Z442" s="14"/>
      <c r="AA442" s="14"/>
    </row>
    <row r="443" spans="2:27" x14ac:dyDescent="0.25">
      <c r="B443" s="14"/>
      <c r="N443" s="15"/>
      <c r="O443" s="15"/>
      <c r="T443" s="15"/>
      <c r="U443" s="14"/>
      <c r="Z443" s="14"/>
      <c r="AA443" s="14"/>
    </row>
    <row r="444" spans="2:27" x14ac:dyDescent="0.25">
      <c r="B444" s="14"/>
      <c r="N444" s="15"/>
      <c r="O444" s="15"/>
      <c r="T444" s="15"/>
      <c r="U444" s="14"/>
      <c r="Z444" s="14"/>
      <c r="AA444" s="14"/>
    </row>
    <row r="445" spans="2:27" x14ac:dyDescent="0.25">
      <c r="B445" s="14"/>
      <c r="N445" s="15"/>
      <c r="O445" s="15"/>
      <c r="T445" s="15"/>
      <c r="U445" s="14"/>
      <c r="Z445" s="14"/>
      <c r="AA445" s="14"/>
    </row>
    <row r="446" spans="2:27" x14ac:dyDescent="0.25">
      <c r="B446" s="14"/>
      <c r="N446" s="15"/>
      <c r="O446" s="15"/>
      <c r="T446" s="15"/>
      <c r="U446" s="14"/>
      <c r="Z446" s="14"/>
      <c r="AA446" s="14"/>
    </row>
    <row r="447" spans="2:27" x14ac:dyDescent="0.25">
      <c r="B447" s="14"/>
      <c r="N447" s="15"/>
      <c r="O447" s="15"/>
      <c r="T447" s="15"/>
      <c r="U447" s="14"/>
      <c r="Z447" s="14"/>
      <c r="AA447" s="14"/>
    </row>
    <row r="448" spans="2:27" x14ac:dyDescent="0.25">
      <c r="B448" s="14"/>
      <c r="N448" s="15"/>
      <c r="O448" s="15"/>
      <c r="T448" s="15"/>
      <c r="U448" s="14"/>
      <c r="Z448" s="14"/>
      <c r="AA448" s="14"/>
    </row>
    <row r="449" spans="2:27" x14ac:dyDescent="0.25">
      <c r="B449" s="14"/>
      <c r="N449" s="15"/>
      <c r="O449" s="15"/>
      <c r="T449" s="15"/>
      <c r="U449" s="14"/>
      <c r="Z449" s="14"/>
      <c r="AA449" s="14"/>
    </row>
    <row r="450" spans="2:27" x14ac:dyDescent="0.25">
      <c r="B450" s="14"/>
      <c r="N450" s="15"/>
      <c r="O450" s="15"/>
      <c r="T450" s="15"/>
      <c r="U450" s="14"/>
      <c r="Z450" s="14"/>
      <c r="AA450" s="14"/>
    </row>
    <row r="451" spans="2:27" x14ac:dyDescent="0.25">
      <c r="B451" s="14"/>
      <c r="N451" s="15"/>
      <c r="O451" s="15"/>
      <c r="T451" s="15"/>
      <c r="U451" s="14"/>
      <c r="Z451" s="14"/>
      <c r="AA451" s="14"/>
    </row>
    <row r="452" spans="2:27" x14ac:dyDescent="0.25">
      <c r="B452" s="14"/>
      <c r="N452" s="15"/>
      <c r="O452" s="15"/>
      <c r="T452" s="15"/>
      <c r="U452" s="14"/>
      <c r="Z452" s="14"/>
      <c r="AA452" s="14"/>
    </row>
    <row r="453" spans="2:27" x14ac:dyDescent="0.25">
      <c r="B453" s="14"/>
      <c r="N453" s="15"/>
      <c r="O453" s="15"/>
      <c r="T453" s="15"/>
      <c r="U453" s="14"/>
      <c r="Z453" s="14"/>
      <c r="AA453" s="14"/>
    </row>
    <row r="454" spans="2:27" x14ac:dyDescent="0.25">
      <c r="B454" s="14"/>
      <c r="N454" s="15"/>
      <c r="O454" s="15"/>
      <c r="T454" s="15"/>
      <c r="U454" s="14"/>
      <c r="Z454" s="14"/>
      <c r="AA454" s="14"/>
    </row>
    <row r="455" spans="2:27" x14ac:dyDescent="0.25">
      <c r="B455" s="14"/>
      <c r="N455" s="15"/>
      <c r="O455" s="15"/>
      <c r="T455" s="15"/>
      <c r="U455" s="14"/>
      <c r="Z455" s="14"/>
      <c r="AA455" s="14"/>
    </row>
    <row r="456" spans="2:27" x14ac:dyDescent="0.25">
      <c r="B456" s="14"/>
      <c r="N456" s="15"/>
      <c r="O456" s="15"/>
      <c r="T456" s="15"/>
      <c r="U456" s="14"/>
      <c r="Z456" s="14"/>
      <c r="AA456" s="14"/>
    </row>
    <row r="457" spans="2:27" x14ac:dyDescent="0.25">
      <c r="B457" s="14"/>
      <c r="N457" s="15"/>
      <c r="O457" s="15"/>
      <c r="T457" s="15"/>
      <c r="U457" s="14"/>
      <c r="Z457" s="14"/>
      <c r="AA457" s="14"/>
    </row>
    <row r="458" spans="2:27" x14ac:dyDescent="0.25">
      <c r="B458" s="14"/>
      <c r="N458" s="15"/>
      <c r="O458" s="15"/>
      <c r="T458" s="15"/>
      <c r="U458" s="14"/>
      <c r="Z458" s="14"/>
      <c r="AA458" s="14"/>
    </row>
    <row r="459" spans="2:27" x14ac:dyDescent="0.25">
      <c r="B459" s="14"/>
      <c r="N459" s="15"/>
      <c r="O459" s="15"/>
      <c r="T459" s="15"/>
      <c r="U459" s="14"/>
      <c r="Z459" s="14"/>
      <c r="AA459" s="14"/>
    </row>
    <row r="460" spans="2:27" x14ac:dyDescent="0.25">
      <c r="B460" s="14"/>
      <c r="N460" s="15"/>
      <c r="O460" s="15"/>
      <c r="T460" s="15"/>
      <c r="U460" s="14"/>
      <c r="Z460" s="14"/>
      <c r="AA460" s="14"/>
    </row>
    <row r="461" spans="2:27" x14ac:dyDescent="0.25">
      <c r="B461" s="14"/>
      <c r="N461" s="15"/>
      <c r="O461" s="15"/>
      <c r="T461" s="15"/>
      <c r="U461" s="14"/>
      <c r="Z461" s="14"/>
      <c r="AA461" s="14"/>
    </row>
    <row r="462" spans="2:27" x14ac:dyDescent="0.25">
      <c r="B462" s="14"/>
      <c r="N462" s="15"/>
      <c r="O462" s="15"/>
      <c r="T462" s="15"/>
      <c r="U462" s="14"/>
      <c r="Z462" s="14"/>
      <c r="AA462" s="14"/>
    </row>
    <row r="463" spans="2:27" x14ac:dyDescent="0.25">
      <c r="B463" s="14"/>
      <c r="N463" s="15"/>
      <c r="O463" s="15"/>
      <c r="T463" s="15"/>
      <c r="U463" s="14"/>
      <c r="Z463" s="14"/>
      <c r="AA463" s="14"/>
    </row>
    <row r="464" spans="2:27" x14ac:dyDescent="0.25">
      <c r="B464" s="14"/>
      <c r="N464" s="15"/>
      <c r="O464" s="15"/>
      <c r="T464" s="15"/>
      <c r="U464" s="14"/>
      <c r="Z464" s="14"/>
      <c r="AA464" s="14"/>
    </row>
    <row r="465" spans="2:27" x14ac:dyDescent="0.25">
      <c r="B465" s="14"/>
      <c r="N465" s="15"/>
      <c r="O465" s="15"/>
      <c r="T465" s="15"/>
      <c r="U465" s="14"/>
      <c r="Z465" s="14"/>
      <c r="AA465" s="14"/>
    </row>
    <row r="466" spans="2:27" x14ac:dyDescent="0.25">
      <c r="B466" s="14"/>
      <c r="N466" s="15"/>
      <c r="O466" s="15"/>
      <c r="T466" s="15"/>
      <c r="U466" s="14"/>
      <c r="Z466" s="14"/>
      <c r="AA466" s="14"/>
    </row>
    <row r="467" spans="2:27" x14ac:dyDescent="0.25">
      <c r="B467" s="14"/>
      <c r="N467" s="15"/>
      <c r="O467" s="15"/>
      <c r="T467" s="15"/>
      <c r="U467" s="14"/>
      <c r="Z467" s="14"/>
      <c r="AA467" s="14"/>
    </row>
    <row r="468" spans="2:27" x14ac:dyDescent="0.25">
      <c r="B468" s="14"/>
      <c r="N468" s="15"/>
      <c r="O468" s="15"/>
      <c r="T468" s="15"/>
      <c r="U468" s="14"/>
      <c r="Z468" s="14"/>
      <c r="AA468" s="14"/>
    </row>
    <row r="469" spans="2:27" x14ac:dyDescent="0.25">
      <c r="B469" s="14"/>
      <c r="N469" s="15"/>
      <c r="O469" s="15"/>
      <c r="T469" s="15"/>
      <c r="U469" s="14"/>
      <c r="Z469" s="14"/>
      <c r="AA469" s="14"/>
    </row>
    <row r="470" spans="2:27" x14ac:dyDescent="0.25">
      <c r="B470" s="14"/>
      <c r="N470" s="15"/>
      <c r="O470" s="15"/>
      <c r="T470" s="15"/>
      <c r="U470" s="14"/>
      <c r="Z470" s="14"/>
      <c r="AA470" s="14"/>
    </row>
    <row r="471" spans="2:27" x14ac:dyDescent="0.25">
      <c r="B471" s="14"/>
      <c r="N471" s="15"/>
      <c r="O471" s="15"/>
      <c r="T471" s="15"/>
      <c r="U471" s="14"/>
      <c r="Z471" s="14"/>
      <c r="AA471" s="14"/>
    </row>
    <row r="472" spans="2:27" x14ac:dyDescent="0.25">
      <c r="B472" s="14"/>
      <c r="N472" s="15"/>
      <c r="O472" s="15"/>
      <c r="T472" s="15"/>
      <c r="U472" s="14"/>
      <c r="Z472" s="14"/>
      <c r="AA472" s="14"/>
    </row>
    <row r="473" spans="2:27" x14ac:dyDescent="0.25">
      <c r="B473" s="14"/>
      <c r="N473" s="15"/>
      <c r="O473" s="15"/>
      <c r="T473" s="15"/>
      <c r="U473" s="14"/>
      <c r="Z473" s="14"/>
      <c r="AA473" s="14"/>
    </row>
    <row r="474" spans="2:27" x14ac:dyDescent="0.25">
      <c r="B474" s="14"/>
      <c r="N474" s="15"/>
      <c r="O474" s="15"/>
      <c r="T474" s="15"/>
      <c r="U474" s="14"/>
      <c r="Z474" s="14"/>
      <c r="AA474" s="14"/>
    </row>
    <row r="475" spans="2:27" x14ac:dyDescent="0.25">
      <c r="B475" s="14"/>
      <c r="N475" s="15"/>
      <c r="O475" s="15"/>
      <c r="T475" s="15"/>
      <c r="U475" s="14"/>
      <c r="Z475" s="14"/>
      <c r="AA475" s="14"/>
    </row>
    <row r="476" spans="2:27" x14ac:dyDescent="0.25">
      <c r="B476" s="14"/>
      <c r="N476" s="15"/>
      <c r="O476" s="15"/>
      <c r="T476" s="15"/>
      <c r="U476" s="14"/>
      <c r="Z476" s="14"/>
      <c r="AA476" s="14"/>
    </row>
    <row r="477" spans="2:27" x14ac:dyDescent="0.25">
      <c r="B477" s="14"/>
      <c r="N477" s="15"/>
      <c r="O477" s="15"/>
      <c r="T477" s="15"/>
      <c r="U477" s="14"/>
      <c r="Z477" s="14"/>
      <c r="AA477" s="14"/>
    </row>
    <row r="478" spans="2:27" x14ac:dyDescent="0.25">
      <c r="B478" s="14"/>
      <c r="N478" s="15"/>
      <c r="O478" s="15"/>
      <c r="T478" s="15"/>
      <c r="U478" s="14"/>
      <c r="Z478" s="14"/>
      <c r="AA478" s="14"/>
    </row>
    <row r="479" spans="2:27" x14ac:dyDescent="0.25">
      <c r="B479" s="14"/>
      <c r="N479" s="15"/>
      <c r="O479" s="15"/>
      <c r="T479" s="15"/>
      <c r="U479" s="14"/>
      <c r="Z479" s="14"/>
      <c r="AA479" s="14"/>
    </row>
    <row r="480" spans="2:27" x14ac:dyDescent="0.25">
      <c r="B480" s="14"/>
      <c r="N480" s="15"/>
      <c r="O480" s="15"/>
      <c r="T480" s="15"/>
      <c r="U480" s="14"/>
      <c r="Z480" s="14"/>
      <c r="AA480" s="14"/>
    </row>
    <row r="481" spans="2:27" x14ac:dyDescent="0.25">
      <c r="B481" s="14"/>
      <c r="N481" s="15"/>
      <c r="O481" s="15"/>
      <c r="T481" s="15"/>
      <c r="U481" s="14"/>
      <c r="Z481" s="14"/>
      <c r="AA481" s="14"/>
    </row>
    <row r="482" spans="2:27" x14ac:dyDescent="0.25">
      <c r="B482" s="14"/>
      <c r="N482" s="15"/>
      <c r="O482" s="15"/>
      <c r="T482" s="15"/>
      <c r="U482" s="14"/>
      <c r="Z482" s="14"/>
      <c r="AA482" s="14"/>
    </row>
    <row r="483" spans="2:27" x14ac:dyDescent="0.25">
      <c r="B483" s="14"/>
      <c r="N483" s="15"/>
      <c r="O483" s="15"/>
      <c r="T483" s="15"/>
      <c r="U483" s="14"/>
      <c r="Z483" s="14"/>
      <c r="AA483" s="14"/>
    </row>
    <row r="484" spans="2:27" x14ac:dyDescent="0.25">
      <c r="B484" s="14"/>
      <c r="N484" s="15"/>
      <c r="O484" s="15"/>
      <c r="T484" s="15"/>
      <c r="U484" s="14"/>
      <c r="Z484" s="14"/>
      <c r="AA484" s="14"/>
    </row>
    <row r="485" spans="2:27" x14ac:dyDescent="0.25">
      <c r="B485" s="14"/>
      <c r="N485" s="15"/>
      <c r="O485" s="15"/>
      <c r="T485" s="15"/>
      <c r="U485" s="14"/>
      <c r="Z485" s="14"/>
      <c r="AA485" s="14"/>
    </row>
    <row r="486" spans="2:27" x14ac:dyDescent="0.25">
      <c r="B486" s="14"/>
      <c r="N486" s="15"/>
      <c r="O486" s="15"/>
      <c r="T486" s="15"/>
      <c r="U486" s="14"/>
      <c r="Z486" s="14"/>
      <c r="AA486" s="14"/>
    </row>
    <row r="487" spans="2:27" x14ac:dyDescent="0.25">
      <c r="B487" s="14"/>
      <c r="N487" s="15"/>
      <c r="O487" s="15"/>
      <c r="T487" s="15"/>
      <c r="U487" s="14"/>
      <c r="Z487" s="14"/>
      <c r="AA487" s="14"/>
    </row>
    <row r="488" spans="2:27" x14ac:dyDescent="0.25">
      <c r="B488" s="14"/>
      <c r="N488" s="15"/>
      <c r="O488" s="15"/>
      <c r="T488" s="15"/>
      <c r="U488" s="14"/>
      <c r="Z488" s="14"/>
      <c r="AA488" s="14"/>
    </row>
    <row r="489" spans="2:27" x14ac:dyDescent="0.25">
      <c r="B489" s="14"/>
      <c r="N489" s="15"/>
      <c r="O489" s="15"/>
      <c r="T489" s="15"/>
      <c r="U489" s="14"/>
      <c r="Z489" s="14"/>
      <c r="AA489" s="14"/>
    </row>
    <row r="490" spans="2:27" x14ac:dyDescent="0.25">
      <c r="B490" s="14"/>
      <c r="N490" s="15"/>
      <c r="O490" s="15"/>
      <c r="T490" s="15"/>
      <c r="U490" s="14"/>
      <c r="Z490" s="14"/>
      <c r="AA490" s="14"/>
    </row>
    <row r="491" spans="2:27" x14ac:dyDescent="0.25">
      <c r="B491" s="14"/>
      <c r="N491" s="15"/>
      <c r="O491" s="15"/>
      <c r="T491" s="15"/>
      <c r="U491" s="14"/>
      <c r="Z491" s="14"/>
      <c r="AA491" s="14"/>
    </row>
    <row r="492" spans="2:27" x14ac:dyDescent="0.25">
      <c r="B492" s="14"/>
      <c r="N492" s="15"/>
      <c r="O492" s="15"/>
      <c r="T492" s="15"/>
      <c r="U492" s="14"/>
      <c r="Z492" s="14"/>
      <c r="AA492" s="14"/>
    </row>
    <row r="493" spans="2:27" x14ac:dyDescent="0.25">
      <c r="B493" s="14"/>
      <c r="N493" s="15"/>
      <c r="O493" s="15"/>
      <c r="T493" s="15"/>
      <c r="U493" s="14"/>
      <c r="Z493" s="14"/>
      <c r="AA493" s="14"/>
    </row>
    <row r="494" spans="2:27" x14ac:dyDescent="0.25">
      <c r="B494" s="14"/>
      <c r="N494" s="15"/>
      <c r="O494" s="15"/>
      <c r="T494" s="15"/>
      <c r="U494" s="14"/>
      <c r="Z494" s="14"/>
      <c r="AA494" s="14"/>
    </row>
    <row r="495" spans="2:27" x14ac:dyDescent="0.25">
      <c r="B495" s="14"/>
      <c r="N495" s="15"/>
      <c r="O495" s="15"/>
      <c r="T495" s="15"/>
      <c r="U495" s="14"/>
      <c r="Z495" s="14"/>
      <c r="AA495" s="14"/>
    </row>
    <row r="496" spans="2:27" x14ac:dyDescent="0.25">
      <c r="B496" s="14"/>
      <c r="N496" s="15"/>
      <c r="O496" s="15"/>
      <c r="T496" s="15"/>
      <c r="U496" s="14"/>
      <c r="Z496" s="14"/>
      <c r="AA496" s="14"/>
    </row>
    <row r="497" spans="2:27" x14ac:dyDescent="0.25">
      <c r="B497" s="14"/>
      <c r="N497" s="15"/>
      <c r="O497" s="15"/>
      <c r="T497" s="15"/>
      <c r="U497" s="14"/>
      <c r="Z497" s="14"/>
      <c r="AA497" s="14"/>
    </row>
    <row r="498" spans="2:27" x14ac:dyDescent="0.25">
      <c r="B498" s="14"/>
      <c r="N498" s="15"/>
      <c r="O498" s="15"/>
      <c r="T498" s="15"/>
      <c r="U498" s="14"/>
      <c r="Z498" s="14"/>
      <c r="AA498" s="14"/>
    </row>
    <row r="499" spans="2:27" x14ac:dyDescent="0.25">
      <c r="B499" s="14"/>
      <c r="N499" s="15"/>
      <c r="O499" s="15"/>
      <c r="T499" s="15"/>
      <c r="U499" s="14"/>
      <c r="Z499" s="14"/>
      <c r="AA499" s="14"/>
    </row>
    <row r="500" spans="2:27" x14ac:dyDescent="0.25">
      <c r="B500" s="14"/>
      <c r="N500" s="15"/>
      <c r="O500" s="15"/>
      <c r="T500" s="15"/>
      <c r="U500" s="14"/>
      <c r="Z500" s="14"/>
      <c r="AA500" s="14"/>
    </row>
    <row r="501" spans="2:27" x14ac:dyDescent="0.25">
      <c r="B501" s="14"/>
      <c r="N501" s="15"/>
      <c r="O501" s="15"/>
      <c r="T501" s="15"/>
      <c r="U501" s="14"/>
      <c r="Z501" s="14"/>
      <c r="AA501" s="14"/>
    </row>
    <row r="502" spans="2:27" x14ac:dyDescent="0.25">
      <c r="B502" s="14"/>
      <c r="N502" s="15"/>
      <c r="O502" s="15"/>
      <c r="T502" s="15"/>
      <c r="U502" s="14"/>
      <c r="Z502" s="14"/>
      <c r="AA502" s="14"/>
    </row>
    <row r="503" spans="2:27" x14ac:dyDescent="0.25">
      <c r="B503" s="14"/>
      <c r="N503" s="15"/>
      <c r="O503" s="15"/>
      <c r="T503" s="15"/>
      <c r="U503" s="14"/>
      <c r="Z503" s="14"/>
      <c r="AA503" s="14"/>
    </row>
    <row r="504" spans="2:27" x14ac:dyDescent="0.25">
      <c r="B504" s="14"/>
      <c r="N504" s="15"/>
      <c r="O504" s="15"/>
      <c r="T504" s="15"/>
      <c r="U504" s="14"/>
      <c r="Z504" s="14"/>
      <c r="AA504" s="14"/>
    </row>
    <row r="505" spans="2:27" x14ac:dyDescent="0.25">
      <c r="B505" s="14"/>
      <c r="N505" s="15"/>
      <c r="O505" s="15"/>
      <c r="T505" s="15"/>
      <c r="U505" s="14"/>
      <c r="Z505" s="14"/>
      <c r="AA505" s="14"/>
    </row>
    <row r="506" spans="2:27" x14ac:dyDescent="0.25">
      <c r="B506" s="14"/>
      <c r="N506" s="15"/>
      <c r="O506" s="15"/>
      <c r="T506" s="15"/>
      <c r="U506" s="14"/>
      <c r="Z506" s="14"/>
      <c r="AA506" s="14"/>
    </row>
    <row r="507" spans="2:27" x14ac:dyDescent="0.25">
      <c r="B507" s="14"/>
      <c r="N507" s="15"/>
      <c r="O507" s="15"/>
      <c r="T507" s="15"/>
      <c r="U507" s="14"/>
      <c r="Z507" s="14"/>
      <c r="AA507" s="14"/>
    </row>
    <row r="508" spans="2:27" x14ac:dyDescent="0.25">
      <c r="B508" s="14"/>
      <c r="N508" s="15"/>
      <c r="O508" s="15"/>
      <c r="T508" s="15"/>
      <c r="U508" s="14"/>
      <c r="Z508" s="14"/>
      <c r="AA508" s="14"/>
    </row>
    <row r="509" spans="2:27" x14ac:dyDescent="0.25">
      <c r="B509" s="14"/>
      <c r="N509" s="15"/>
      <c r="O509" s="15"/>
      <c r="T509" s="15"/>
      <c r="U509" s="14"/>
      <c r="Z509" s="14"/>
      <c r="AA509" s="14"/>
    </row>
    <row r="510" spans="2:27" x14ac:dyDescent="0.25">
      <c r="B510" s="14"/>
      <c r="N510" s="15"/>
      <c r="O510" s="15"/>
      <c r="T510" s="15"/>
      <c r="U510" s="14"/>
      <c r="Z510" s="14"/>
      <c r="AA510" s="14"/>
    </row>
    <row r="511" spans="2:27" x14ac:dyDescent="0.25">
      <c r="B511" s="14"/>
      <c r="N511" s="15"/>
      <c r="O511" s="15"/>
      <c r="T511" s="15"/>
      <c r="U511" s="14"/>
      <c r="Z511" s="14"/>
      <c r="AA511" s="14"/>
    </row>
    <row r="512" spans="2:27" x14ac:dyDescent="0.25">
      <c r="B512" s="14"/>
      <c r="N512" s="15"/>
      <c r="O512" s="15"/>
      <c r="T512" s="15"/>
      <c r="U512" s="14"/>
      <c r="Z512" s="14"/>
      <c r="AA512" s="14"/>
    </row>
    <row r="513" spans="2:27" x14ac:dyDescent="0.25">
      <c r="B513" s="14"/>
      <c r="N513" s="15"/>
      <c r="O513" s="15"/>
      <c r="T513" s="15"/>
      <c r="U513" s="14"/>
      <c r="Z513" s="14"/>
      <c r="AA513" s="14"/>
    </row>
    <row r="514" spans="2:27" x14ac:dyDescent="0.25">
      <c r="B514" s="14"/>
      <c r="N514" s="15"/>
      <c r="O514" s="15"/>
      <c r="T514" s="15"/>
      <c r="U514" s="14"/>
      <c r="Z514" s="14"/>
      <c r="AA514" s="14"/>
    </row>
    <row r="515" spans="2:27" x14ac:dyDescent="0.25">
      <c r="B515" s="14"/>
      <c r="N515" s="15"/>
      <c r="O515" s="15"/>
      <c r="T515" s="15"/>
      <c r="U515" s="14"/>
      <c r="Z515" s="14"/>
      <c r="AA515" s="14"/>
    </row>
    <row r="516" spans="2:27" x14ac:dyDescent="0.25">
      <c r="B516" s="14"/>
      <c r="N516" s="15"/>
      <c r="O516" s="15"/>
      <c r="T516" s="15"/>
      <c r="U516" s="14"/>
      <c r="Z516" s="14"/>
      <c r="AA516" s="14"/>
    </row>
    <row r="517" spans="2:27" x14ac:dyDescent="0.25">
      <c r="B517" s="14"/>
      <c r="N517" s="15"/>
      <c r="O517" s="15"/>
      <c r="T517" s="15"/>
      <c r="U517" s="14"/>
      <c r="Z517" s="14"/>
      <c r="AA517" s="14"/>
    </row>
    <row r="518" spans="2:27" x14ac:dyDescent="0.25">
      <c r="B518" s="14"/>
      <c r="N518" s="15"/>
      <c r="O518" s="15"/>
      <c r="T518" s="15"/>
      <c r="U518" s="14"/>
      <c r="Z518" s="14"/>
      <c r="AA518" s="14"/>
    </row>
    <row r="519" spans="2:27" x14ac:dyDescent="0.25">
      <c r="B519" s="14"/>
      <c r="N519" s="15"/>
      <c r="O519" s="15"/>
      <c r="T519" s="15"/>
      <c r="U519" s="14"/>
      <c r="Z519" s="14"/>
      <c r="AA519" s="14"/>
    </row>
    <row r="520" spans="2:27" x14ac:dyDescent="0.25">
      <c r="B520" s="14"/>
      <c r="N520" s="15"/>
      <c r="O520" s="15"/>
      <c r="T520" s="15"/>
      <c r="U520" s="14"/>
      <c r="Z520" s="14"/>
      <c r="AA520" s="14"/>
    </row>
    <row r="521" spans="2:27" x14ac:dyDescent="0.25">
      <c r="B521" s="14"/>
      <c r="N521" s="15"/>
      <c r="O521" s="15"/>
      <c r="T521" s="15"/>
      <c r="U521" s="14"/>
      <c r="Z521" s="14"/>
      <c r="AA521" s="14"/>
    </row>
    <row r="522" spans="2:27" x14ac:dyDescent="0.25">
      <c r="B522" s="14"/>
      <c r="N522" s="15"/>
      <c r="O522" s="15"/>
      <c r="T522" s="15"/>
      <c r="U522" s="14"/>
      <c r="Z522" s="14"/>
      <c r="AA522" s="14"/>
    </row>
    <row r="523" spans="2:27" x14ac:dyDescent="0.25">
      <c r="B523" s="14"/>
      <c r="N523" s="15"/>
      <c r="O523" s="15"/>
      <c r="T523" s="15"/>
      <c r="U523" s="14"/>
      <c r="Z523" s="14"/>
      <c r="AA523" s="14"/>
    </row>
    <row r="524" spans="2:27" x14ac:dyDescent="0.25">
      <c r="B524" s="14"/>
      <c r="N524" s="15"/>
      <c r="O524" s="15"/>
      <c r="T524" s="15"/>
      <c r="U524" s="14"/>
      <c r="Z524" s="14"/>
      <c r="AA524" s="14"/>
    </row>
    <row r="525" spans="2:27" x14ac:dyDescent="0.25">
      <c r="B525" s="14"/>
      <c r="N525" s="15"/>
      <c r="O525" s="15"/>
      <c r="T525" s="15"/>
      <c r="U525" s="14"/>
      <c r="Z525" s="14"/>
      <c r="AA525" s="14"/>
    </row>
    <row r="526" spans="2:27" x14ac:dyDescent="0.25">
      <c r="B526" s="14"/>
      <c r="N526" s="15"/>
      <c r="O526" s="15"/>
      <c r="T526" s="15"/>
      <c r="U526" s="14"/>
      <c r="Z526" s="14"/>
      <c r="AA526" s="14"/>
    </row>
    <row r="527" spans="2:27" x14ac:dyDescent="0.25">
      <c r="B527" s="14"/>
      <c r="N527" s="15"/>
      <c r="O527" s="15"/>
      <c r="T527" s="15"/>
      <c r="U527" s="14"/>
      <c r="Z527" s="14"/>
      <c r="AA527" s="14"/>
    </row>
    <row r="528" spans="2:27" x14ac:dyDescent="0.25">
      <c r="B528" s="14"/>
      <c r="N528" s="15"/>
      <c r="O528" s="15"/>
      <c r="T528" s="15"/>
      <c r="U528" s="14"/>
      <c r="Z528" s="14"/>
      <c r="AA528" s="14"/>
    </row>
    <row r="529" spans="2:27" x14ac:dyDescent="0.25">
      <c r="B529" s="14"/>
      <c r="N529" s="15"/>
      <c r="O529" s="15"/>
      <c r="T529" s="15"/>
      <c r="U529" s="14"/>
      <c r="Z529" s="14"/>
      <c r="AA529" s="14"/>
    </row>
    <row r="530" spans="2:27" x14ac:dyDescent="0.25">
      <c r="B530" s="14"/>
      <c r="N530" s="15"/>
      <c r="O530" s="15"/>
      <c r="T530" s="15"/>
      <c r="U530" s="14"/>
      <c r="Z530" s="14"/>
      <c r="AA530" s="14"/>
    </row>
    <row r="531" spans="2:27" x14ac:dyDescent="0.25">
      <c r="B531" s="14"/>
      <c r="N531" s="15"/>
      <c r="O531" s="15"/>
      <c r="T531" s="15"/>
      <c r="U531" s="14"/>
      <c r="Z531" s="14"/>
      <c r="AA531" s="14"/>
    </row>
    <row r="532" spans="2:27" x14ac:dyDescent="0.25">
      <c r="B532" s="14"/>
      <c r="N532" s="15"/>
      <c r="O532" s="15"/>
      <c r="T532" s="15"/>
      <c r="U532" s="14"/>
      <c r="Z532" s="14"/>
      <c r="AA532" s="14"/>
    </row>
    <row r="533" spans="2:27" x14ac:dyDescent="0.25">
      <c r="B533" s="14"/>
      <c r="N533" s="15"/>
      <c r="O533" s="15"/>
      <c r="T533" s="15"/>
      <c r="U533" s="14"/>
      <c r="Z533" s="14"/>
      <c r="AA533" s="14"/>
    </row>
    <row r="534" spans="2:27" x14ac:dyDescent="0.25">
      <c r="B534" s="14"/>
      <c r="N534" s="15"/>
      <c r="O534" s="15"/>
      <c r="T534" s="15"/>
      <c r="U534" s="14"/>
      <c r="Z534" s="14"/>
      <c r="AA534" s="14"/>
    </row>
    <row r="535" spans="2:27" x14ac:dyDescent="0.25">
      <c r="B535" s="14"/>
      <c r="N535" s="15"/>
      <c r="O535" s="15"/>
      <c r="T535" s="15"/>
      <c r="U535" s="14"/>
      <c r="Z535" s="14"/>
      <c r="AA535" s="14"/>
    </row>
    <row r="536" spans="2:27" x14ac:dyDescent="0.25">
      <c r="B536" s="14"/>
      <c r="N536" s="15"/>
      <c r="O536" s="15"/>
      <c r="T536" s="15"/>
      <c r="U536" s="14"/>
      <c r="Z536" s="14"/>
      <c r="AA536" s="14"/>
    </row>
    <row r="537" spans="2:27" x14ac:dyDescent="0.25">
      <c r="B537" s="14"/>
      <c r="N537" s="15"/>
      <c r="O537" s="15"/>
      <c r="T537" s="15"/>
      <c r="U537" s="14"/>
      <c r="Z537" s="14"/>
      <c r="AA537" s="14"/>
    </row>
    <row r="538" spans="2:27" x14ac:dyDescent="0.25">
      <c r="B538" s="14"/>
      <c r="N538" s="15"/>
      <c r="O538" s="15"/>
      <c r="T538" s="15"/>
      <c r="U538" s="14"/>
      <c r="Z538" s="14"/>
      <c r="AA538" s="14"/>
    </row>
    <row r="539" spans="2:27" x14ac:dyDescent="0.25">
      <c r="B539" s="14"/>
      <c r="N539" s="15"/>
      <c r="O539" s="15"/>
      <c r="T539" s="15"/>
      <c r="U539" s="14"/>
      <c r="Z539" s="14"/>
      <c r="AA539" s="14"/>
    </row>
    <row r="540" spans="2:27" x14ac:dyDescent="0.25">
      <c r="B540" s="14"/>
      <c r="N540" s="15"/>
      <c r="O540" s="15"/>
      <c r="T540" s="15"/>
      <c r="U540" s="14"/>
      <c r="Z540" s="14"/>
      <c r="AA540" s="14"/>
    </row>
    <row r="541" spans="2:27" x14ac:dyDescent="0.25">
      <c r="B541" s="14"/>
      <c r="N541" s="15"/>
      <c r="O541" s="15"/>
      <c r="T541" s="15"/>
      <c r="U541" s="14"/>
      <c r="Z541" s="14"/>
      <c r="AA541" s="14"/>
    </row>
    <row r="542" spans="2:27" x14ac:dyDescent="0.25">
      <c r="B542" s="14"/>
      <c r="N542" s="15"/>
      <c r="O542" s="15"/>
      <c r="T542" s="15"/>
      <c r="U542" s="14"/>
      <c r="Z542" s="14"/>
      <c r="AA542" s="14"/>
    </row>
    <row r="543" spans="2:27" x14ac:dyDescent="0.25">
      <c r="B543" s="14"/>
      <c r="N543" s="15"/>
      <c r="O543" s="15"/>
      <c r="T543" s="15"/>
      <c r="U543" s="14"/>
      <c r="Z543" s="14"/>
      <c r="AA543" s="14"/>
    </row>
    <row r="544" spans="2:27" x14ac:dyDescent="0.25">
      <c r="B544" s="14"/>
      <c r="N544" s="15"/>
      <c r="O544" s="15"/>
      <c r="T544" s="15"/>
      <c r="U544" s="14"/>
      <c r="Z544" s="14"/>
      <c r="AA544" s="14"/>
    </row>
    <row r="545" spans="2:27" x14ac:dyDescent="0.25">
      <c r="B545" s="14"/>
      <c r="N545" s="15"/>
      <c r="O545" s="15"/>
      <c r="T545" s="15"/>
      <c r="U545" s="14"/>
      <c r="Z545" s="14"/>
      <c r="AA545" s="14"/>
    </row>
    <row r="546" spans="2:27" x14ac:dyDescent="0.25">
      <c r="N546" s="15"/>
      <c r="O546" s="15"/>
      <c r="T546" s="15"/>
      <c r="U546" s="14"/>
      <c r="Z546" s="14"/>
      <c r="AA546" s="14"/>
    </row>
    <row r="547" spans="2:27" x14ac:dyDescent="0.25">
      <c r="N547" s="15"/>
      <c r="O547" s="15"/>
      <c r="T547" s="15"/>
      <c r="U547" s="14"/>
      <c r="Z547" s="14"/>
      <c r="AA547" s="14"/>
    </row>
    <row r="548" spans="2:27" x14ac:dyDescent="0.25">
      <c r="N548" s="15"/>
      <c r="O548" s="15"/>
      <c r="T548" s="15"/>
      <c r="U548" s="14"/>
      <c r="Z548" s="14"/>
      <c r="AA548" s="14"/>
    </row>
    <row r="549" spans="2:27" x14ac:dyDescent="0.25">
      <c r="N549" s="15"/>
      <c r="O549" s="15"/>
      <c r="T549" s="15"/>
      <c r="U549" s="14"/>
      <c r="Z549" s="14"/>
      <c r="AA549" s="14"/>
    </row>
    <row r="550" spans="2:27" x14ac:dyDescent="0.25">
      <c r="N550" s="15"/>
      <c r="O550" s="15"/>
      <c r="T550" s="15"/>
      <c r="U550" s="14"/>
      <c r="Z550" s="14"/>
      <c r="AA550" s="14"/>
    </row>
    <row r="551" spans="2:27" x14ac:dyDescent="0.25">
      <c r="N551" s="15"/>
      <c r="O551" s="15"/>
      <c r="T551" s="15"/>
      <c r="U551" s="14"/>
      <c r="Z551" s="14"/>
      <c r="AA551" s="14"/>
    </row>
    <row r="552" spans="2:27" x14ac:dyDescent="0.25">
      <c r="N552" s="15"/>
      <c r="O552" s="15"/>
      <c r="T552" s="15"/>
      <c r="U552" s="14"/>
      <c r="Z552" s="14"/>
      <c r="AA552" s="14"/>
    </row>
    <row r="553" spans="2:27" x14ac:dyDescent="0.25">
      <c r="N553" s="15"/>
      <c r="O553" s="15"/>
      <c r="T553" s="15"/>
      <c r="U553" s="14"/>
      <c r="Z553" s="14"/>
      <c r="AA553" s="14"/>
    </row>
    <row r="554" spans="2:27" x14ac:dyDescent="0.25">
      <c r="N554" s="15"/>
      <c r="O554" s="15"/>
      <c r="T554" s="15"/>
      <c r="U554" s="14"/>
      <c r="Z554" s="14"/>
      <c r="AA554" s="14"/>
    </row>
    <row r="555" spans="2:27" x14ac:dyDescent="0.25">
      <c r="N555" s="15"/>
      <c r="O555" s="15"/>
      <c r="T555" s="15"/>
      <c r="U555" s="14"/>
      <c r="Z555" s="14"/>
      <c r="AA555" s="14"/>
    </row>
    <row r="556" spans="2:27" x14ac:dyDescent="0.25">
      <c r="N556" s="15"/>
      <c r="O556" s="15"/>
      <c r="T556" s="15"/>
      <c r="U556" s="14"/>
      <c r="Z556" s="14"/>
      <c r="AA556" s="14"/>
    </row>
    <row r="557" spans="2:27" x14ac:dyDescent="0.25">
      <c r="N557" s="15"/>
      <c r="O557" s="15"/>
      <c r="T557" s="15"/>
      <c r="U557" s="14"/>
      <c r="Z557" s="14"/>
      <c r="AA557" s="14"/>
    </row>
    <row r="558" spans="2:27" x14ac:dyDescent="0.25">
      <c r="N558" s="15"/>
      <c r="O558" s="15"/>
      <c r="T558" s="15"/>
      <c r="U558" s="14"/>
      <c r="Z558" s="14"/>
      <c r="AA558" s="14"/>
    </row>
    <row r="559" spans="2:27" x14ac:dyDescent="0.25">
      <c r="N559" s="15"/>
      <c r="O559" s="15"/>
      <c r="T559" s="15"/>
      <c r="U559" s="14"/>
      <c r="Z559" s="14"/>
      <c r="AA559" s="14"/>
    </row>
    <row r="560" spans="2:27" x14ac:dyDescent="0.25">
      <c r="N560" s="15"/>
      <c r="O560" s="15"/>
      <c r="T560" s="15"/>
      <c r="U560" s="14"/>
      <c r="Z560" s="14"/>
      <c r="AA560" s="14"/>
    </row>
    <row r="561" spans="14:27" x14ac:dyDescent="0.25">
      <c r="N561" s="15"/>
      <c r="O561" s="15"/>
      <c r="T561" s="15"/>
      <c r="U561" s="14"/>
      <c r="Z561" s="14"/>
      <c r="AA561" s="14"/>
    </row>
    <row r="562" spans="14:27" x14ac:dyDescent="0.25">
      <c r="N562" s="15"/>
      <c r="O562" s="15"/>
      <c r="T562" s="15"/>
      <c r="U562" s="14"/>
      <c r="Z562" s="14"/>
      <c r="AA562" s="14"/>
    </row>
    <row r="563" spans="14:27" x14ac:dyDescent="0.25">
      <c r="N563" s="15"/>
      <c r="O563" s="15"/>
      <c r="T563" s="15"/>
      <c r="U563" s="14"/>
      <c r="Z563" s="14"/>
      <c r="AA563" s="14"/>
    </row>
    <row r="564" spans="14:27" x14ac:dyDescent="0.25">
      <c r="N564" s="15"/>
      <c r="O564" s="15"/>
      <c r="T564" s="15"/>
      <c r="U564" s="14"/>
      <c r="Z564" s="14"/>
      <c r="AA564" s="14"/>
    </row>
    <row r="565" spans="14:27" x14ac:dyDescent="0.25">
      <c r="N565" s="15"/>
      <c r="O565" s="15"/>
      <c r="T565" s="15"/>
      <c r="U565" s="14"/>
      <c r="Z565" s="14"/>
      <c r="AA565" s="14"/>
    </row>
    <row r="566" spans="14:27" x14ac:dyDescent="0.25">
      <c r="N566" s="15"/>
      <c r="O566" s="15"/>
      <c r="T566" s="15"/>
      <c r="U566" s="14"/>
      <c r="Z566" s="14"/>
      <c r="AA566" s="14"/>
    </row>
    <row r="567" spans="14:27" x14ac:dyDescent="0.25">
      <c r="N567" s="15"/>
      <c r="O567" s="15"/>
      <c r="T567" s="15"/>
      <c r="U567" s="14"/>
      <c r="Z567" s="14"/>
      <c r="AA567" s="14"/>
    </row>
    <row r="568" spans="14:27" x14ac:dyDescent="0.25">
      <c r="N568" s="15"/>
      <c r="O568" s="15"/>
      <c r="T568" s="15"/>
      <c r="U568" s="14"/>
      <c r="Z568" s="14"/>
      <c r="AA568" s="14"/>
    </row>
    <row r="569" spans="14:27" x14ac:dyDescent="0.25">
      <c r="N569" s="15"/>
      <c r="O569" s="15"/>
      <c r="T569" s="15"/>
      <c r="U569" s="14"/>
      <c r="Z569" s="14"/>
      <c r="AA569" s="14"/>
    </row>
    <row r="570" spans="14:27" x14ac:dyDescent="0.25">
      <c r="N570" s="15"/>
      <c r="O570" s="15"/>
      <c r="T570" s="15"/>
      <c r="U570" s="14"/>
      <c r="Z570" s="14"/>
      <c r="AA570" s="14"/>
    </row>
    <row r="571" spans="14:27" x14ac:dyDescent="0.25">
      <c r="N571" s="15"/>
      <c r="O571" s="15"/>
      <c r="T571" s="15"/>
      <c r="U571" s="14"/>
      <c r="Z571" s="14"/>
      <c r="AA571" s="14"/>
    </row>
    <row r="572" spans="14:27" x14ac:dyDescent="0.25">
      <c r="N572" s="15"/>
      <c r="O572" s="15"/>
      <c r="T572" s="15"/>
      <c r="U572" s="14"/>
      <c r="Z572" s="14"/>
      <c r="AA572" s="14"/>
    </row>
    <row r="573" spans="14:27" x14ac:dyDescent="0.25">
      <c r="N573" s="15"/>
      <c r="O573" s="15"/>
      <c r="T573" s="15"/>
      <c r="U573" s="14"/>
      <c r="Z573" s="14"/>
      <c r="AA573" s="14"/>
    </row>
    <row r="574" spans="14:27" x14ac:dyDescent="0.25">
      <c r="N574" s="15"/>
      <c r="O574" s="15"/>
      <c r="T574" s="15"/>
      <c r="U574" s="14"/>
      <c r="Z574" s="14"/>
      <c r="AA574" s="14"/>
    </row>
    <row r="575" spans="14:27" x14ac:dyDescent="0.25">
      <c r="N575" s="15"/>
      <c r="O575" s="15"/>
      <c r="T575" s="15"/>
      <c r="U575" s="14"/>
      <c r="Z575" s="14"/>
      <c r="AA575" s="14"/>
    </row>
    <row r="576" spans="14:27" x14ac:dyDescent="0.25">
      <c r="N576" s="15"/>
      <c r="O576" s="15"/>
      <c r="T576" s="15"/>
      <c r="U576" s="14"/>
      <c r="Z576" s="14"/>
      <c r="AA576" s="14"/>
    </row>
    <row r="577" spans="14:27" x14ac:dyDescent="0.25">
      <c r="N577" s="15"/>
      <c r="O577" s="15"/>
      <c r="T577" s="15"/>
      <c r="U577" s="14"/>
      <c r="Z577" s="14"/>
      <c r="AA577" s="14"/>
    </row>
    <row r="578" spans="14:27" x14ac:dyDescent="0.25">
      <c r="N578" s="15"/>
      <c r="O578" s="15"/>
      <c r="T578" s="15"/>
      <c r="U578" s="14"/>
      <c r="Z578" s="14"/>
      <c r="AA578" s="14"/>
    </row>
    <row r="579" spans="14:27" x14ac:dyDescent="0.25">
      <c r="N579" s="15"/>
      <c r="O579" s="15"/>
      <c r="T579" s="15"/>
      <c r="U579" s="14"/>
      <c r="Z579" s="14"/>
      <c r="AA579" s="14"/>
    </row>
    <row r="580" spans="14:27" x14ac:dyDescent="0.25">
      <c r="N580" s="15"/>
      <c r="O580" s="15"/>
      <c r="T580" s="15"/>
      <c r="U580" s="14"/>
      <c r="Z580" s="14"/>
      <c r="AA580" s="14"/>
    </row>
    <row r="581" spans="14:27" x14ac:dyDescent="0.25">
      <c r="N581" s="15"/>
      <c r="O581" s="15"/>
      <c r="T581" s="15"/>
      <c r="U581" s="14"/>
      <c r="Z581" s="14"/>
      <c r="AA581" s="14"/>
    </row>
    <row r="582" spans="14:27" x14ac:dyDescent="0.25">
      <c r="N582" s="15"/>
      <c r="O582" s="15"/>
      <c r="T582" s="15"/>
      <c r="U582" s="14"/>
      <c r="Z582" s="14"/>
      <c r="AA582" s="14"/>
    </row>
    <row r="583" spans="14:27" x14ac:dyDescent="0.25">
      <c r="N583" s="15"/>
      <c r="O583" s="15"/>
      <c r="T583" s="15"/>
      <c r="U583" s="14"/>
      <c r="Z583" s="14"/>
      <c r="AA583" s="14"/>
    </row>
    <row r="584" spans="14:27" x14ac:dyDescent="0.25">
      <c r="N584" s="15"/>
      <c r="O584" s="15"/>
      <c r="T584" s="15"/>
      <c r="U584" s="14"/>
      <c r="Z584" s="14"/>
      <c r="AA584" s="14"/>
    </row>
    <row r="585" spans="14:27" x14ac:dyDescent="0.25">
      <c r="N585" s="15"/>
      <c r="O585" s="15"/>
      <c r="T585" s="15"/>
      <c r="U585" s="14"/>
      <c r="Z585" s="14"/>
      <c r="AA585" s="14"/>
    </row>
    <row r="586" spans="14:27" x14ac:dyDescent="0.25">
      <c r="N586" s="15"/>
      <c r="O586" s="15"/>
      <c r="T586" s="15"/>
      <c r="U586" s="14"/>
      <c r="Z586" s="14"/>
      <c r="AA586" s="14"/>
    </row>
    <row r="587" spans="14:27" x14ac:dyDescent="0.25">
      <c r="N587" s="15"/>
      <c r="O587" s="15"/>
      <c r="T587" s="15"/>
      <c r="U587" s="14"/>
      <c r="Z587" s="14"/>
      <c r="AA587" s="14"/>
    </row>
    <row r="588" spans="14:27" x14ac:dyDescent="0.25">
      <c r="N588" s="15"/>
      <c r="O588" s="15"/>
      <c r="T588" s="15"/>
      <c r="U588" s="14"/>
      <c r="Z588" s="14"/>
      <c r="AA588" s="14"/>
    </row>
    <row r="589" spans="14:27" x14ac:dyDescent="0.25">
      <c r="N589" s="15"/>
      <c r="O589" s="15"/>
      <c r="T589" s="15"/>
      <c r="U589" s="14"/>
      <c r="Z589" s="14"/>
      <c r="AA589" s="14"/>
    </row>
    <row r="590" spans="14:27" x14ac:dyDescent="0.25">
      <c r="N590" s="15"/>
      <c r="O590" s="15"/>
      <c r="T590" s="15"/>
      <c r="U590" s="14"/>
      <c r="Z590" s="14"/>
      <c r="AA590" s="14"/>
    </row>
    <row r="591" spans="14:27" x14ac:dyDescent="0.25">
      <c r="N591" s="15"/>
      <c r="O591" s="15"/>
      <c r="T591" s="15"/>
      <c r="U591" s="14"/>
      <c r="Z591" s="14"/>
      <c r="AA591" s="14"/>
    </row>
    <row r="592" spans="14:27" x14ac:dyDescent="0.25">
      <c r="N592" s="15"/>
      <c r="O592" s="15"/>
      <c r="T592" s="15"/>
      <c r="U592" s="14"/>
      <c r="Z592" s="14"/>
      <c r="AA592" s="14"/>
    </row>
    <row r="593" spans="14:27" x14ac:dyDescent="0.25">
      <c r="N593" s="15"/>
      <c r="O593" s="15"/>
      <c r="T593" s="15"/>
      <c r="U593" s="14"/>
      <c r="Z593" s="14"/>
      <c r="AA593" s="14"/>
    </row>
    <row r="594" spans="14:27" x14ac:dyDescent="0.25">
      <c r="N594" s="15"/>
      <c r="O594" s="15"/>
      <c r="T594" s="15"/>
      <c r="U594" s="14"/>
      <c r="Z594" s="14"/>
      <c r="AA594" s="14"/>
    </row>
    <row r="595" spans="14:27" x14ac:dyDescent="0.25">
      <c r="N595" s="15"/>
      <c r="O595" s="15"/>
      <c r="T595" s="15"/>
      <c r="U595" s="14"/>
      <c r="Z595" s="14"/>
      <c r="AA595" s="14"/>
    </row>
    <row r="596" spans="14:27" x14ac:dyDescent="0.25">
      <c r="N596" s="15"/>
      <c r="O596" s="15"/>
      <c r="T596" s="15"/>
      <c r="U596" s="14"/>
      <c r="Z596" s="14"/>
      <c r="AA596" s="14"/>
    </row>
    <row r="597" spans="14:27" x14ac:dyDescent="0.25">
      <c r="N597" s="15"/>
      <c r="O597" s="15"/>
      <c r="T597" s="15"/>
      <c r="U597" s="14"/>
      <c r="Z597" s="14"/>
      <c r="AA597" s="14"/>
    </row>
    <row r="598" spans="14:27" x14ac:dyDescent="0.25">
      <c r="N598" s="15"/>
      <c r="O598" s="15"/>
      <c r="T598" s="15"/>
      <c r="U598" s="14"/>
      <c r="Z598" s="14"/>
      <c r="AA598" s="14"/>
    </row>
    <row r="599" spans="14:27" x14ac:dyDescent="0.25">
      <c r="N599" s="15"/>
      <c r="O599" s="15"/>
      <c r="T599" s="15"/>
      <c r="U599" s="14"/>
      <c r="Z599" s="14"/>
      <c r="AA599" s="14"/>
    </row>
    <row r="600" spans="14:27" x14ac:dyDescent="0.25">
      <c r="N600" s="15"/>
      <c r="O600" s="15"/>
      <c r="T600" s="15"/>
      <c r="U600" s="14"/>
      <c r="Z600" s="14"/>
      <c r="AA600" s="14"/>
    </row>
    <row r="601" spans="14:27" x14ac:dyDescent="0.25">
      <c r="N601" s="15"/>
      <c r="O601" s="15"/>
      <c r="T601" s="15"/>
      <c r="U601" s="14"/>
      <c r="Z601" s="14"/>
      <c r="AA601" s="14"/>
    </row>
    <row r="602" spans="14:27" x14ac:dyDescent="0.25">
      <c r="N602" s="15"/>
      <c r="O602" s="15"/>
      <c r="T602" s="15"/>
      <c r="U602" s="14"/>
      <c r="Z602" s="14"/>
      <c r="AA602" s="14"/>
    </row>
    <row r="603" spans="14:27" x14ac:dyDescent="0.25">
      <c r="N603" s="15"/>
      <c r="O603" s="15"/>
      <c r="T603" s="15"/>
      <c r="U603" s="14"/>
      <c r="Z603" s="14"/>
      <c r="AA603" s="14"/>
    </row>
    <row r="604" spans="14:27" x14ac:dyDescent="0.25">
      <c r="N604" s="15"/>
      <c r="O604" s="15"/>
      <c r="T604" s="15"/>
      <c r="U604" s="14"/>
      <c r="Z604" s="14"/>
      <c r="AA604" s="14"/>
    </row>
    <row r="605" spans="14:27" x14ac:dyDescent="0.25">
      <c r="N605" s="15"/>
      <c r="O605" s="15"/>
      <c r="T605" s="15"/>
      <c r="U605" s="14"/>
      <c r="Z605" s="14"/>
      <c r="AA605" s="14"/>
    </row>
    <row r="606" spans="14:27" x14ac:dyDescent="0.25">
      <c r="N606" s="15"/>
      <c r="O606" s="15"/>
      <c r="T606" s="15"/>
      <c r="U606" s="14"/>
      <c r="Z606" s="14"/>
      <c r="AA606" s="14"/>
    </row>
    <row r="607" spans="14:27" x14ac:dyDescent="0.25">
      <c r="N607" s="15"/>
      <c r="O607" s="15"/>
      <c r="T607" s="15"/>
      <c r="U607" s="14"/>
      <c r="Z607" s="14"/>
      <c r="AA607" s="14"/>
    </row>
    <row r="608" spans="14:27" x14ac:dyDescent="0.25">
      <c r="N608" s="15"/>
      <c r="O608" s="15"/>
      <c r="T608" s="15"/>
      <c r="U608" s="14"/>
      <c r="Z608" s="14"/>
      <c r="AA608" s="14"/>
    </row>
    <row r="609" spans="14:27" x14ac:dyDescent="0.25">
      <c r="N609" s="15"/>
      <c r="O609" s="15"/>
      <c r="T609" s="15"/>
      <c r="U609" s="14"/>
      <c r="Z609" s="14"/>
      <c r="AA609" s="14"/>
    </row>
    <row r="610" spans="14:27" x14ac:dyDescent="0.25">
      <c r="N610" s="15"/>
      <c r="O610" s="15"/>
      <c r="T610" s="15"/>
      <c r="U610" s="14"/>
      <c r="Z610" s="14"/>
      <c r="AA610" s="14"/>
    </row>
    <row r="611" spans="14:27" x14ac:dyDescent="0.25">
      <c r="N611" s="15"/>
      <c r="O611" s="15"/>
      <c r="T611" s="15"/>
      <c r="U611" s="14"/>
      <c r="Z611" s="14"/>
      <c r="AA611" s="14"/>
    </row>
    <row r="612" spans="14:27" x14ac:dyDescent="0.25">
      <c r="N612" s="15"/>
      <c r="O612" s="15"/>
      <c r="T612" s="15"/>
      <c r="U612" s="14"/>
      <c r="Z612" s="14"/>
      <c r="AA612" s="14"/>
    </row>
    <row r="613" spans="14:27" x14ac:dyDescent="0.25">
      <c r="N613" s="15"/>
      <c r="O613" s="15"/>
      <c r="T613" s="15"/>
      <c r="U613" s="14"/>
      <c r="Z613" s="14"/>
      <c r="AA613" s="14"/>
    </row>
    <row r="614" spans="14:27" x14ac:dyDescent="0.25">
      <c r="N614" s="15"/>
      <c r="O614" s="15"/>
      <c r="T614" s="15"/>
      <c r="U614" s="14"/>
      <c r="Z614" s="14"/>
      <c r="AA614" s="14"/>
    </row>
    <row r="615" spans="14:27" x14ac:dyDescent="0.25">
      <c r="N615" s="15"/>
      <c r="O615" s="15"/>
      <c r="T615" s="15"/>
      <c r="U615" s="14"/>
      <c r="Z615" s="14"/>
      <c r="AA615" s="14"/>
    </row>
    <row r="616" spans="14:27" x14ac:dyDescent="0.25">
      <c r="N616" s="15"/>
      <c r="O616" s="15"/>
      <c r="T616" s="15"/>
      <c r="U616" s="14"/>
      <c r="Z616" s="14"/>
      <c r="AA616" s="14"/>
    </row>
    <row r="617" spans="14:27" x14ac:dyDescent="0.25">
      <c r="N617" s="15"/>
      <c r="O617" s="15"/>
      <c r="T617" s="15"/>
      <c r="U617" s="14"/>
      <c r="Z617" s="14"/>
      <c r="AA617" s="14"/>
    </row>
    <row r="618" spans="14:27" x14ac:dyDescent="0.25">
      <c r="N618" s="15"/>
      <c r="O618" s="15"/>
      <c r="T618" s="15"/>
      <c r="U618" s="14"/>
      <c r="Z618" s="14"/>
      <c r="AA618" s="14"/>
    </row>
    <row r="619" spans="14:27" x14ac:dyDescent="0.25">
      <c r="N619" s="15"/>
      <c r="O619" s="15"/>
      <c r="T619" s="15"/>
      <c r="U619" s="14"/>
      <c r="Z619" s="14"/>
      <c r="AA619" s="14"/>
    </row>
    <row r="620" spans="14:27" x14ac:dyDescent="0.25">
      <c r="N620" s="15"/>
      <c r="O620" s="15"/>
      <c r="T620" s="15"/>
      <c r="U620" s="14"/>
      <c r="Z620" s="14"/>
      <c r="AA620" s="14"/>
    </row>
    <row r="621" spans="14:27" x14ac:dyDescent="0.25">
      <c r="N621" s="15"/>
      <c r="O621" s="15"/>
      <c r="T621" s="15"/>
      <c r="U621" s="14"/>
      <c r="Z621" s="14"/>
      <c r="AA621" s="14"/>
    </row>
    <row r="622" spans="14:27" x14ac:dyDescent="0.25">
      <c r="N622" s="15"/>
      <c r="O622" s="15"/>
      <c r="T622" s="15"/>
      <c r="U622" s="14"/>
      <c r="Z622" s="14"/>
      <c r="AA622" s="14"/>
    </row>
    <row r="623" spans="14:27" x14ac:dyDescent="0.25">
      <c r="N623" s="15"/>
      <c r="O623" s="15"/>
      <c r="T623" s="15"/>
      <c r="U623" s="14"/>
      <c r="Z623" s="14"/>
      <c r="AA623" s="14"/>
    </row>
    <row r="624" spans="14:27" x14ac:dyDescent="0.25">
      <c r="N624" s="15"/>
      <c r="O624" s="15"/>
      <c r="T624" s="15"/>
      <c r="U624" s="14"/>
      <c r="Z624" s="14"/>
      <c r="AA624" s="14"/>
    </row>
    <row r="625" spans="14:27" x14ac:dyDescent="0.25">
      <c r="N625" s="15"/>
      <c r="O625" s="15"/>
      <c r="T625" s="15"/>
      <c r="U625" s="14"/>
      <c r="Z625" s="14"/>
      <c r="AA625" s="14"/>
    </row>
    <row r="626" spans="14:27" x14ac:dyDescent="0.25">
      <c r="N626" s="15"/>
      <c r="O626" s="15"/>
      <c r="T626" s="15"/>
      <c r="U626" s="14"/>
      <c r="Z626" s="14"/>
      <c r="AA626" s="14"/>
    </row>
    <row r="627" spans="14:27" x14ac:dyDescent="0.25">
      <c r="N627" s="15"/>
      <c r="O627" s="15"/>
      <c r="T627" s="15"/>
      <c r="U627" s="14"/>
      <c r="Z627" s="14"/>
      <c r="AA627" s="14"/>
    </row>
    <row r="628" spans="14:27" x14ac:dyDescent="0.25">
      <c r="N628" s="15"/>
      <c r="O628" s="15"/>
      <c r="T628" s="15"/>
      <c r="U628" s="14"/>
      <c r="Z628" s="14"/>
      <c r="AA628" s="14"/>
    </row>
    <row r="629" spans="14:27" x14ac:dyDescent="0.25">
      <c r="N629" s="15"/>
      <c r="O629" s="15"/>
      <c r="T629" s="15"/>
      <c r="U629" s="14"/>
      <c r="Z629" s="14"/>
      <c r="AA629" s="14"/>
    </row>
    <row r="630" spans="14:27" x14ac:dyDescent="0.25">
      <c r="N630" s="15"/>
      <c r="O630" s="15"/>
      <c r="T630" s="15"/>
      <c r="U630" s="14"/>
      <c r="Z630" s="14"/>
      <c r="AA630" s="14"/>
    </row>
    <row r="631" spans="14:27" x14ac:dyDescent="0.25">
      <c r="N631" s="15"/>
      <c r="O631" s="15"/>
      <c r="T631" s="15"/>
      <c r="U631" s="14"/>
      <c r="Z631" s="14"/>
      <c r="AA631" s="14"/>
    </row>
    <row r="632" spans="14:27" x14ac:dyDescent="0.25">
      <c r="N632" s="15"/>
      <c r="O632" s="15"/>
      <c r="T632" s="15"/>
      <c r="U632" s="14"/>
      <c r="Z632" s="14"/>
      <c r="AA632" s="14"/>
    </row>
    <row r="633" spans="14:27" x14ac:dyDescent="0.25">
      <c r="N633" s="15"/>
      <c r="O633" s="15"/>
      <c r="T633" s="15"/>
      <c r="U633" s="14"/>
      <c r="Z633" s="14"/>
      <c r="AA633" s="14"/>
    </row>
    <row r="634" spans="14:27" x14ac:dyDescent="0.25">
      <c r="N634" s="15"/>
      <c r="O634" s="15"/>
      <c r="T634" s="15"/>
      <c r="U634" s="14"/>
      <c r="Z634" s="14"/>
      <c r="AA634" s="14"/>
    </row>
    <row r="635" spans="14:27" x14ac:dyDescent="0.25">
      <c r="N635" s="15"/>
      <c r="O635" s="15"/>
      <c r="T635" s="15"/>
      <c r="U635" s="14"/>
      <c r="Z635" s="14"/>
      <c r="AA635" s="14"/>
    </row>
    <row r="636" spans="14:27" x14ac:dyDescent="0.25">
      <c r="N636" s="15"/>
      <c r="O636" s="15"/>
      <c r="T636" s="15"/>
      <c r="U636" s="14"/>
      <c r="Z636" s="14"/>
      <c r="AA636" s="14"/>
    </row>
    <row r="637" spans="14:27" x14ac:dyDescent="0.25">
      <c r="N637" s="15"/>
      <c r="O637" s="15"/>
      <c r="T637" s="15"/>
      <c r="U637" s="14"/>
      <c r="Z637" s="14"/>
      <c r="AA637" s="14"/>
    </row>
    <row r="638" spans="14:27" x14ac:dyDescent="0.25">
      <c r="N638" s="15"/>
      <c r="O638" s="15"/>
      <c r="T638" s="15"/>
      <c r="U638" s="14"/>
      <c r="Z638" s="14"/>
      <c r="AA638" s="14"/>
    </row>
    <row r="639" spans="14:27" x14ac:dyDescent="0.25">
      <c r="N639" s="15"/>
      <c r="O639" s="15"/>
      <c r="T639" s="15"/>
      <c r="U639" s="14"/>
      <c r="Z639" s="14"/>
      <c r="AA639" s="14"/>
    </row>
    <row r="640" spans="14:27" x14ac:dyDescent="0.25">
      <c r="N640" s="15"/>
      <c r="O640" s="15"/>
      <c r="T640" s="15"/>
      <c r="U640" s="14"/>
      <c r="Z640" s="14"/>
      <c r="AA640" s="14"/>
    </row>
    <row r="641" spans="14:27" x14ac:dyDescent="0.25">
      <c r="N641" s="15"/>
      <c r="O641" s="15"/>
      <c r="T641" s="15"/>
      <c r="U641" s="14"/>
      <c r="Z641" s="14"/>
      <c r="AA641" s="14"/>
    </row>
    <row r="642" spans="14:27" x14ac:dyDescent="0.25">
      <c r="N642" s="15"/>
      <c r="O642" s="15"/>
      <c r="T642" s="15"/>
      <c r="U642" s="14"/>
      <c r="Z642" s="14"/>
      <c r="AA642" s="14"/>
    </row>
    <row r="643" spans="14:27" x14ac:dyDescent="0.25">
      <c r="N643" s="15"/>
      <c r="O643" s="15"/>
      <c r="T643" s="15"/>
      <c r="U643" s="14"/>
      <c r="Z643" s="14"/>
      <c r="AA643" s="14"/>
    </row>
    <row r="644" spans="14:27" x14ac:dyDescent="0.25">
      <c r="N644" s="15"/>
      <c r="O644" s="15"/>
      <c r="T644" s="15"/>
      <c r="U644" s="14"/>
      <c r="Z644" s="14"/>
      <c r="AA644" s="14"/>
    </row>
    <row r="645" spans="14:27" x14ac:dyDescent="0.25">
      <c r="N645" s="15"/>
      <c r="O645" s="15"/>
      <c r="T645" s="15"/>
      <c r="U645" s="14"/>
      <c r="Z645" s="14"/>
      <c r="AA645" s="14"/>
    </row>
    <row r="646" spans="14:27" x14ac:dyDescent="0.25">
      <c r="N646" s="15"/>
      <c r="O646" s="15"/>
      <c r="T646" s="15"/>
      <c r="U646" s="14"/>
      <c r="Z646" s="14"/>
      <c r="AA646" s="14"/>
    </row>
    <row r="647" spans="14:27" x14ac:dyDescent="0.25">
      <c r="N647" s="15"/>
      <c r="O647" s="15"/>
      <c r="T647" s="15"/>
      <c r="U647" s="14"/>
      <c r="Z647" s="14"/>
      <c r="AA647" s="14"/>
    </row>
    <row r="648" spans="14:27" x14ac:dyDescent="0.25">
      <c r="N648" s="15"/>
      <c r="O648" s="15"/>
      <c r="T648" s="15"/>
      <c r="U648" s="14"/>
      <c r="Z648" s="14"/>
      <c r="AA648" s="14"/>
    </row>
    <row r="649" spans="14:27" x14ac:dyDescent="0.25">
      <c r="N649" s="15"/>
      <c r="O649" s="15"/>
      <c r="T649" s="15"/>
      <c r="U649" s="14"/>
      <c r="Z649" s="14"/>
      <c r="AA649" s="14"/>
    </row>
    <row r="650" spans="14:27" x14ac:dyDescent="0.25">
      <c r="N650" s="15"/>
      <c r="O650" s="15"/>
      <c r="T650" s="15"/>
      <c r="U650" s="14"/>
      <c r="Z650" s="14"/>
      <c r="AA650" s="14"/>
    </row>
    <row r="651" spans="14:27" x14ac:dyDescent="0.25">
      <c r="N651" s="15"/>
      <c r="O651" s="15"/>
      <c r="T651" s="15"/>
      <c r="U651" s="14"/>
      <c r="Z651" s="14"/>
      <c r="AA651" s="14"/>
    </row>
    <row r="652" spans="14:27" x14ac:dyDescent="0.25">
      <c r="N652" s="15"/>
      <c r="O652" s="15"/>
      <c r="T652" s="15"/>
      <c r="U652" s="14"/>
      <c r="Z652" s="14"/>
      <c r="AA652" s="14"/>
    </row>
    <row r="653" spans="14:27" x14ac:dyDescent="0.25">
      <c r="N653" s="15"/>
      <c r="O653" s="15"/>
      <c r="T653" s="15"/>
      <c r="U653" s="14"/>
      <c r="Z653" s="14"/>
      <c r="AA653" s="14"/>
    </row>
    <row r="654" spans="14:27" x14ac:dyDescent="0.25">
      <c r="N654" s="15"/>
      <c r="O654" s="15"/>
      <c r="T654" s="15"/>
      <c r="U654" s="14"/>
      <c r="Z654" s="14"/>
      <c r="AA654" s="14"/>
    </row>
    <row r="655" spans="14:27" x14ac:dyDescent="0.25">
      <c r="N655" s="15"/>
      <c r="O655" s="15"/>
      <c r="T655" s="15"/>
      <c r="U655" s="14"/>
      <c r="Z655" s="14"/>
      <c r="AA655" s="14"/>
    </row>
    <row r="656" spans="14:27" x14ac:dyDescent="0.25">
      <c r="N656" s="15"/>
      <c r="O656" s="15"/>
      <c r="T656" s="15"/>
      <c r="U656" s="14"/>
      <c r="Z656" s="14"/>
      <c r="AA656" s="14"/>
    </row>
    <row r="657" spans="14:27" x14ac:dyDescent="0.25">
      <c r="N657" s="15"/>
      <c r="O657" s="15"/>
      <c r="T657" s="15"/>
      <c r="U657" s="14"/>
      <c r="Z657" s="14"/>
      <c r="AA657" s="14"/>
    </row>
    <row r="658" spans="14:27" x14ac:dyDescent="0.25">
      <c r="N658" s="15"/>
      <c r="O658" s="15"/>
      <c r="T658" s="15"/>
      <c r="U658" s="14"/>
      <c r="Z658" s="14"/>
      <c r="AA658" s="14"/>
    </row>
    <row r="659" spans="14:27" x14ac:dyDescent="0.25">
      <c r="N659" s="15"/>
      <c r="O659" s="15"/>
      <c r="T659" s="15"/>
      <c r="U659" s="14"/>
      <c r="Z659" s="14"/>
      <c r="AA659" s="14"/>
    </row>
    <row r="660" spans="14:27" x14ac:dyDescent="0.25">
      <c r="N660" s="15"/>
      <c r="O660" s="15"/>
      <c r="T660" s="15"/>
      <c r="U660" s="14"/>
      <c r="Z660" s="14"/>
      <c r="AA660" s="14"/>
    </row>
    <row r="661" spans="14:27" x14ac:dyDescent="0.25">
      <c r="N661" s="15"/>
      <c r="O661" s="15"/>
      <c r="T661" s="15"/>
      <c r="U661" s="14"/>
      <c r="Z661" s="14"/>
      <c r="AA661" s="14"/>
    </row>
    <row r="662" spans="14:27" x14ac:dyDescent="0.25">
      <c r="N662" s="15"/>
      <c r="O662" s="15"/>
      <c r="T662" s="15"/>
      <c r="U662" s="14"/>
      <c r="Z662" s="14"/>
      <c r="AA662" s="14"/>
    </row>
    <row r="663" spans="14:27" x14ac:dyDescent="0.25">
      <c r="N663" s="15"/>
      <c r="O663" s="15"/>
      <c r="T663" s="15"/>
      <c r="U663" s="14"/>
      <c r="Z663" s="14"/>
      <c r="AA663" s="14"/>
    </row>
    <row r="664" spans="14:27" x14ac:dyDescent="0.25">
      <c r="N664" s="15"/>
      <c r="O664" s="15"/>
      <c r="T664" s="15"/>
      <c r="U664" s="14"/>
      <c r="Z664" s="14"/>
      <c r="AA664" s="14"/>
    </row>
    <row r="665" spans="14:27" x14ac:dyDescent="0.25">
      <c r="N665" s="15"/>
      <c r="O665" s="15"/>
      <c r="T665" s="15"/>
      <c r="U665" s="14"/>
      <c r="Z665" s="14"/>
      <c r="AA665" s="14"/>
    </row>
    <row r="666" spans="14:27" x14ac:dyDescent="0.25">
      <c r="N666" s="15"/>
      <c r="O666" s="15"/>
      <c r="T666" s="15"/>
      <c r="U666" s="14"/>
      <c r="Z666" s="14"/>
      <c r="AA666" s="14"/>
    </row>
    <row r="667" spans="14:27" x14ac:dyDescent="0.25">
      <c r="N667" s="15"/>
      <c r="O667" s="15"/>
      <c r="T667" s="15"/>
      <c r="U667" s="14"/>
      <c r="Z667" s="14"/>
      <c r="AA667" s="14"/>
    </row>
    <row r="668" spans="14:27" x14ac:dyDescent="0.25">
      <c r="N668" s="15"/>
      <c r="O668" s="15"/>
      <c r="T668" s="15"/>
      <c r="U668" s="14"/>
      <c r="Z668" s="14"/>
      <c r="AA668" s="14"/>
    </row>
    <row r="669" spans="14:27" x14ac:dyDescent="0.25">
      <c r="N669" s="15"/>
      <c r="O669" s="15"/>
      <c r="T669" s="15"/>
      <c r="U669" s="14"/>
      <c r="Z669" s="14"/>
      <c r="AA669" s="14"/>
    </row>
    <row r="670" spans="14:27" x14ac:dyDescent="0.25">
      <c r="N670" s="15"/>
      <c r="O670" s="15"/>
      <c r="T670" s="15"/>
      <c r="U670" s="14"/>
      <c r="Z670" s="14"/>
      <c r="AA670" s="14"/>
    </row>
    <row r="671" spans="14:27" x14ac:dyDescent="0.25">
      <c r="N671" s="15"/>
      <c r="O671" s="15"/>
      <c r="T671" s="15"/>
      <c r="U671" s="14"/>
      <c r="Z671" s="14"/>
      <c r="AA671" s="14"/>
    </row>
    <row r="672" spans="14:27" x14ac:dyDescent="0.25">
      <c r="N672" s="15"/>
      <c r="O672" s="15"/>
      <c r="T672" s="15"/>
      <c r="U672" s="14"/>
      <c r="Z672" s="14"/>
      <c r="AA672" s="14"/>
    </row>
    <row r="673" spans="14:27" x14ac:dyDescent="0.25">
      <c r="N673" s="15"/>
      <c r="O673" s="15"/>
      <c r="T673" s="15"/>
      <c r="U673" s="14"/>
      <c r="Z673" s="14"/>
      <c r="AA673" s="14"/>
    </row>
    <row r="674" spans="14:27" x14ac:dyDescent="0.25">
      <c r="N674" s="15"/>
      <c r="O674" s="15"/>
      <c r="T674" s="15"/>
      <c r="U674" s="14"/>
      <c r="Z674" s="14"/>
      <c r="AA674" s="14"/>
    </row>
    <row r="675" spans="14:27" x14ac:dyDescent="0.25">
      <c r="N675" s="15"/>
      <c r="O675" s="15"/>
      <c r="T675" s="15"/>
      <c r="U675" s="14"/>
    </row>
  </sheetData>
  <sheetProtection password="CC5F" sheet="1" objects="1" scenarios="1"/>
  <mergeCells count="25">
    <mergeCell ref="Z3:AC4"/>
    <mergeCell ref="Z5:AC5"/>
    <mergeCell ref="Z6:Z7"/>
    <mergeCell ref="AA6:AC6"/>
    <mergeCell ref="T3:W4"/>
    <mergeCell ref="T5:W5"/>
    <mergeCell ref="T6:T7"/>
    <mergeCell ref="U6:W6"/>
    <mergeCell ref="Y3:Y7"/>
    <mergeCell ref="N3:Q4"/>
    <mergeCell ref="N5:Q5"/>
    <mergeCell ref="N6:N7"/>
    <mergeCell ref="O6:Q6"/>
    <mergeCell ref="S3:S7"/>
    <mergeCell ref="M3:M7"/>
    <mergeCell ref="H3:K4"/>
    <mergeCell ref="A3:A7"/>
    <mergeCell ref="H5:K5"/>
    <mergeCell ref="H6:H7"/>
    <mergeCell ref="I6:K6"/>
    <mergeCell ref="B3:E4"/>
    <mergeCell ref="B5:E5"/>
    <mergeCell ref="B6:B7"/>
    <mergeCell ref="C6:E6"/>
    <mergeCell ref="G3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1"/>
  <sheetViews>
    <sheetView topLeftCell="A12" zoomScale="90" zoomScaleNormal="90" workbookViewId="0">
      <selection activeCell="C56" sqref="C56"/>
    </sheetView>
  </sheetViews>
  <sheetFormatPr defaultRowHeight="15" x14ac:dyDescent="0.25"/>
  <cols>
    <col min="1" max="1" width="33" style="22" customWidth="1"/>
    <col min="2" max="2" width="16.140625" style="22" customWidth="1"/>
    <col min="3" max="3" width="17.42578125" style="22" customWidth="1"/>
    <col min="4" max="4" width="16.42578125" style="22" customWidth="1"/>
    <col min="5" max="9" width="9.140625" style="22"/>
    <col min="10" max="10" width="11" style="22" bestFit="1" customWidth="1"/>
    <col min="11" max="11" width="10.5703125" style="22" customWidth="1"/>
    <col min="12" max="26" width="9.140625" style="22"/>
    <col min="27" max="27" width="15.140625" style="22" customWidth="1"/>
    <col min="28" max="28" width="13.140625" style="22" customWidth="1"/>
    <col min="29" max="16384" width="9.140625" style="22"/>
  </cols>
  <sheetData>
    <row r="1" spans="1:28" ht="15.75" thickBot="1" x14ac:dyDescent="0.3">
      <c r="A1" s="25" t="str">
        <f>'Ставка мечты'!E5</f>
        <v>Москва, Моск.обл., Санкт-Петербург, Лен.обл.</v>
      </c>
      <c r="B1" s="26">
        <f>VLOOKUP(A1,A2:B3,2,0)</f>
        <v>12000000</v>
      </c>
      <c r="C1" s="35">
        <f>'Ставка мечты'!E3</f>
        <v>20000000</v>
      </c>
      <c r="D1" s="35">
        <f>'Ставка мечты'!G18</f>
        <v>15099657.741091203</v>
      </c>
      <c r="E1" s="27">
        <f>'Ставка мечты'!E9/12</f>
        <v>15</v>
      </c>
      <c r="F1" s="27" t="str">
        <f>IF(E1&gt;E2,"Срок кредита не может быть болшь 30 лет (360 мес.)","")</f>
        <v/>
      </c>
      <c r="G1" s="27" t="str">
        <f>IF(E1&lt;E3,"Срок кредита не может быть меньше 4 лет (48 мес.)","")</f>
        <v/>
      </c>
      <c r="H1" s="27"/>
      <c r="I1" s="27"/>
      <c r="J1" s="27" t="s">
        <v>46</v>
      </c>
      <c r="K1" s="35" t="str">
        <f>'Ставка мечты'!E12</f>
        <v>нет</v>
      </c>
      <c r="L1" s="27"/>
      <c r="M1" s="52" t="s">
        <v>17</v>
      </c>
      <c r="N1" s="35" t="str">
        <f>'Ставка мечты'!E13</f>
        <v>нет</v>
      </c>
      <c r="O1" s="27"/>
      <c r="P1" s="53" t="s">
        <v>18</v>
      </c>
      <c r="Q1" s="35" t="str">
        <f>'Ставка мечты'!E14</f>
        <v>Со страхованием</v>
      </c>
    </row>
    <row r="2" spans="1:28" x14ac:dyDescent="0.25">
      <c r="A2" s="27" t="str">
        <f>IF(OR(A6=A7,A6=A8),U2,IF(A6=A9,U4,""))</f>
        <v>Москва, Моск.обл., Санкт-Петербург, Лен.обл.</v>
      </c>
      <c r="B2" s="250">
        <f>IF(A6=A8,D2,C2)</f>
        <v>12000000</v>
      </c>
      <c r="C2" s="125">
        <f>IF(A6=A7,AA2,AA4)</f>
        <v>12000000</v>
      </c>
      <c r="D2" s="125">
        <v>6000000</v>
      </c>
      <c r="E2" s="27">
        <v>30</v>
      </c>
      <c r="F2" s="27" t="s">
        <v>53</v>
      </c>
      <c r="G2" s="27"/>
      <c r="H2" s="27"/>
      <c r="I2" s="27"/>
      <c r="J2" s="27" t="s">
        <v>54</v>
      </c>
      <c r="K2" s="54">
        <f>IF(K1=J2,1,0)</f>
        <v>0</v>
      </c>
      <c r="L2" s="27"/>
      <c r="M2" s="27" t="s">
        <v>54</v>
      </c>
      <c r="N2" s="54">
        <f>IF(N1=M2,1,0)</f>
        <v>0</v>
      </c>
      <c r="O2" s="27"/>
      <c r="P2" s="53" t="s">
        <v>58</v>
      </c>
      <c r="Q2" s="54">
        <f>IF(Q1=P2,0,1)</f>
        <v>0</v>
      </c>
      <c r="U2" s="27" t="s">
        <v>124</v>
      </c>
      <c r="AA2" s="125">
        <v>12000000</v>
      </c>
      <c r="AB2" s="125"/>
    </row>
    <row r="3" spans="1:28" x14ac:dyDescent="0.25">
      <c r="A3" s="27" t="str">
        <f>IF(OR(A6=A7,A6=A8),U3,IF(A6=A9,U5,""))</f>
        <v>др.города</v>
      </c>
      <c r="B3" s="250">
        <v>6000000</v>
      </c>
      <c r="C3" s="125">
        <f>IF(A6=A7,AA3,AA5)</f>
        <v>6000000</v>
      </c>
      <c r="D3" s="125">
        <v>6000000</v>
      </c>
      <c r="E3" s="27">
        <v>4</v>
      </c>
      <c r="F3" s="27" t="s">
        <v>161</v>
      </c>
      <c r="G3" s="27"/>
      <c r="H3" s="27"/>
      <c r="I3" s="27"/>
      <c r="J3" s="27" t="s">
        <v>16</v>
      </c>
      <c r="K3" s="27"/>
      <c r="L3" s="27"/>
      <c r="M3" s="27" t="s">
        <v>16</v>
      </c>
      <c r="N3" s="27"/>
      <c r="O3" s="27"/>
      <c r="P3" s="53" t="s">
        <v>19</v>
      </c>
      <c r="Q3" s="27"/>
      <c r="U3" s="27" t="s">
        <v>125</v>
      </c>
      <c r="AA3" s="125">
        <v>6000000</v>
      </c>
      <c r="AB3" s="125"/>
    </row>
    <row r="4" spans="1:28" ht="15.75" thickBot="1" x14ac:dyDescent="0.3">
      <c r="F4" s="22" t="str">
        <f>IF(OR(A6=A7,A6=A8),IF(D1&gt;B1,"По программам с господдержкой сумма кредита для выдранного региона не может быть больше "&amp;B1/1000/1000&amp;" млн. руб.",""),"")</f>
        <v>По программам с господдержкой сумма кредита для выдранного региона не может быть больше 12 млн. руб.</v>
      </c>
      <c r="U4" s="22" t="s">
        <v>153</v>
      </c>
      <c r="AA4" s="125">
        <v>18000000</v>
      </c>
    </row>
    <row r="5" spans="1:28" ht="15.75" thickBot="1" x14ac:dyDescent="0.3">
      <c r="A5" s="34">
        <f>'Ставка мечты'!E7</f>
        <v>0.25</v>
      </c>
      <c r="B5" s="28" t="s">
        <v>34</v>
      </c>
      <c r="C5" s="28" t="s">
        <v>35</v>
      </c>
      <c r="D5" s="383" t="s">
        <v>50</v>
      </c>
      <c r="E5" s="383"/>
      <c r="F5" s="383"/>
      <c r="G5" s="383"/>
      <c r="H5" s="66">
        <f>VLOOKUP(A6,A7:H12,8,0)</f>
        <v>0.2001</v>
      </c>
      <c r="I5" s="27" t="str">
        <f>IF(A5&lt;H5,"Необходимо увеличить ПВ, минимальный ПВ="&amp;C1*H5,"")</f>
        <v/>
      </c>
      <c r="J5" s="27"/>
      <c r="U5" s="22" t="s">
        <v>154</v>
      </c>
      <c r="AA5" s="125">
        <v>9000000</v>
      </c>
    </row>
    <row r="6" spans="1:28" ht="15.75" thickBot="1" x14ac:dyDescent="0.3">
      <c r="A6" s="29" t="str">
        <f>'Ставка мечты'!E4</f>
        <v>Господдержка Семейная</v>
      </c>
      <c r="B6" s="32" t="s">
        <v>36</v>
      </c>
      <c r="C6" s="33" t="s">
        <v>36</v>
      </c>
      <c r="D6" s="55" t="s">
        <v>46</v>
      </c>
      <c r="E6" s="56" t="s">
        <v>47</v>
      </c>
      <c r="F6" s="56" t="s">
        <v>48</v>
      </c>
      <c r="G6" s="55" t="s">
        <v>49</v>
      </c>
      <c r="H6" s="33" t="s">
        <v>51</v>
      </c>
      <c r="I6" s="54">
        <f>IF(A5&lt;20.01%,2,3)</f>
        <v>3</v>
      </c>
      <c r="J6" s="27" t="str">
        <f>IF(A5&lt;H5,"ПВ должен быть не менее "&amp;H5*100&amp;"%","")</f>
        <v/>
      </c>
      <c r="M6" s="104"/>
    </row>
    <row r="7" spans="1:28" x14ac:dyDescent="0.25">
      <c r="A7" s="27" t="s">
        <v>37</v>
      </c>
      <c r="B7" s="112"/>
      <c r="C7" s="112">
        <v>0.06</v>
      </c>
      <c r="D7" s="57"/>
      <c r="E7" s="58"/>
      <c r="F7" s="57">
        <v>0</v>
      </c>
      <c r="G7" s="58"/>
      <c r="H7" s="30">
        <v>0.2001</v>
      </c>
      <c r="I7" s="59" t="s">
        <v>55</v>
      </c>
      <c r="J7" s="60">
        <f>VLOOKUP(A6,A7:G12,I6,0)</f>
        <v>0.06</v>
      </c>
      <c r="K7" s="253">
        <f>SUM(J7:J11)</f>
        <v>0.06</v>
      </c>
      <c r="L7" s="254">
        <f>VLOOKUP(A6,A7:M12,13,0)</f>
        <v>2.29E-2</v>
      </c>
      <c r="M7" s="43">
        <f>' на весь срок'!J7</f>
        <v>2.29E-2</v>
      </c>
    </row>
    <row r="8" spans="1:28" x14ac:dyDescent="0.25">
      <c r="A8" s="27" t="s">
        <v>12</v>
      </c>
      <c r="B8" s="112"/>
      <c r="C8" s="112">
        <v>0.08</v>
      </c>
      <c r="D8" s="57"/>
      <c r="E8" s="61"/>
      <c r="F8" s="57">
        <v>0.01</v>
      </c>
      <c r="G8" s="58"/>
      <c r="H8" s="30">
        <v>0.30009999999999998</v>
      </c>
      <c r="I8" s="59" t="s">
        <v>56</v>
      </c>
      <c r="J8" s="60">
        <f>VLOOKUP(A6,A7:G12,4,0)*K2</f>
        <v>0</v>
      </c>
      <c r="M8" s="43">
        <f>' на весь срок'!D7</f>
        <v>1.5599999999999999E-2</v>
      </c>
    </row>
    <row r="9" spans="1:28" x14ac:dyDescent="0.25">
      <c r="A9" s="27" t="s">
        <v>147</v>
      </c>
      <c r="B9" s="112"/>
      <c r="C9" s="112">
        <v>0.05</v>
      </c>
      <c r="D9" s="57"/>
      <c r="E9" s="61"/>
      <c r="F9" s="57">
        <v>0</v>
      </c>
      <c r="G9" s="58"/>
      <c r="H9" s="30"/>
      <c r="I9" s="59"/>
      <c r="J9" s="60"/>
      <c r="M9" s="43"/>
    </row>
    <row r="10" spans="1:28" x14ac:dyDescent="0.25">
      <c r="A10" s="27" t="s">
        <v>38</v>
      </c>
      <c r="B10" s="112">
        <f>C10+1%</f>
        <v>0.19900000000000001</v>
      </c>
      <c r="C10" s="112">
        <v>0.189</v>
      </c>
      <c r="D10" s="57">
        <v>-2E-3</v>
      </c>
      <c r="E10" s="57">
        <v>-5.0000000000000001E-3</v>
      </c>
      <c r="F10" s="57">
        <v>0.01</v>
      </c>
      <c r="G10" s="57">
        <v>-3.0000000000000001E-3</v>
      </c>
      <c r="H10" s="30">
        <v>0.10009999999999999</v>
      </c>
      <c r="I10" s="59" t="s">
        <v>57</v>
      </c>
      <c r="J10" s="60">
        <f>VLOOKUP(A6,A7:G12,7,0)*N2</f>
        <v>0</v>
      </c>
    </row>
    <row r="11" spans="1:28" ht="15.75" thickBot="1" x14ac:dyDescent="0.3">
      <c r="A11" s="27" t="s">
        <v>39</v>
      </c>
      <c r="B11" s="112">
        <f t="shared" ref="B11:B12" si="0">C11+1%</f>
        <v>0.19900000000000001</v>
      </c>
      <c r="C11" s="112">
        <v>0.189</v>
      </c>
      <c r="D11" s="57">
        <v>-2E-3</v>
      </c>
      <c r="E11" s="58"/>
      <c r="F11" s="57">
        <v>0.01</v>
      </c>
      <c r="G11" s="57">
        <v>-3.0000000000000001E-3</v>
      </c>
      <c r="H11" s="30">
        <v>0.10009999999999999</v>
      </c>
      <c r="I11" s="62" t="s">
        <v>59</v>
      </c>
      <c r="J11" s="63">
        <f>VLOOKUP(A6,A7:G12,6,0)*Q2</f>
        <v>0</v>
      </c>
    </row>
    <row r="12" spans="1:28" ht="15.75" thickBot="1" x14ac:dyDescent="0.3">
      <c r="A12" s="27" t="s">
        <v>40</v>
      </c>
      <c r="B12" s="112">
        <f t="shared" si="0"/>
        <v>0.2</v>
      </c>
      <c r="C12" s="112">
        <v>0.19</v>
      </c>
      <c r="D12" s="57">
        <v>-2E-3</v>
      </c>
      <c r="E12" s="58"/>
      <c r="F12" s="57">
        <v>0.01</v>
      </c>
      <c r="G12" s="57">
        <v>-3.0000000000000001E-3</v>
      </c>
      <c r="H12" s="30">
        <v>0.2001</v>
      </c>
      <c r="I12" s="27"/>
      <c r="J12" s="64">
        <f>SUM(J7:J11)</f>
        <v>0.06</v>
      </c>
    </row>
    <row r="13" spans="1:28" ht="15.75" thickBot="1" x14ac:dyDescent="0.3">
      <c r="A13" s="29" t="str">
        <f>'Ставка мечты'!E10</f>
        <v>1 год</v>
      </c>
      <c r="B13" s="31"/>
    </row>
    <row r="14" spans="1:28" x14ac:dyDescent="0.25">
      <c r="A14" s="27" t="s">
        <v>14</v>
      </c>
      <c r="B14" s="31">
        <v>12</v>
      </c>
      <c r="C14" s="51"/>
    </row>
    <row r="15" spans="1:28" x14ac:dyDescent="0.25">
      <c r="A15" s="27" t="s">
        <v>41</v>
      </c>
      <c r="B15" s="31">
        <v>24</v>
      </c>
      <c r="C15" s="51"/>
    </row>
    <row r="16" spans="1:28" x14ac:dyDescent="0.25">
      <c r="A16" s="27" t="s">
        <v>42</v>
      </c>
      <c r="B16" s="31">
        <v>60</v>
      </c>
      <c r="C16" s="51"/>
    </row>
    <row r="17" spans="1:37" x14ac:dyDescent="0.25">
      <c r="A17" s="27" t="s">
        <v>43</v>
      </c>
      <c r="B17" s="31" t="str">
        <f>A17</f>
        <v>весь срок кредита</v>
      </c>
      <c r="C17" s="51"/>
    </row>
    <row r="19" spans="1:37" x14ac:dyDescent="0.25">
      <c r="A19" s="27"/>
      <c r="B19" s="27"/>
      <c r="C19" s="27"/>
      <c r="D19" s="27" t="s">
        <v>144</v>
      </c>
      <c r="E19" s="27"/>
      <c r="F19" s="27"/>
      <c r="G19" s="27"/>
      <c r="H19" s="27"/>
      <c r="I19" s="27"/>
      <c r="J19" s="27"/>
      <c r="K19" s="27" t="s">
        <v>62</v>
      </c>
      <c r="L19" s="27"/>
      <c r="M19" s="27"/>
      <c r="N19" s="27"/>
      <c r="O19" s="27"/>
      <c r="P19" s="27"/>
      <c r="Q19" s="27"/>
      <c r="R19" s="27" t="s">
        <v>63</v>
      </c>
      <c r="S19" s="27"/>
      <c r="T19" s="27"/>
      <c r="U19" s="27"/>
      <c r="V19" s="27"/>
      <c r="W19" s="27"/>
      <c r="X19" s="27"/>
      <c r="Y19" s="27" t="s">
        <v>64</v>
      </c>
      <c r="Z19" s="27"/>
      <c r="AA19" s="27"/>
      <c r="AB19" s="27"/>
      <c r="AC19" s="27"/>
      <c r="AD19" s="27"/>
      <c r="AE19" s="27"/>
      <c r="AF19" s="27" t="s">
        <v>65</v>
      </c>
      <c r="AG19" s="27"/>
      <c r="AH19" s="27"/>
      <c r="AI19" s="27"/>
      <c r="AJ19" s="27"/>
      <c r="AK19" s="27"/>
    </row>
    <row r="20" spans="1:37" ht="63.75" x14ac:dyDescent="0.25">
      <c r="A20" s="27">
        <v>1</v>
      </c>
      <c r="B20" s="42" t="s">
        <v>61</v>
      </c>
      <c r="C20" s="42" t="s">
        <v>66</v>
      </c>
      <c r="D20" s="41" t="s">
        <v>37</v>
      </c>
      <c r="E20" s="41" t="s">
        <v>12</v>
      </c>
      <c r="F20" s="41" t="s">
        <v>147</v>
      </c>
      <c r="G20" s="41" t="s">
        <v>38</v>
      </c>
      <c r="H20" s="41" t="s">
        <v>39</v>
      </c>
      <c r="I20" s="41" t="s">
        <v>40</v>
      </c>
      <c r="J20" s="42" t="s">
        <v>43</v>
      </c>
      <c r="K20" s="41" t="s">
        <v>37</v>
      </c>
      <c r="L20" s="41" t="s">
        <v>12</v>
      </c>
      <c r="M20" s="41" t="s">
        <v>147</v>
      </c>
      <c r="N20" s="41" t="s">
        <v>38</v>
      </c>
      <c r="O20" s="41" t="s">
        <v>39</v>
      </c>
      <c r="P20" s="41" t="s">
        <v>40</v>
      </c>
      <c r="Q20" s="42" t="s">
        <v>14</v>
      </c>
      <c r="R20" s="41" t="s">
        <v>37</v>
      </c>
      <c r="S20" s="41" t="s">
        <v>12</v>
      </c>
      <c r="T20" s="41" t="s">
        <v>147</v>
      </c>
      <c r="U20" s="41" t="s">
        <v>38</v>
      </c>
      <c r="V20" s="41" t="s">
        <v>39</v>
      </c>
      <c r="W20" s="41" t="s">
        <v>40</v>
      </c>
      <c r="X20" s="42" t="s">
        <v>41</v>
      </c>
      <c r="Y20" s="41" t="s">
        <v>37</v>
      </c>
      <c r="Z20" s="41" t="s">
        <v>12</v>
      </c>
      <c r="AA20" s="41" t="s">
        <v>147</v>
      </c>
      <c r="AB20" s="41" t="s">
        <v>38</v>
      </c>
      <c r="AC20" s="41" t="s">
        <v>39</v>
      </c>
      <c r="AD20" s="41" t="s">
        <v>40</v>
      </c>
      <c r="AE20" s="42" t="s">
        <v>42</v>
      </c>
      <c r="AF20" s="41" t="s">
        <v>37</v>
      </c>
      <c r="AG20" s="41" t="s">
        <v>12</v>
      </c>
      <c r="AH20" s="41" t="s">
        <v>147</v>
      </c>
      <c r="AI20" s="41" t="s">
        <v>38</v>
      </c>
      <c r="AJ20" s="41" t="s">
        <v>39</v>
      </c>
      <c r="AK20" s="41" t="s">
        <v>40</v>
      </c>
    </row>
    <row r="21" spans="1:37" x14ac:dyDescent="0.25">
      <c r="A21" s="27">
        <f>A20+1</f>
        <v>2</v>
      </c>
      <c r="B21" s="65">
        <f t="shared" ref="B21:B52" si="1">IF(HLOOKUP($A$6,$D$20:$I$113,A21,0)=0,"",HLOOKUP($A$6,$D$20:$I$113,A21,0))</f>
        <v>5.8999999999999997E-2</v>
      </c>
      <c r="C21" s="65">
        <f t="shared" ref="C21:C52" si="2">IF($A$13=$J$20,J21,IF($A$13=$Q$20,Q21,IF($A$13=$X$20,X21,IF($A$13=$AE$20,AE21))))</f>
        <v>3.7000000000000002E-3</v>
      </c>
      <c r="D21" s="30">
        <f>IF($A$13=$A$17,' на весь срок'!I7,'льготный период'!H8)</f>
        <v>5.8999999999999997E-2</v>
      </c>
      <c r="E21" s="30">
        <f>IF($A$13=$A$17,' на весь срок'!C7,'льготный период'!B8)</f>
        <v>7.9000000000000001E-2</v>
      </c>
      <c r="F21" s="30">
        <f>' на весь срок'!AA8</f>
        <v>4.9000000000000002E-2</v>
      </c>
      <c r="G21" s="30">
        <f>' на весь срок'!S7</f>
        <v>0.188</v>
      </c>
      <c r="H21" s="30">
        <f>' на весь срок'!N7</f>
        <v>0.188</v>
      </c>
      <c r="I21" s="30">
        <f>' на весь срок'!W7</f>
        <v>0.189</v>
      </c>
      <c r="J21" s="65">
        <f t="shared" ref="J21:J52" si="3">HLOOKUP($A$6,$K$20:$P$113,A21,0)</f>
        <v>2.29E-2</v>
      </c>
      <c r="K21" s="30">
        <f>' на весь срок'!J7</f>
        <v>2.29E-2</v>
      </c>
      <c r="L21" s="30">
        <f>' на весь срок'!D7</f>
        <v>1.5599999999999999E-2</v>
      </c>
      <c r="M21" s="30">
        <f>' на весь срок'!AB8</f>
        <v>1.54E-2</v>
      </c>
      <c r="N21" s="30">
        <f>' на весь срок'!T7</f>
        <v>1.5E-3</v>
      </c>
      <c r="O21" s="30">
        <f>' на весь срок'!O7</f>
        <v>4.7000000000000002E-3</v>
      </c>
      <c r="P21" s="30">
        <f>' на весь срок'!X7</f>
        <v>1.8E-3</v>
      </c>
      <c r="Q21" s="65">
        <f t="shared" ref="Q21:Q52" si="4">HLOOKUP($A$6,$R$20:$W$113,A21,0)</f>
        <v>3.7000000000000002E-3</v>
      </c>
      <c r="R21" s="30">
        <f>'льготный период'!I8</f>
        <v>3.7000000000000002E-3</v>
      </c>
      <c r="S21" s="30">
        <f>'льготный период'!C8</f>
        <v>1.03E-2</v>
      </c>
      <c r="T21" s="30">
        <f>' на весь срок'!AC8</f>
        <v>1.04E-2</v>
      </c>
      <c r="U21" s="30">
        <f>'льготный период'!U8</f>
        <v>2.9999999999999997E-4</v>
      </c>
      <c r="V21" s="30">
        <f>'льготный период'!O8</f>
        <v>1E-3</v>
      </c>
      <c r="W21" s="30">
        <f>'льготный период'!AA8</f>
        <v>2.0000000000000001E-4</v>
      </c>
      <c r="X21" s="65">
        <f t="shared" ref="X21:X52" si="5">HLOOKUP($A$6,$Y$20:$AD$113,A21,0)</f>
        <v>7.0000000000000001E-3</v>
      </c>
      <c r="Y21" s="30">
        <f>'льготный период'!J8</f>
        <v>7.0000000000000001E-3</v>
      </c>
      <c r="Z21" s="30">
        <f>'льготный период'!D8</f>
        <v>1.12E-2</v>
      </c>
      <c r="AA21" s="30">
        <f>' на весь срок'!AD8</f>
        <v>1.1299999999999999E-2</v>
      </c>
      <c r="AB21" s="30">
        <f>'льготный период'!V8</f>
        <v>5.9999999999999995E-4</v>
      </c>
      <c r="AC21" s="30">
        <f>'льготный период'!P8</f>
        <v>1.9E-3</v>
      </c>
      <c r="AD21" s="30">
        <f>'льготный период'!AB8</f>
        <v>5.9999999999999995E-4</v>
      </c>
      <c r="AE21" s="65">
        <f t="shared" ref="AE21:AE52" si="6">HLOOKUP($A$6,$AF$20:$AK$113,A21,0)</f>
        <v>1.55E-2</v>
      </c>
      <c r="AF21" s="30">
        <f>'льготный период'!K8</f>
        <v>1.55E-2</v>
      </c>
      <c r="AG21" s="66">
        <f>L21</f>
        <v>1.5599999999999999E-2</v>
      </c>
      <c r="AH21" s="66">
        <f>' на весь срок'!AE8</f>
        <v>1.35E-2</v>
      </c>
      <c r="AI21" s="30">
        <f>'льготный период'!W8</f>
        <v>1.2999999999999999E-3</v>
      </c>
      <c r="AJ21" s="30">
        <f>'льготный период'!Q8</f>
        <v>3.8999999999999998E-3</v>
      </c>
      <c r="AK21" s="30">
        <f>'льготный период'!AC8</f>
        <v>1.5E-3</v>
      </c>
    </row>
    <row r="22" spans="1:37" x14ac:dyDescent="0.25">
      <c r="A22" s="27">
        <f>A21+1</f>
        <v>3</v>
      </c>
      <c r="B22" s="65">
        <f t="shared" si="1"/>
        <v>5.7999999999999996E-2</v>
      </c>
      <c r="C22" s="65">
        <f t="shared" si="2"/>
        <v>4.5999999999999999E-3</v>
      </c>
      <c r="D22" s="30">
        <f>IF($A$13=$A$17,' на весь срок'!I8,'льготный период'!H9)</f>
        <v>5.7999999999999996E-2</v>
      </c>
      <c r="E22" s="30">
        <f>IF($A$13=$A$17,' на весь срок'!C8,'льготный период'!B9)</f>
        <v>7.8E-2</v>
      </c>
      <c r="F22" s="30">
        <f>' на весь срок'!AA9</f>
        <v>4.8000000000000001E-2</v>
      </c>
      <c r="G22" s="30">
        <f>' на весь срок'!S8</f>
        <v>0.187</v>
      </c>
      <c r="H22" s="30">
        <f>' на весь срок'!N8</f>
        <v>0.187</v>
      </c>
      <c r="I22" s="30">
        <f>' на весь срок'!W8</f>
        <v>0.188</v>
      </c>
      <c r="J22" s="65">
        <f t="shared" si="3"/>
        <v>2.9100000000000001E-2</v>
      </c>
      <c r="K22" s="30">
        <f>' на весь срок'!J8</f>
        <v>2.9100000000000001E-2</v>
      </c>
      <c r="L22" s="30">
        <f>' на весь срок'!D8</f>
        <v>2.1899999999999999E-2</v>
      </c>
      <c r="M22" s="30">
        <f>' на весь срок'!AB9</f>
        <v>2.1399999999999999E-2</v>
      </c>
      <c r="N22" s="30">
        <f>' на весь срок'!T8</f>
        <v>3.0999999999999999E-3</v>
      </c>
      <c r="O22" s="30">
        <f>' на весь срок'!O8</f>
        <v>8.9999999999999993E-3</v>
      </c>
      <c r="P22" s="30">
        <f>' на весь срок'!X8</f>
        <v>3.7000000000000002E-3</v>
      </c>
      <c r="Q22" s="65">
        <f t="shared" si="4"/>
        <v>4.5999999999999999E-3</v>
      </c>
      <c r="R22" s="30">
        <f>'льготный период'!I9</f>
        <v>4.5999999999999999E-3</v>
      </c>
      <c r="S22" s="30">
        <f>'льготный период'!C9</f>
        <v>1.1299999999999999E-2</v>
      </c>
      <c r="T22" s="30">
        <f>' на весь срок'!AC9</f>
        <v>1.1299999999999999E-2</v>
      </c>
      <c r="U22" s="30">
        <f>'льготный период'!U9</f>
        <v>6.9999999999999999E-4</v>
      </c>
      <c r="V22" s="30">
        <f>'льготный период'!O9</f>
        <v>2E-3</v>
      </c>
      <c r="W22" s="30">
        <f>'льготный период'!AA9</f>
        <v>4.0000000000000002E-4</v>
      </c>
      <c r="X22" s="65">
        <f t="shared" si="5"/>
        <v>8.8999999999999999E-3</v>
      </c>
      <c r="Y22" s="30">
        <f>'льготный период'!J9</f>
        <v>8.8999999999999999E-3</v>
      </c>
      <c r="Z22" s="30">
        <f>'льготный период'!D9</f>
        <v>1.3100000000000001E-2</v>
      </c>
      <c r="AA22" s="30">
        <f>' на весь срок'!AD9</f>
        <v>1.3100000000000001E-2</v>
      </c>
      <c r="AB22" s="30">
        <f>'льготный период'!V9</f>
        <v>1.1999999999999999E-3</v>
      </c>
      <c r="AC22" s="30">
        <f>'льготный период'!P9</f>
        <v>3.8E-3</v>
      </c>
      <c r="AD22" s="30">
        <f>'льготный период'!AB9</f>
        <v>1.1999999999999999E-3</v>
      </c>
      <c r="AE22" s="65">
        <f t="shared" si="6"/>
        <v>1.9699999999999999E-2</v>
      </c>
      <c r="AF22" s="30">
        <f>'льготный период'!K9</f>
        <v>1.9699999999999999E-2</v>
      </c>
      <c r="AG22" s="66">
        <f t="shared" ref="AG22:AG85" si="7">L22</f>
        <v>2.1899999999999999E-2</v>
      </c>
      <c r="AH22" s="66">
        <f>' на весь срок'!AE9</f>
        <v>1.7500000000000002E-2</v>
      </c>
      <c r="AI22" s="30">
        <f>'льготный период'!W9</f>
        <v>2.5000000000000001E-3</v>
      </c>
      <c r="AJ22" s="30">
        <f>'льготный период'!Q9</f>
        <v>7.7999999999999996E-3</v>
      </c>
      <c r="AK22" s="30">
        <f>'льготный период'!AC9</f>
        <v>3.0000000000000001E-3</v>
      </c>
    </row>
    <row r="23" spans="1:37" x14ac:dyDescent="0.25">
      <c r="A23" s="27">
        <f t="shared" ref="A23:A35" si="8">A22+1</f>
        <v>4</v>
      </c>
      <c r="B23" s="65">
        <f t="shared" si="1"/>
        <v>5.6999999999999995E-2</v>
      </c>
      <c r="C23" s="65">
        <f t="shared" si="2"/>
        <v>5.5999999999999999E-3</v>
      </c>
      <c r="D23" s="30">
        <f>IF($A$13=$A$17,' на весь срок'!I9,'льготный период'!H10)</f>
        <v>5.6999999999999995E-2</v>
      </c>
      <c r="E23" s="30">
        <f>IF($A$13=$A$17,' на весь срок'!C9,'льготный период'!B10)</f>
        <v>7.6999999999999999E-2</v>
      </c>
      <c r="F23" s="30">
        <f>' на весь срок'!AA10</f>
        <v>4.7E-2</v>
      </c>
      <c r="G23" s="30">
        <f>' на весь срок'!S9</f>
        <v>0.186</v>
      </c>
      <c r="H23" s="30">
        <f>' на весь срок'!N9</f>
        <v>0.186</v>
      </c>
      <c r="I23" s="30">
        <f>' на весь срок'!W9</f>
        <v>0.187</v>
      </c>
      <c r="J23" s="65">
        <f t="shared" si="3"/>
        <v>3.5299999999999998E-2</v>
      </c>
      <c r="K23" s="30">
        <f>' на весь срок'!J9</f>
        <v>3.5299999999999998E-2</v>
      </c>
      <c r="L23" s="30">
        <f>' на весь срок'!D9</f>
        <v>2.8199999999999999E-2</v>
      </c>
      <c r="M23" s="30">
        <f>' на весь срок'!AB10</f>
        <v>2.7400000000000001E-2</v>
      </c>
      <c r="N23" s="30">
        <f>' на весь срок'!T9</f>
        <v>4.5999999999999999E-3</v>
      </c>
      <c r="O23" s="30">
        <f>' на весь срок'!O9</f>
        <v>1.34E-2</v>
      </c>
      <c r="P23" s="30">
        <f>' на весь срок'!X9</f>
        <v>5.4999999999999997E-3</v>
      </c>
      <c r="Q23" s="65">
        <f t="shared" si="4"/>
        <v>5.5999999999999999E-3</v>
      </c>
      <c r="R23" s="30">
        <f>'льготный период'!I10</f>
        <v>5.5999999999999999E-3</v>
      </c>
      <c r="S23" s="30">
        <f>'льготный период'!C10</f>
        <v>1.2200000000000001E-2</v>
      </c>
      <c r="T23" s="30">
        <f>' на весь срок'!AC10</f>
        <v>1.23E-2</v>
      </c>
      <c r="U23" s="30">
        <f>'льготный период'!U10</f>
        <v>1E-3</v>
      </c>
      <c r="V23" s="30">
        <f>'льготный период'!O10</f>
        <v>3.0000000000000001E-3</v>
      </c>
      <c r="W23" s="30">
        <f>'льготный период'!AA10</f>
        <v>5.9999999999999995E-4</v>
      </c>
      <c r="X23" s="65">
        <f t="shared" si="5"/>
        <v>1.09E-2</v>
      </c>
      <c r="Y23" s="30">
        <f>'льготный период'!J10</f>
        <v>1.09E-2</v>
      </c>
      <c r="Z23" s="30">
        <f>'льготный период'!D10</f>
        <v>1.4999999999999999E-2</v>
      </c>
      <c r="AA23" s="30">
        <f>' на весь срок'!AD10</f>
        <v>1.4999999999999999E-2</v>
      </c>
      <c r="AB23" s="30">
        <f>'льготный период'!V10</f>
        <v>1.9E-3</v>
      </c>
      <c r="AC23" s="30">
        <f>'льготный период'!P10</f>
        <v>5.7000000000000002E-3</v>
      </c>
      <c r="AD23" s="30">
        <f>'льготный период'!AB10</f>
        <v>1.8E-3</v>
      </c>
      <c r="AE23" s="65">
        <f t="shared" si="6"/>
        <v>2.3800000000000002E-2</v>
      </c>
      <c r="AF23" s="30">
        <f>'льготный период'!K10</f>
        <v>2.3800000000000002E-2</v>
      </c>
      <c r="AG23" s="66">
        <f t="shared" si="7"/>
        <v>2.8199999999999999E-2</v>
      </c>
      <c r="AH23" s="66">
        <f>' на весь срок'!AE10</f>
        <v>2.1600000000000001E-2</v>
      </c>
      <c r="AI23" s="30">
        <f>'льготный период'!W10</f>
        <v>3.8E-3</v>
      </c>
      <c r="AJ23" s="30">
        <f>'льготный период'!Q10</f>
        <v>1.17E-2</v>
      </c>
      <c r="AK23" s="30">
        <f>'льготный период'!AC10</f>
        <v>4.4999999999999997E-3</v>
      </c>
    </row>
    <row r="24" spans="1:37" x14ac:dyDescent="0.25">
      <c r="A24" s="27">
        <f t="shared" si="8"/>
        <v>5</v>
      </c>
      <c r="B24" s="65">
        <f t="shared" si="1"/>
        <v>5.5999999999999994E-2</v>
      </c>
      <c r="C24" s="65">
        <f t="shared" si="2"/>
        <v>6.6E-3</v>
      </c>
      <c r="D24" s="30">
        <f>IF($A$13=$A$17,' на весь срок'!I10,'льготный период'!H11)</f>
        <v>5.5999999999999994E-2</v>
      </c>
      <c r="E24" s="30">
        <f>IF($A$13=$A$17,' на весь срок'!C10,'льготный период'!B11)</f>
        <v>7.5999999999999998E-2</v>
      </c>
      <c r="F24" s="30">
        <f>' на весь срок'!AA11</f>
        <v>4.5999999999999999E-2</v>
      </c>
      <c r="G24" s="30">
        <f>' на весь срок'!S10</f>
        <v>0.185</v>
      </c>
      <c r="H24" s="30">
        <f>' на весь срок'!N10</f>
        <v>0.185</v>
      </c>
      <c r="I24" s="30">
        <f>' на весь срок'!W10</f>
        <v>0.186</v>
      </c>
      <c r="J24" s="65">
        <f t="shared" si="3"/>
        <v>4.1399999999999999E-2</v>
      </c>
      <c r="K24" s="30">
        <f>' на весь срок'!J10</f>
        <v>4.1399999999999999E-2</v>
      </c>
      <c r="L24" s="30">
        <f>' на весь срок'!D10</f>
        <v>3.4500000000000003E-2</v>
      </c>
      <c r="M24" s="30">
        <f>' на весь срок'!AB11</f>
        <v>3.3399999999999999E-2</v>
      </c>
      <c r="N24" s="30">
        <f>' на весь срок'!T10</f>
        <v>8.9999999999999993E-3</v>
      </c>
      <c r="O24" s="30">
        <f>' на весь срок'!O10</f>
        <v>1.78E-2</v>
      </c>
      <c r="P24" s="30">
        <f>' на весь срок'!X10</f>
        <v>9.9000000000000008E-3</v>
      </c>
      <c r="Q24" s="65">
        <f t="shared" si="4"/>
        <v>6.6E-3</v>
      </c>
      <c r="R24" s="30">
        <f>'льготный период'!I11</f>
        <v>6.6E-3</v>
      </c>
      <c r="S24" s="30">
        <f>'льготный период'!C11</f>
        <v>1.32E-2</v>
      </c>
      <c r="T24" s="30">
        <f>' на весь срок'!AC11</f>
        <v>1.3299999999999999E-2</v>
      </c>
      <c r="U24" s="30">
        <f>'льготный период'!U11</f>
        <v>2E-3</v>
      </c>
      <c r="V24" s="30">
        <f>'льготный период'!O11</f>
        <v>4.0000000000000001E-3</v>
      </c>
      <c r="W24" s="30">
        <f>'льготный период'!AA11</f>
        <v>1.6000000000000001E-3</v>
      </c>
      <c r="X24" s="65">
        <f t="shared" si="5"/>
        <v>1.2800000000000001E-2</v>
      </c>
      <c r="Y24" s="30">
        <f>'льготный период'!J11</f>
        <v>1.2800000000000001E-2</v>
      </c>
      <c r="Z24" s="30">
        <f>'льготный период'!D11</f>
        <v>1.6799999999999999E-2</v>
      </c>
      <c r="AA24" s="30">
        <f>' на весь срок'!AD11</f>
        <v>1.6799999999999999E-2</v>
      </c>
      <c r="AB24" s="30">
        <f>'льготный период'!V11</f>
        <v>3.8E-3</v>
      </c>
      <c r="AC24" s="30">
        <f>'льготный период'!P11</f>
        <v>7.6E-3</v>
      </c>
      <c r="AD24" s="30">
        <f>'льготный период'!AB11</f>
        <v>3.7000000000000002E-3</v>
      </c>
      <c r="AE24" s="65">
        <f t="shared" si="6"/>
        <v>2.8000000000000001E-2</v>
      </c>
      <c r="AF24" s="30">
        <f>'льготный период'!K11</f>
        <v>2.8000000000000001E-2</v>
      </c>
      <c r="AG24" s="66">
        <f t="shared" si="7"/>
        <v>3.4500000000000003E-2</v>
      </c>
      <c r="AH24" s="66">
        <f>' на весь срок'!AE11</f>
        <v>2.5700000000000001E-2</v>
      </c>
      <c r="AI24" s="30">
        <f>'льготный период'!W11</f>
        <v>7.7000000000000002E-3</v>
      </c>
      <c r="AJ24" s="30">
        <f>'льготный период'!Q11</f>
        <v>1.5599999999999999E-2</v>
      </c>
      <c r="AK24" s="30">
        <f>'льготный период'!AC11</f>
        <v>8.3999999999999995E-3</v>
      </c>
    </row>
    <row r="25" spans="1:37" x14ac:dyDescent="0.25">
      <c r="A25" s="27">
        <f t="shared" si="8"/>
        <v>6</v>
      </c>
      <c r="B25" s="65">
        <f t="shared" si="1"/>
        <v>5.5E-2</v>
      </c>
      <c r="C25" s="65">
        <f t="shared" si="2"/>
        <v>7.6E-3</v>
      </c>
      <c r="D25" s="30">
        <f>IF($A$13=$A$17,' на весь срок'!I11,'льготный период'!H12)</f>
        <v>5.5E-2</v>
      </c>
      <c r="E25" s="30">
        <f>IF($A$13=$A$17,' на весь срок'!C11,'льготный период'!B12)</f>
        <v>7.4999999999999997E-2</v>
      </c>
      <c r="F25" s="30">
        <f>' на весь срок'!AA12</f>
        <v>4.5000000000000005E-2</v>
      </c>
      <c r="G25" s="30">
        <f>' на весь срок'!S11</f>
        <v>0.184</v>
      </c>
      <c r="H25" s="30">
        <f>' на весь срок'!N11</f>
        <v>0.184</v>
      </c>
      <c r="I25" s="30">
        <f>' на весь срок'!W11</f>
        <v>0.185</v>
      </c>
      <c r="J25" s="65">
        <f t="shared" si="3"/>
        <v>4.7600000000000003E-2</v>
      </c>
      <c r="K25" s="30">
        <f>' на весь срок'!J11</f>
        <v>4.7600000000000003E-2</v>
      </c>
      <c r="L25" s="30">
        <f>' на весь срок'!D11</f>
        <v>4.07E-2</v>
      </c>
      <c r="M25" s="30">
        <f>' на весь срок'!AB12</f>
        <v>3.9300000000000002E-2</v>
      </c>
      <c r="N25" s="30">
        <f>' на весь срок'!T11</f>
        <v>1.34E-2</v>
      </c>
      <c r="O25" s="30">
        <f>' на весь срок'!O11</f>
        <v>2.2100000000000002E-2</v>
      </c>
      <c r="P25" s="30">
        <f>' на весь срок'!X11</f>
        <v>1.4200000000000001E-2</v>
      </c>
      <c r="Q25" s="65">
        <f t="shared" si="4"/>
        <v>7.6E-3</v>
      </c>
      <c r="R25" s="30">
        <f>'льготный период'!I12</f>
        <v>7.6E-3</v>
      </c>
      <c r="S25" s="30">
        <f>'льготный период'!C12</f>
        <v>1.4200000000000001E-2</v>
      </c>
      <c r="T25" s="30">
        <f>' на весь срок'!AC12</f>
        <v>1.4200000000000001E-2</v>
      </c>
      <c r="U25" s="30">
        <f>'льготный период'!U12</f>
        <v>3.0000000000000001E-3</v>
      </c>
      <c r="V25" s="30">
        <f>'льготный период'!O12</f>
        <v>5.0000000000000001E-3</v>
      </c>
      <c r="W25" s="30">
        <f>'льготный период'!AA12</f>
        <v>2.5999999999999999E-3</v>
      </c>
      <c r="X25" s="65">
        <f t="shared" si="5"/>
        <v>1.47E-2</v>
      </c>
      <c r="Y25" s="30">
        <f>'льготный период'!J12</f>
        <v>1.47E-2</v>
      </c>
      <c r="Z25" s="30">
        <f>'льготный период'!D12</f>
        <v>1.8700000000000001E-2</v>
      </c>
      <c r="AA25" s="30">
        <f>' на весь срок'!AD12</f>
        <v>1.8700000000000001E-2</v>
      </c>
      <c r="AB25" s="30">
        <f>'льготный период'!V12</f>
        <v>5.7000000000000002E-3</v>
      </c>
      <c r="AC25" s="30">
        <f>'льготный период'!P12</f>
        <v>9.4999999999999998E-3</v>
      </c>
      <c r="AD25" s="30">
        <f>'льготный период'!AB12</f>
        <v>5.5999999999999999E-3</v>
      </c>
      <c r="AE25" s="65">
        <f t="shared" si="6"/>
        <v>3.2199999999999999E-2</v>
      </c>
      <c r="AF25" s="30">
        <f>'льготный период'!K12</f>
        <v>3.2199999999999999E-2</v>
      </c>
      <c r="AG25" s="66">
        <f t="shared" si="7"/>
        <v>4.07E-2</v>
      </c>
      <c r="AH25" s="66">
        <f>' на весь срок'!AE12</f>
        <v>2.9700000000000001E-2</v>
      </c>
      <c r="AI25" s="30">
        <f>'льготный период'!W12</f>
        <v>1.1599999999999999E-2</v>
      </c>
      <c r="AJ25" s="30">
        <f>'льготный период'!Q12</f>
        <v>1.95E-2</v>
      </c>
      <c r="AK25" s="30">
        <f>'льготный период'!AC12</f>
        <v>1.23E-2</v>
      </c>
    </row>
    <row r="26" spans="1:37" x14ac:dyDescent="0.25">
      <c r="A26" s="27">
        <f t="shared" si="8"/>
        <v>7</v>
      </c>
      <c r="B26" s="65">
        <f t="shared" si="1"/>
        <v>5.3999999999999999E-2</v>
      </c>
      <c r="C26" s="65">
        <f t="shared" si="2"/>
        <v>8.6E-3</v>
      </c>
      <c r="D26" s="30">
        <f>IF($A$13=$A$17,' на весь срок'!I12,'льготный период'!H13)</f>
        <v>5.3999999999999999E-2</v>
      </c>
      <c r="E26" s="30">
        <f>IF($A$13=$A$17,' на весь срок'!C12,'льготный период'!B13)</f>
        <v>7.3999999999999996E-2</v>
      </c>
      <c r="F26" s="30">
        <f>' на весь срок'!AA13</f>
        <v>4.4000000000000004E-2</v>
      </c>
      <c r="G26" s="30">
        <f>' на весь срок'!S12</f>
        <v>0.183</v>
      </c>
      <c r="H26" s="30">
        <f>' на весь срок'!N12</f>
        <v>0.183</v>
      </c>
      <c r="I26" s="30">
        <f>' на весь срок'!W12</f>
        <v>0.184</v>
      </c>
      <c r="J26" s="65">
        <f t="shared" si="3"/>
        <v>5.3699999999999998E-2</v>
      </c>
      <c r="K26" s="30">
        <f>' на весь срок'!J12</f>
        <v>5.3699999999999998E-2</v>
      </c>
      <c r="L26" s="30">
        <f>' на весь срок'!D12</f>
        <v>4.7E-2</v>
      </c>
      <c r="M26" s="30">
        <f>' на весь срок'!AB13</f>
        <v>4.53E-2</v>
      </c>
      <c r="N26" s="30">
        <f>' на весь срок'!T12</f>
        <v>1.78E-2</v>
      </c>
      <c r="O26" s="30">
        <f>' на весь срок'!O12</f>
        <v>2.64E-2</v>
      </c>
      <c r="P26" s="30">
        <f>' на весь срок'!X12</f>
        <v>1.8599999999999998E-2</v>
      </c>
      <c r="Q26" s="65">
        <f t="shared" si="4"/>
        <v>8.6E-3</v>
      </c>
      <c r="R26" s="30">
        <f>'льготный период'!I13</f>
        <v>8.6E-3</v>
      </c>
      <c r="S26" s="30">
        <f>'льготный период'!C13</f>
        <v>1.5100000000000001E-2</v>
      </c>
      <c r="T26" s="30">
        <f>' на весь срок'!AC13</f>
        <v>1.52E-2</v>
      </c>
      <c r="U26" s="30">
        <f>'льготный период'!U13</f>
        <v>4.0000000000000001E-3</v>
      </c>
      <c r="V26" s="30">
        <f>'льготный период'!O13</f>
        <v>6.0000000000000001E-3</v>
      </c>
      <c r="W26" s="30">
        <f>'льготный период'!AA13</f>
        <v>3.5999999999999999E-3</v>
      </c>
      <c r="X26" s="65">
        <f t="shared" si="5"/>
        <v>1.66E-2</v>
      </c>
      <c r="Y26" s="30">
        <f>'льготный период'!J13</f>
        <v>1.66E-2</v>
      </c>
      <c r="Z26" s="30">
        <f>'льготный период'!D13</f>
        <v>2.06E-2</v>
      </c>
      <c r="AA26" s="30">
        <f>' на весь срок'!AD13</f>
        <v>2.0500000000000001E-2</v>
      </c>
      <c r="AB26" s="30">
        <f>'льготный период'!V13</f>
        <v>7.6E-3</v>
      </c>
      <c r="AC26" s="30">
        <f>'льготный период'!P13</f>
        <v>1.14E-2</v>
      </c>
      <c r="AD26" s="30">
        <f>'льготный период'!AB13</f>
        <v>7.4999999999999997E-3</v>
      </c>
      <c r="AE26" s="65">
        <f t="shared" si="6"/>
        <v>3.6299999999999999E-2</v>
      </c>
      <c r="AF26" s="30">
        <f>'льготный период'!K13</f>
        <v>3.6299999999999999E-2</v>
      </c>
      <c r="AG26" s="66">
        <f t="shared" si="7"/>
        <v>4.7E-2</v>
      </c>
      <c r="AH26" s="66">
        <f>' на весь срок'!AE13</f>
        <v>3.3799999999999997E-2</v>
      </c>
      <c r="AI26" s="30">
        <f>'льготный период'!W13</f>
        <v>1.55E-2</v>
      </c>
      <c r="AJ26" s="30">
        <f>'льготный период'!Q13</f>
        <v>2.3300000000000001E-2</v>
      </c>
      <c r="AK26" s="30">
        <f>'льготный период'!AC13</f>
        <v>1.61E-2</v>
      </c>
    </row>
    <row r="27" spans="1:37" x14ac:dyDescent="0.25">
      <c r="A27" s="27">
        <f t="shared" si="8"/>
        <v>8</v>
      </c>
      <c r="B27" s="65">
        <f t="shared" si="1"/>
        <v>5.2999999999999999E-2</v>
      </c>
      <c r="C27" s="65">
        <f t="shared" si="2"/>
        <v>9.5999999999999992E-3</v>
      </c>
      <c r="D27" s="30">
        <f>IF($A$13=$A$17,' на весь срок'!I13,'льготный период'!H14)</f>
        <v>5.2999999999999999E-2</v>
      </c>
      <c r="E27" s="30">
        <f>IF($A$13=$A$17,' на весь срок'!C13,'льготный период'!B14)</f>
        <v>7.2999999999999995E-2</v>
      </c>
      <c r="F27" s="30">
        <f>' на весь срок'!AA14</f>
        <v>4.3000000000000003E-2</v>
      </c>
      <c r="G27" s="30">
        <f>' на весь срок'!S13</f>
        <v>0.182</v>
      </c>
      <c r="H27" s="30">
        <f>' на весь срок'!N13</f>
        <v>0.182</v>
      </c>
      <c r="I27" s="30">
        <f>' на весь срок'!W13</f>
        <v>0.183</v>
      </c>
      <c r="J27" s="65">
        <f t="shared" si="3"/>
        <v>5.9799999999999999E-2</v>
      </c>
      <c r="K27" s="30">
        <f>' на весь срок'!J13</f>
        <v>5.9799999999999999E-2</v>
      </c>
      <c r="L27" s="30">
        <f>' на весь срок'!D13</f>
        <v>5.3199999999999997E-2</v>
      </c>
      <c r="M27" s="30">
        <f>' на весь срок'!AB14</f>
        <v>5.1200000000000002E-2</v>
      </c>
      <c r="N27" s="30">
        <f>' на весь срок'!T13</f>
        <v>2.2100000000000002E-2</v>
      </c>
      <c r="O27" s="30">
        <f>' на весь срок'!O13</f>
        <v>3.0800000000000001E-2</v>
      </c>
      <c r="P27" s="30">
        <f>' на весь срок'!X13</f>
        <v>2.3E-2</v>
      </c>
      <c r="Q27" s="65">
        <f t="shared" si="4"/>
        <v>9.5999999999999992E-3</v>
      </c>
      <c r="R27" s="30">
        <f>'льготный период'!I14</f>
        <v>9.5999999999999992E-3</v>
      </c>
      <c r="S27" s="30">
        <f>'льготный период'!C14</f>
        <v>1.61E-2</v>
      </c>
      <c r="T27" s="30">
        <f>' на весь срок'!AC14</f>
        <v>1.6199999999999999E-2</v>
      </c>
      <c r="U27" s="30">
        <f>'льготный период'!U14</f>
        <v>5.0000000000000001E-3</v>
      </c>
      <c r="V27" s="30">
        <f>'льготный период'!O14</f>
        <v>7.0000000000000001E-3</v>
      </c>
      <c r="W27" s="30">
        <f>'льготный период'!AA14</f>
        <v>4.4999999999999997E-3</v>
      </c>
      <c r="X27" s="65">
        <f t="shared" si="5"/>
        <v>1.8499999999999999E-2</v>
      </c>
      <c r="Y27" s="30">
        <f>'льготный период'!J14</f>
        <v>1.8499999999999999E-2</v>
      </c>
      <c r="Z27" s="30">
        <f>'льготный период'!D14</f>
        <v>2.2499999999999999E-2</v>
      </c>
      <c r="AA27" s="30">
        <f>' на весь срок'!AD14</f>
        <v>2.24E-2</v>
      </c>
      <c r="AB27" s="30">
        <f>'льготный период'!V14</f>
        <v>9.4999999999999998E-3</v>
      </c>
      <c r="AC27" s="30">
        <f>'льготный период'!P14</f>
        <v>1.3299999999999999E-2</v>
      </c>
      <c r="AD27" s="30">
        <f>'льготный период'!AB14</f>
        <v>9.4000000000000004E-3</v>
      </c>
      <c r="AE27" s="65">
        <f t="shared" si="6"/>
        <v>4.0500000000000001E-2</v>
      </c>
      <c r="AF27" s="30">
        <f>'льготный период'!K14</f>
        <v>4.0500000000000001E-2</v>
      </c>
      <c r="AG27" s="66">
        <f t="shared" si="7"/>
        <v>5.3199999999999997E-2</v>
      </c>
      <c r="AH27" s="66">
        <f>' на весь срок'!AE14</f>
        <v>3.78E-2</v>
      </c>
      <c r="AI27" s="30">
        <f>'льготный период'!W14</f>
        <v>1.9400000000000001E-2</v>
      </c>
      <c r="AJ27" s="30">
        <f>'льготный период'!Q14</f>
        <v>2.7199999999999998E-2</v>
      </c>
      <c r="AK27" s="30">
        <f>'льготный период'!AC14</f>
        <v>0.02</v>
      </c>
    </row>
    <row r="28" spans="1:37" x14ac:dyDescent="0.25">
      <c r="A28" s="27">
        <f t="shared" si="8"/>
        <v>9</v>
      </c>
      <c r="B28" s="65">
        <f t="shared" si="1"/>
        <v>5.1999999999999998E-2</v>
      </c>
      <c r="C28" s="65">
        <f t="shared" si="2"/>
        <v>1.06E-2</v>
      </c>
      <c r="D28" s="30">
        <f>IF($A$13=$A$17,' на весь срок'!I14,'льготный период'!H15)</f>
        <v>5.1999999999999998E-2</v>
      </c>
      <c r="E28" s="30">
        <f>IF($A$13=$A$17,' на весь срок'!C14,'льготный период'!B15)</f>
        <v>7.2000000000000008E-2</v>
      </c>
      <c r="F28" s="30">
        <f>' на весь срок'!AA15</f>
        <v>4.2000000000000003E-2</v>
      </c>
      <c r="G28" s="30">
        <f>' на весь срок'!S14</f>
        <v>0.18099999999999999</v>
      </c>
      <c r="H28" s="30">
        <f>' на весь срок'!N14</f>
        <v>0.18099999999999999</v>
      </c>
      <c r="I28" s="30">
        <f>' на весь срок'!W14</f>
        <v>0.182</v>
      </c>
      <c r="J28" s="65">
        <f t="shared" si="3"/>
        <v>6.5799999999999997E-2</v>
      </c>
      <c r="K28" s="30">
        <f>' на весь срок'!J14</f>
        <v>6.5799999999999997E-2</v>
      </c>
      <c r="L28" s="30">
        <f>' на весь срок'!D14</f>
        <v>5.9400000000000001E-2</v>
      </c>
      <c r="M28" s="30">
        <f>' на весь срок'!AB15</f>
        <v>5.7000000000000002E-2</v>
      </c>
      <c r="N28" s="30">
        <f>' на весь срок'!T14</f>
        <v>2.6499999999999999E-2</v>
      </c>
      <c r="O28" s="30">
        <f>' на весь срок'!O14</f>
        <v>3.5099999999999999E-2</v>
      </c>
      <c r="P28" s="30">
        <f>' на весь срок'!X14</f>
        <v>2.7300000000000001E-2</v>
      </c>
      <c r="Q28" s="65">
        <f t="shared" si="4"/>
        <v>1.06E-2</v>
      </c>
      <c r="R28" s="30">
        <f>'льготный период'!I15</f>
        <v>1.06E-2</v>
      </c>
      <c r="S28" s="30">
        <f>'льготный период'!C15</f>
        <v>1.7100000000000001E-2</v>
      </c>
      <c r="T28" s="30">
        <f>' на весь срок'!AC15</f>
        <v>1.7100000000000001E-2</v>
      </c>
      <c r="U28" s="30">
        <f>'льготный период'!U15</f>
        <v>6.0000000000000001E-3</v>
      </c>
      <c r="V28" s="30">
        <f>'льготный период'!O15</f>
        <v>8.0000000000000002E-3</v>
      </c>
      <c r="W28" s="30">
        <f>'льготный период'!AA15</f>
        <v>5.4999999999999997E-3</v>
      </c>
      <c r="X28" s="65">
        <f t="shared" si="5"/>
        <v>2.0400000000000001E-2</v>
      </c>
      <c r="Y28" s="30">
        <f>'льготный период'!J15</f>
        <v>2.0400000000000001E-2</v>
      </c>
      <c r="Z28" s="30">
        <f>'льготный период'!D15</f>
        <v>2.4400000000000002E-2</v>
      </c>
      <c r="AA28" s="30">
        <f>' на весь срок'!AD15</f>
        <v>2.4299999999999999E-2</v>
      </c>
      <c r="AB28" s="30">
        <f>'льготный период'!V15</f>
        <v>1.14E-2</v>
      </c>
      <c r="AC28" s="30">
        <f>'льготный период'!P15</f>
        <v>1.52E-2</v>
      </c>
      <c r="AD28" s="30">
        <f>'льготный период'!AB15</f>
        <v>1.1299999999999999E-2</v>
      </c>
      <c r="AE28" s="65">
        <f t="shared" si="6"/>
        <v>4.4600000000000001E-2</v>
      </c>
      <c r="AF28" s="30">
        <f>'льготный период'!K15</f>
        <v>4.4600000000000001E-2</v>
      </c>
      <c r="AG28" s="66">
        <f t="shared" si="7"/>
        <v>5.9400000000000001E-2</v>
      </c>
      <c r="AH28" s="66">
        <f>' на весь срок'!AE15</f>
        <v>4.1799999999999997E-2</v>
      </c>
      <c r="AI28" s="30">
        <f>'льготный период'!W15</f>
        <v>2.3199999999999998E-2</v>
      </c>
      <c r="AJ28" s="30">
        <f>'льготный период'!Q15</f>
        <v>3.1099999999999999E-2</v>
      </c>
      <c r="AK28" s="30">
        <f>'льготный период'!AC15</f>
        <v>2.3900000000000001E-2</v>
      </c>
    </row>
    <row r="29" spans="1:37" x14ac:dyDescent="0.25">
      <c r="A29" s="27">
        <f t="shared" si="8"/>
        <v>10</v>
      </c>
      <c r="B29" s="65">
        <f t="shared" si="1"/>
        <v>5.0999999999999997E-2</v>
      </c>
      <c r="C29" s="65">
        <f t="shared" si="2"/>
        <v>1.1599999999999999E-2</v>
      </c>
      <c r="D29" s="30">
        <f>IF($A$13=$A$17,' на весь срок'!I15,'льготный период'!H16)</f>
        <v>5.0999999999999997E-2</v>
      </c>
      <c r="E29" s="30">
        <f>IF($A$13=$A$17,' на весь срок'!C15,'льготный период'!B16)</f>
        <v>7.1000000000000008E-2</v>
      </c>
      <c r="F29" s="30">
        <f>' на весь срок'!AA16</f>
        <v>4.1000000000000002E-2</v>
      </c>
      <c r="G29" s="30">
        <f>' на весь срок'!S15</f>
        <v>0.18</v>
      </c>
      <c r="H29" s="30">
        <f>' на весь срок'!N15</f>
        <v>0.18</v>
      </c>
      <c r="I29" s="30">
        <f>' на весь срок'!W15</f>
        <v>0.18099999999999999</v>
      </c>
      <c r="J29" s="65">
        <f t="shared" si="3"/>
        <v>7.1900000000000006E-2</v>
      </c>
      <c r="K29" s="30">
        <f>' на весь срок'!J15</f>
        <v>7.1900000000000006E-2</v>
      </c>
      <c r="L29" s="30">
        <f>' на весь срок'!D15</f>
        <v>6.5500000000000003E-2</v>
      </c>
      <c r="M29" s="30">
        <f>' на весь срок'!AB16</f>
        <v>6.2899999999999998E-2</v>
      </c>
      <c r="N29" s="30">
        <f>' на весь срок'!T15</f>
        <v>3.0800000000000001E-2</v>
      </c>
      <c r="O29" s="30">
        <f>' на весь срок'!O15</f>
        <v>3.9399999999999998E-2</v>
      </c>
      <c r="P29" s="30">
        <f>' на весь срок'!X15</f>
        <v>3.1699999999999999E-2</v>
      </c>
      <c r="Q29" s="65">
        <f t="shared" si="4"/>
        <v>1.1599999999999999E-2</v>
      </c>
      <c r="R29" s="30">
        <f>'льготный период'!I16</f>
        <v>1.1599999999999999E-2</v>
      </c>
      <c r="S29" s="30">
        <f>'льготный период'!C16</f>
        <v>1.8100000000000002E-2</v>
      </c>
      <c r="T29" s="30">
        <f>' на весь срок'!AC16</f>
        <v>1.8100000000000002E-2</v>
      </c>
      <c r="U29" s="30">
        <f>'льготный период'!U16</f>
        <v>6.8999999999999999E-3</v>
      </c>
      <c r="V29" s="30">
        <f>'льготный период'!O16</f>
        <v>8.8999999999999999E-3</v>
      </c>
      <c r="W29" s="30">
        <f>'льготный период'!AA16</f>
        <v>6.4999999999999997E-3</v>
      </c>
      <c r="X29" s="65">
        <f t="shared" si="5"/>
        <v>2.23E-2</v>
      </c>
      <c r="Y29" s="30">
        <f>'льготный период'!J16</f>
        <v>2.23E-2</v>
      </c>
      <c r="Z29" s="30">
        <f>'льготный период'!D16</f>
        <v>2.6200000000000001E-2</v>
      </c>
      <c r="AA29" s="30">
        <f>' на весь срок'!AD16</f>
        <v>2.6100000000000002E-2</v>
      </c>
      <c r="AB29" s="30">
        <f>'льготный период'!V16</f>
        <v>1.3299999999999999E-2</v>
      </c>
      <c r="AC29" s="30">
        <f>'льготный период'!P16</f>
        <v>1.7100000000000001E-2</v>
      </c>
      <c r="AD29" s="30">
        <f>'льготный период'!AB16</f>
        <v>1.32E-2</v>
      </c>
      <c r="AE29" s="65">
        <f t="shared" si="6"/>
        <v>4.8800000000000003E-2</v>
      </c>
      <c r="AF29" s="30">
        <f>'льготный период'!K16</f>
        <v>4.8800000000000003E-2</v>
      </c>
      <c r="AG29" s="66">
        <f t="shared" si="7"/>
        <v>6.5500000000000003E-2</v>
      </c>
      <c r="AH29" s="66">
        <f>' на весь срок'!AE16</f>
        <v>4.58E-2</v>
      </c>
      <c r="AI29" s="30">
        <f>'льготный период'!W16</f>
        <v>2.7099999999999999E-2</v>
      </c>
      <c r="AJ29" s="30">
        <f>'льготный период'!Q16</f>
        <v>3.49E-2</v>
      </c>
      <c r="AK29" s="30">
        <f>'льготный период'!AC16</f>
        <v>2.7699999999999999E-2</v>
      </c>
    </row>
    <row r="30" spans="1:37" x14ac:dyDescent="0.25">
      <c r="A30" s="27">
        <f t="shared" si="8"/>
        <v>11</v>
      </c>
      <c r="B30" s="65">
        <f t="shared" si="1"/>
        <v>4.9999999999999996E-2</v>
      </c>
      <c r="C30" s="65">
        <f t="shared" si="2"/>
        <v>1.26E-2</v>
      </c>
      <c r="D30" s="30">
        <f>IF($A$13=$A$17,' на весь срок'!I16,'льготный период'!H17)</f>
        <v>4.9999999999999996E-2</v>
      </c>
      <c r="E30" s="30">
        <f>IF($A$13=$A$17,' на весь срок'!C16,'льготный период'!B17)</f>
        <v>7.0000000000000007E-2</v>
      </c>
      <c r="F30" s="30">
        <f>' на весь срок'!AA17</f>
        <v>0.04</v>
      </c>
      <c r="G30" s="30">
        <f>' на весь срок'!S16</f>
        <v>0.17899999999999999</v>
      </c>
      <c r="H30" s="30">
        <f>' на весь срок'!N16</f>
        <v>0.17899999999999999</v>
      </c>
      <c r="I30" s="30">
        <f>' на весь срок'!W16</f>
        <v>0.18</v>
      </c>
      <c r="J30" s="65">
        <f t="shared" si="3"/>
        <v>7.7899999999999997E-2</v>
      </c>
      <c r="K30" s="30">
        <f>' на весь срок'!J16</f>
        <v>7.7899999999999997E-2</v>
      </c>
      <c r="L30" s="30">
        <f>' на весь срок'!D16</f>
        <v>7.17E-2</v>
      </c>
      <c r="M30" s="30">
        <f>' на весь срок'!AB17</f>
        <v>6.88E-2</v>
      </c>
      <c r="N30" s="30">
        <f>' на весь срок'!T16</f>
        <v>3.5200000000000002E-2</v>
      </c>
      <c r="O30" s="30">
        <f>' на весь срок'!O16</f>
        <v>4.3700000000000003E-2</v>
      </c>
      <c r="P30" s="30">
        <f>' на весь срок'!X16</f>
        <v>3.5999999999999997E-2</v>
      </c>
      <c r="Q30" s="65">
        <f t="shared" si="4"/>
        <v>1.26E-2</v>
      </c>
      <c r="R30" s="30">
        <f>'льготный период'!I17</f>
        <v>1.26E-2</v>
      </c>
      <c r="S30" s="30">
        <f>'льготный период'!C17</f>
        <v>1.9E-2</v>
      </c>
      <c r="T30" s="30">
        <f>' на весь срок'!AC17</f>
        <v>1.9E-2</v>
      </c>
      <c r="U30" s="30">
        <f>'льготный период'!U17</f>
        <v>7.9000000000000008E-3</v>
      </c>
      <c r="V30" s="30">
        <f>'льготный период'!O17</f>
        <v>9.9000000000000008E-3</v>
      </c>
      <c r="W30" s="30">
        <f>'льготный период'!AA17</f>
        <v>7.4999999999999997E-3</v>
      </c>
      <c r="X30" s="65">
        <f t="shared" si="5"/>
        <v>2.4199999999999999E-2</v>
      </c>
      <c r="Y30" s="30">
        <f>'льготный период'!J17</f>
        <v>2.4199999999999999E-2</v>
      </c>
      <c r="Z30" s="30">
        <f>'льготный период'!D17</f>
        <v>2.81E-2</v>
      </c>
      <c r="AA30" s="30">
        <f>' на весь срок'!AD17</f>
        <v>2.7900000000000001E-2</v>
      </c>
      <c r="AB30" s="30">
        <f>'льготный период'!V17</f>
        <v>1.52E-2</v>
      </c>
      <c r="AC30" s="30">
        <f>'льготный период'!P17</f>
        <v>1.9E-2</v>
      </c>
      <c r="AD30" s="30">
        <f>'льготный период'!AB17</f>
        <v>1.4999999999999999E-2</v>
      </c>
      <c r="AE30" s="65">
        <f t="shared" si="6"/>
        <v>5.2900000000000003E-2</v>
      </c>
      <c r="AF30" s="30">
        <f>'льготный период'!K17</f>
        <v>5.2900000000000003E-2</v>
      </c>
      <c r="AG30" s="66">
        <f t="shared" si="7"/>
        <v>7.17E-2</v>
      </c>
      <c r="AH30" s="66">
        <f>' на весь срок'!AE17</f>
        <v>4.9799999999999997E-2</v>
      </c>
      <c r="AI30" s="30">
        <f>'льготный период'!W17</f>
        <v>3.1E-2</v>
      </c>
      <c r="AJ30" s="30">
        <f>'льготный период'!Q17</f>
        <v>3.8800000000000001E-2</v>
      </c>
      <c r="AK30" s="30">
        <f>'льготный период'!AC17</f>
        <v>3.1600000000000003E-2</v>
      </c>
    </row>
    <row r="31" spans="1:37" x14ac:dyDescent="0.25">
      <c r="A31" s="27">
        <f t="shared" si="8"/>
        <v>12</v>
      </c>
      <c r="B31" s="65">
        <f t="shared" si="1"/>
        <v>4.8999999999999995E-2</v>
      </c>
      <c r="C31" s="65">
        <f t="shared" si="2"/>
        <v>1.3599999999999999E-2</v>
      </c>
      <c r="D31" s="30">
        <f>IF($A$13=$A$17,' на весь срок'!I17,'льготный период'!H18)</f>
        <v>4.8999999999999995E-2</v>
      </c>
      <c r="E31" s="30">
        <f>IF($A$13=$A$17,' на весь срок'!C17,'льготный период'!B18)</f>
        <v>6.9000000000000006E-2</v>
      </c>
      <c r="F31" s="30">
        <f>' на весь срок'!AA18</f>
        <v>3.9E-2</v>
      </c>
      <c r="G31" s="30">
        <f>' на весь срок'!S17</f>
        <v>0.17799999999999999</v>
      </c>
      <c r="H31" s="30">
        <f>' на весь срок'!N17</f>
        <v>0.17799999999999999</v>
      </c>
      <c r="I31" s="30">
        <f>' на весь срок'!W17</f>
        <v>0.17899999999999999</v>
      </c>
      <c r="J31" s="65">
        <f t="shared" si="3"/>
        <v>8.3900000000000002E-2</v>
      </c>
      <c r="K31" s="30">
        <f>' на весь срок'!J17</f>
        <v>8.3900000000000002E-2</v>
      </c>
      <c r="L31" s="30">
        <f>' на весь срок'!D17</f>
        <v>7.7799999999999994E-2</v>
      </c>
      <c r="M31" s="30">
        <f>' на весь срок'!AB18</f>
        <v>8.14E-2</v>
      </c>
      <c r="N31" s="30">
        <f>' на весь срок'!T17</f>
        <v>3.95E-2</v>
      </c>
      <c r="O31" s="30">
        <f>' на весь срок'!O17</f>
        <v>4.8000000000000001E-2</v>
      </c>
      <c r="P31" s="30">
        <f>' на весь срок'!X17</f>
        <v>4.0300000000000002E-2</v>
      </c>
      <c r="Q31" s="65">
        <f t="shared" si="4"/>
        <v>1.3599999999999999E-2</v>
      </c>
      <c r="R31" s="30">
        <f>'льготный период'!I18</f>
        <v>1.3599999999999999E-2</v>
      </c>
      <c r="S31" s="30">
        <f>'льготный период'!C18</f>
        <v>0.02</v>
      </c>
      <c r="T31" s="30">
        <f>' на весь срок'!AC18</f>
        <v>0.02</v>
      </c>
      <c r="U31" s="30">
        <f>'льготный период'!U18</f>
        <v>8.8999999999999999E-3</v>
      </c>
      <c r="V31" s="30">
        <f>'льготный период'!O18</f>
        <v>1.09E-2</v>
      </c>
      <c r="W31" s="30">
        <f>'льготный период'!AA18</f>
        <v>8.5000000000000006E-3</v>
      </c>
      <c r="X31" s="65">
        <f t="shared" si="5"/>
        <v>2.6100000000000002E-2</v>
      </c>
      <c r="Y31" s="30">
        <f>'льготный период'!J18</f>
        <v>2.6100000000000002E-2</v>
      </c>
      <c r="Z31" s="30">
        <f>'льготный период'!D18</f>
        <v>0.03</v>
      </c>
      <c r="AA31" s="30">
        <f>' на весь срок'!AD18</f>
        <v>2.98E-2</v>
      </c>
      <c r="AB31" s="30">
        <f>'льготный период'!V18</f>
        <v>1.7100000000000001E-2</v>
      </c>
      <c r="AC31" s="30">
        <f>'льготный период'!P18</f>
        <v>2.0899999999999998E-2</v>
      </c>
      <c r="AD31" s="30">
        <f>'льготный период'!AB18</f>
        <v>1.6899999999999998E-2</v>
      </c>
      <c r="AE31" s="65">
        <f t="shared" si="6"/>
        <v>5.7000000000000002E-2</v>
      </c>
      <c r="AF31" s="30">
        <f>'льготный период'!K18</f>
        <v>5.7000000000000002E-2</v>
      </c>
      <c r="AG31" s="66">
        <f t="shared" si="7"/>
        <v>7.7799999999999994E-2</v>
      </c>
      <c r="AH31" s="66">
        <f>' на весь срок'!AE18</f>
        <v>5.3800000000000001E-2</v>
      </c>
      <c r="AI31" s="30">
        <f>'льготный период'!W18</f>
        <v>3.4799999999999998E-2</v>
      </c>
      <c r="AJ31" s="30">
        <f>'льготный период'!Q18</f>
        <v>4.2599999999999999E-2</v>
      </c>
      <c r="AK31" s="30">
        <f>'льготный период'!AC18</f>
        <v>3.5400000000000001E-2</v>
      </c>
    </row>
    <row r="32" spans="1:37" x14ac:dyDescent="0.25">
      <c r="A32" s="27">
        <f t="shared" si="8"/>
        <v>13</v>
      </c>
      <c r="B32" s="65">
        <f t="shared" si="1"/>
        <v>4.7999999999999994E-2</v>
      </c>
      <c r="C32" s="65">
        <f t="shared" si="2"/>
        <v>1.46E-2</v>
      </c>
      <c r="D32" s="30">
        <f>IF($A$13=$A$17,' на весь срок'!I18,'льготный период'!H19)</f>
        <v>4.7999999999999994E-2</v>
      </c>
      <c r="E32" s="30">
        <f>IF($A$13=$A$17,' на весь срок'!C18,'льготный период'!B19)</f>
        <v>6.8000000000000005E-2</v>
      </c>
      <c r="F32" s="30">
        <f>' на весь срок'!AA19</f>
        <v>3.7999999999999999E-2</v>
      </c>
      <c r="G32" s="30">
        <f>' на весь срок'!S18</f>
        <v>0.17699999999999999</v>
      </c>
      <c r="H32" s="30">
        <f>' на весь срок'!N18</f>
        <v>0.17699999999999999</v>
      </c>
      <c r="I32" s="30">
        <f>' на весь срок'!W18</f>
        <v>0.17799999999999999</v>
      </c>
      <c r="J32" s="65">
        <f t="shared" si="3"/>
        <v>8.9899999999999994E-2</v>
      </c>
      <c r="K32" s="30">
        <f>' на весь срок'!J18</f>
        <v>8.9899999999999994E-2</v>
      </c>
      <c r="L32" s="30">
        <f>' на весь срок'!D18</f>
        <v>8.3900000000000002E-2</v>
      </c>
      <c r="M32" s="30">
        <f>' на весь срок'!AB19</f>
        <v>8.77E-2</v>
      </c>
      <c r="N32" s="30">
        <f>' на весь срок'!T18</f>
        <v>4.3900000000000002E-2</v>
      </c>
      <c r="O32" s="30">
        <f>' на весь срок'!O18</f>
        <v>5.2299999999999999E-2</v>
      </c>
      <c r="P32" s="30">
        <f>' на весь срок'!X18</f>
        <v>4.4600000000000001E-2</v>
      </c>
      <c r="Q32" s="65">
        <f t="shared" si="4"/>
        <v>1.46E-2</v>
      </c>
      <c r="R32" s="30">
        <f>'льготный период'!I19</f>
        <v>1.46E-2</v>
      </c>
      <c r="S32" s="30">
        <f>'льготный период'!C19</f>
        <v>2.1000000000000001E-2</v>
      </c>
      <c r="T32" s="30">
        <f>' на весь срок'!AC19</f>
        <v>2.1000000000000001E-2</v>
      </c>
      <c r="U32" s="30">
        <f>'льготный период'!U19</f>
        <v>9.9000000000000008E-3</v>
      </c>
      <c r="V32" s="30">
        <f>'льготный период'!O19</f>
        <v>1.1900000000000001E-2</v>
      </c>
      <c r="W32" s="30">
        <f>'льготный период'!AA19</f>
        <v>9.4999999999999998E-3</v>
      </c>
      <c r="X32" s="65">
        <f t="shared" si="5"/>
        <v>2.8000000000000001E-2</v>
      </c>
      <c r="Y32" s="30">
        <f>'льготный период'!J19</f>
        <v>2.8000000000000001E-2</v>
      </c>
      <c r="Z32" s="30">
        <f>'льготный период'!D19</f>
        <v>3.1800000000000002E-2</v>
      </c>
      <c r="AA32" s="30">
        <f>' на весь срок'!AD19</f>
        <v>3.1600000000000003E-2</v>
      </c>
      <c r="AB32" s="30">
        <f>'льготный период'!V19</f>
        <v>1.89E-2</v>
      </c>
      <c r="AC32" s="30">
        <f>'льготный период'!P19</f>
        <v>2.2800000000000001E-2</v>
      </c>
      <c r="AD32" s="30">
        <f>'льготный период'!AB19</f>
        <v>1.8800000000000001E-2</v>
      </c>
      <c r="AE32" s="65">
        <f t="shared" si="6"/>
        <v>6.1100000000000002E-2</v>
      </c>
      <c r="AF32" s="30">
        <f>'льготный период'!K19</f>
        <v>6.1100000000000002E-2</v>
      </c>
      <c r="AG32" s="66">
        <f t="shared" si="7"/>
        <v>8.3900000000000002E-2</v>
      </c>
      <c r="AH32" s="66">
        <f>' на весь срок'!AE19</f>
        <v>5.7799999999999997E-2</v>
      </c>
      <c r="AI32" s="30">
        <f>'льготный период'!W19</f>
        <v>3.8699999999999998E-2</v>
      </c>
      <c r="AJ32" s="30">
        <f>'льготный период'!Q19</f>
        <v>4.65E-2</v>
      </c>
      <c r="AK32" s="30">
        <f>'льготный период'!AC19</f>
        <v>3.9300000000000002E-2</v>
      </c>
    </row>
    <row r="33" spans="1:37" x14ac:dyDescent="0.25">
      <c r="A33" s="27">
        <f t="shared" si="8"/>
        <v>14</v>
      </c>
      <c r="B33" s="65">
        <f t="shared" si="1"/>
        <v>4.6999999999999993E-2</v>
      </c>
      <c r="C33" s="65">
        <f t="shared" si="2"/>
        <v>1.55E-2</v>
      </c>
      <c r="D33" s="30">
        <f>IF($A$13=$A$17,' на весь срок'!I19,'льготный период'!H20)</f>
        <v>4.6999999999999993E-2</v>
      </c>
      <c r="E33" s="30">
        <f>IF($A$13=$A$17,' на весь срок'!C19,'льготный период'!B20)</f>
        <v>6.7000000000000004E-2</v>
      </c>
      <c r="F33" s="30">
        <f>' на весь срок'!AA20</f>
        <v>3.6999999999999998E-2</v>
      </c>
      <c r="G33" s="30">
        <f>' на весь срок'!S19</f>
        <v>0.17599999999999999</v>
      </c>
      <c r="H33" s="30">
        <f>' на весь срок'!N19</f>
        <v>0.17599999999999999</v>
      </c>
      <c r="I33" s="30">
        <f>' на весь срок'!W19</f>
        <v>0.17699999999999999</v>
      </c>
      <c r="J33" s="65">
        <f t="shared" si="3"/>
        <v>9.5899999999999999E-2</v>
      </c>
      <c r="K33" s="30">
        <f>' на весь срок'!J19</f>
        <v>9.5899999999999999E-2</v>
      </c>
      <c r="L33" s="30">
        <f>' на весь срок'!D19</f>
        <v>0.09</v>
      </c>
      <c r="M33" s="30">
        <f>' на весь срок'!AB20</f>
        <v>9.4100000000000003E-2</v>
      </c>
      <c r="N33" s="30">
        <f>' на весь срок'!T19</f>
        <v>4.82E-2</v>
      </c>
      <c r="O33" s="30">
        <f>' на весь срок'!O19</f>
        <v>5.6599999999999998E-2</v>
      </c>
      <c r="P33" s="30">
        <f>' на весь срок'!X19</f>
        <v>4.8899999999999999E-2</v>
      </c>
      <c r="Q33" s="65">
        <f t="shared" si="4"/>
        <v>1.55E-2</v>
      </c>
      <c r="R33" s="30">
        <f>'льготный период'!I20</f>
        <v>1.55E-2</v>
      </c>
      <c r="S33" s="30">
        <f>'льготный период'!C20</f>
        <v>2.1899999999999999E-2</v>
      </c>
      <c r="T33" s="30">
        <f>' на весь срок'!AC20</f>
        <v>2.1899999999999999E-2</v>
      </c>
      <c r="U33" s="30">
        <f>'льготный период'!U20</f>
        <v>1.09E-2</v>
      </c>
      <c r="V33" s="30">
        <f>'льготный период'!O20</f>
        <v>1.29E-2</v>
      </c>
      <c r="W33" s="30">
        <f>'льготный период'!AA20</f>
        <v>1.0500000000000001E-2</v>
      </c>
      <c r="X33" s="65">
        <f t="shared" si="5"/>
        <v>2.9899999999999999E-2</v>
      </c>
      <c r="Y33" s="30">
        <f>'льготный период'!J20</f>
        <v>2.9899999999999999E-2</v>
      </c>
      <c r="Z33" s="30">
        <f>'льготный период'!D20</f>
        <v>3.3700000000000001E-2</v>
      </c>
      <c r="AA33" s="30">
        <f>' на весь срок'!AD20</f>
        <v>3.3500000000000002E-2</v>
      </c>
      <c r="AB33" s="30">
        <f>'льготный период'!V20</f>
        <v>2.0799999999999999E-2</v>
      </c>
      <c r="AC33" s="30">
        <f>'льготный период'!P20</f>
        <v>2.47E-2</v>
      </c>
      <c r="AD33" s="30">
        <f>'льготный период'!AB20</f>
        <v>2.07E-2</v>
      </c>
      <c r="AE33" s="65">
        <f t="shared" si="6"/>
        <v>6.5199999999999994E-2</v>
      </c>
      <c r="AF33" s="30">
        <f>'льготный период'!K20</f>
        <v>6.5199999999999994E-2</v>
      </c>
      <c r="AG33" s="66">
        <f t="shared" si="7"/>
        <v>0.09</v>
      </c>
      <c r="AH33" s="66">
        <f>' на весь срок'!AE20</f>
        <v>6.1800000000000001E-2</v>
      </c>
      <c r="AI33" s="30">
        <f>'льготный период'!W20</f>
        <v>4.2500000000000003E-2</v>
      </c>
      <c r="AJ33" s="30">
        <f>'льготный период'!Q20</f>
        <v>5.0299999999999997E-2</v>
      </c>
      <c r="AK33" s="30">
        <f>'льготный период'!AC20</f>
        <v>4.3099999999999999E-2</v>
      </c>
    </row>
    <row r="34" spans="1:37" x14ac:dyDescent="0.25">
      <c r="A34" s="27">
        <f t="shared" si="8"/>
        <v>15</v>
      </c>
      <c r="B34" s="65">
        <f t="shared" si="1"/>
        <v>4.5999999999999992E-2</v>
      </c>
      <c r="C34" s="65">
        <f t="shared" si="2"/>
        <v>1.6500000000000001E-2</v>
      </c>
      <c r="D34" s="30">
        <f>IF($A$13=$A$17,' на весь срок'!I20,'льготный период'!H21)</f>
        <v>4.5999999999999992E-2</v>
      </c>
      <c r="E34" s="30">
        <f>IF($A$13=$A$17,' на весь срок'!C20,'льготный период'!B21)</f>
        <v>6.6000000000000003E-2</v>
      </c>
      <c r="F34" s="30">
        <f>' на весь срок'!AA21</f>
        <v>3.5999999999999997E-2</v>
      </c>
      <c r="G34" s="30">
        <f>' на весь срок'!S20</f>
        <v>0.17499999999999999</v>
      </c>
      <c r="H34" s="30">
        <f>' на весь срок'!N20</f>
        <v>0.17499999999999999</v>
      </c>
      <c r="I34" s="30">
        <f>' на весь срок'!W20</f>
        <v>0.17599999999999999</v>
      </c>
      <c r="J34" s="65">
        <f t="shared" si="3"/>
        <v>0.1018</v>
      </c>
      <c r="K34" s="30">
        <f>' на весь срок'!J20</f>
        <v>0.1018</v>
      </c>
      <c r="L34" s="30">
        <f>' на весь срок'!D20</f>
        <v>9.6100000000000005E-2</v>
      </c>
      <c r="M34" s="30">
        <f>' на весь срок'!AB21</f>
        <v>0.1004</v>
      </c>
      <c r="N34" s="30">
        <f>' на весь срок'!T20</f>
        <v>5.2499999999999998E-2</v>
      </c>
      <c r="O34" s="30">
        <f>' на весь срок'!O20</f>
        <v>6.0900000000000003E-2</v>
      </c>
      <c r="P34" s="30">
        <f>' на весь срок'!X20</f>
        <v>5.33E-2</v>
      </c>
      <c r="Q34" s="65">
        <f t="shared" si="4"/>
        <v>1.6500000000000001E-2</v>
      </c>
      <c r="R34" s="30">
        <f>'льготный период'!I21</f>
        <v>1.6500000000000001E-2</v>
      </c>
      <c r="S34" s="30">
        <f>'льготный период'!C21</f>
        <v>2.29E-2</v>
      </c>
      <c r="T34" s="30">
        <f>' на весь срок'!AC21</f>
        <v>2.29E-2</v>
      </c>
      <c r="U34" s="30">
        <f>'льготный период'!U21</f>
        <v>1.1900000000000001E-2</v>
      </c>
      <c r="V34" s="30">
        <f>'льготный период'!O21</f>
        <v>1.3899999999999999E-2</v>
      </c>
      <c r="W34" s="30">
        <f>'льготный период'!AA21</f>
        <v>1.15E-2</v>
      </c>
      <c r="X34" s="65">
        <f t="shared" si="5"/>
        <v>3.1800000000000002E-2</v>
      </c>
      <c r="Y34" s="30">
        <f>'льготный период'!J21</f>
        <v>3.1800000000000002E-2</v>
      </c>
      <c r="Z34" s="30">
        <f>'льготный период'!D21</f>
        <v>3.56E-2</v>
      </c>
      <c r="AA34" s="30">
        <f>' на весь срок'!AD21</f>
        <v>3.5299999999999998E-2</v>
      </c>
      <c r="AB34" s="30">
        <f>'льготный период'!V21</f>
        <v>2.2700000000000001E-2</v>
      </c>
      <c r="AC34" s="30">
        <f>'льготный период'!P21</f>
        <v>2.6499999999999999E-2</v>
      </c>
      <c r="AD34" s="30">
        <f>'льготный период'!AB21</f>
        <v>2.2599999999999999E-2</v>
      </c>
      <c r="AE34" s="65">
        <f t="shared" si="6"/>
        <v>6.93E-2</v>
      </c>
      <c r="AF34" s="30">
        <f>'льготный период'!K21</f>
        <v>6.93E-2</v>
      </c>
      <c r="AG34" s="66">
        <f t="shared" si="7"/>
        <v>9.6100000000000005E-2</v>
      </c>
      <c r="AH34" s="66">
        <f>' на весь срок'!AE21</f>
        <v>6.5799999999999997E-2</v>
      </c>
      <c r="AI34" s="30">
        <f>'льготный период'!W21</f>
        <v>4.6399999999999997E-2</v>
      </c>
      <c r="AJ34" s="30">
        <f>'льготный период'!Q21</f>
        <v>5.4100000000000002E-2</v>
      </c>
      <c r="AK34" s="30">
        <f>'льготный период'!AC21</f>
        <v>4.6899999999999997E-2</v>
      </c>
    </row>
    <row r="35" spans="1:37" x14ac:dyDescent="0.25">
      <c r="A35" s="27">
        <f t="shared" si="8"/>
        <v>16</v>
      </c>
      <c r="B35" s="65">
        <f t="shared" si="1"/>
        <v>4.4999999999999991E-2</v>
      </c>
      <c r="C35" s="65">
        <f t="shared" si="2"/>
        <v>1.7500000000000002E-2</v>
      </c>
      <c r="D35" s="30">
        <f>IF($A$13=$A$17,' на весь срок'!I21,'льготный период'!H22)</f>
        <v>4.4999999999999991E-2</v>
      </c>
      <c r="E35" s="30">
        <f>IF($A$13=$A$17,' на весь срок'!C21,'льготный период'!B22)</f>
        <v>6.5000000000000002E-2</v>
      </c>
      <c r="F35" s="30">
        <f>' на весь срок'!AA22</f>
        <v>3.4999999999999996E-2</v>
      </c>
      <c r="G35" s="30">
        <f>' на весь срок'!S21</f>
        <v>0.17399999999999999</v>
      </c>
      <c r="H35" s="30">
        <f>' на весь срок'!N21</f>
        <v>0.17399999999999999</v>
      </c>
      <c r="I35" s="30">
        <f>' на весь срок'!W21</f>
        <v>0.17499999999999999</v>
      </c>
      <c r="J35" s="65">
        <f t="shared" si="3"/>
        <v>0.10780000000000001</v>
      </c>
      <c r="K35" s="30">
        <f>' на весь срок'!J21</f>
        <v>0.10780000000000001</v>
      </c>
      <c r="L35" s="30">
        <f>' на весь срок'!D21</f>
        <v>0.1022</v>
      </c>
      <c r="M35" s="30">
        <f>' на весь срок'!AB22</f>
        <v>0.1067</v>
      </c>
      <c r="N35" s="30">
        <f>' на весь срок'!T21</f>
        <v>5.6800000000000003E-2</v>
      </c>
      <c r="O35" s="30">
        <f>' на весь срок'!O21</f>
        <v>6.5199999999999994E-2</v>
      </c>
      <c r="P35" s="30">
        <f>' на весь срок'!X21</f>
        <v>5.7500000000000002E-2</v>
      </c>
      <c r="Q35" s="65">
        <f t="shared" si="4"/>
        <v>1.7500000000000002E-2</v>
      </c>
      <c r="R35" s="30">
        <f>'льготный период'!I22</f>
        <v>1.7500000000000002E-2</v>
      </c>
      <c r="S35" s="30">
        <f>'льготный период'!C22</f>
        <v>2.3900000000000001E-2</v>
      </c>
      <c r="T35" s="30">
        <f>' на весь срок'!AC22</f>
        <v>2.3900000000000001E-2</v>
      </c>
      <c r="U35" s="30">
        <f>'льготный период'!U22</f>
        <v>1.29E-2</v>
      </c>
      <c r="V35" s="30">
        <f>'льготный период'!O22</f>
        <v>1.49E-2</v>
      </c>
      <c r="W35" s="30">
        <f>'льготный период'!AA22</f>
        <v>1.2500000000000001E-2</v>
      </c>
      <c r="X35" s="65">
        <f t="shared" si="5"/>
        <v>3.3700000000000001E-2</v>
      </c>
      <c r="Y35" s="30">
        <f>'льготный период'!J22</f>
        <v>3.3700000000000001E-2</v>
      </c>
      <c r="Z35" s="30">
        <f>'льготный период'!D22</f>
        <v>3.7499999999999999E-2</v>
      </c>
      <c r="AA35" s="30">
        <f>' на весь срок'!AD22</f>
        <v>3.7199999999999997E-2</v>
      </c>
      <c r="AB35" s="30">
        <f>'льготный период'!V22</f>
        <v>2.46E-2</v>
      </c>
      <c r="AC35" s="30">
        <f>'льготный период'!P22</f>
        <v>2.8400000000000002E-2</v>
      </c>
      <c r="AD35" s="30">
        <f>'льготный период'!AB22</f>
        <v>2.4500000000000001E-2</v>
      </c>
      <c r="AE35" s="65">
        <f t="shared" si="6"/>
        <v>7.3400000000000007E-2</v>
      </c>
      <c r="AF35" s="30">
        <f>'льготный период'!K22</f>
        <v>7.3400000000000007E-2</v>
      </c>
      <c r="AG35" s="66">
        <f t="shared" si="7"/>
        <v>0.1022</v>
      </c>
      <c r="AH35" s="66">
        <f>' на весь срок'!AE22</f>
        <v>6.9800000000000001E-2</v>
      </c>
      <c r="AI35" s="30">
        <f>'льготный период'!W22</f>
        <v>5.0200000000000002E-2</v>
      </c>
      <c r="AJ35" s="30">
        <f>'льготный период'!Q22</f>
        <v>5.8000000000000003E-2</v>
      </c>
      <c r="AK35" s="30">
        <f>'льготный период'!AC22</f>
        <v>5.0700000000000002E-2</v>
      </c>
    </row>
    <row r="36" spans="1:37" x14ac:dyDescent="0.25">
      <c r="A36" s="27">
        <f t="shared" ref="A36:A57" si="9">A35+1</f>
        <v>17</v>
      </c>
      <c r="B36" s="65">
        <f t="shared" si="1"/>
        <v>4.3999999999999991E-2</v>
      </c>
      <c r="C36" s="65">
        <f t="shared" si="2"/>
        <v>1.8499999999999999E-2</v>
      </c>
      <c r="D36" s="30">
        <f>IF($A$13=$A$17,' на весь срок'!I22,'льготный период'!H23)</f>
        <v>4.3999999999999991E-2</v>
      </c>
      <c r="E36" s="30">
        <f>IF($A$13=$A$17,' на весь срок'!C22,'льготный период'!B23)</f>
        <v>6.4000000000000001E-2</v>
      </c>
      <c r="F36" s="30">
        <f>' на весь срок'!AA23</f>
        <v>3.3999999999999996E-2</v>
      </c>
      <c r="G36" s="30">
        <f>' на весь срок'!S22</f>
        <v>0.17299999999999999</v>
      </c>
      <c r="H36" s="30">
        <f>' на весь срок'!N22</f>
        <v>0.17299999999999999</v>
      </c>
      <c r="I36" s="30">
        <f>' на весь срок'!W22</f>
        <v>0.17399999999999999</v>
      </c>
      <c r="J36" s="65">
        <f t="shared" si="3"/>
        <v>0.1137</v>
      </c>
      <c r="K36" s="30">
        <f>' на весь срок'!J22</f>
        <v>0.1137</v>
      </c>
      <c r="L36" s="30">
        <f>' на весь срок'!D22</f>
        <v>0.1082</v>
      </c>
      <c r="M36" s="30">
        <f>' на весь срок'!AB23</f>
        <v>0.1129</v>
      </c>
      <c r="N36" s="30">
        <f>' на весь срок'!T22</f>
        <v>6.1100000000000002E-2</v>
      </c>
      <c r="O36" s="30">
        <f>' на весь срок'!O22</f>
        <v>6.9400000000000003E-2</v>
      </c>
      <c r="P36" s="30">
        <f>' на весь срок'!X22</f>
        <v>6.1800000000000001E-2</v>
      </c>
      <c r="Q36" s="65">
        <f t="shared" si="4"/>
        <v>1.8499999999999999E-2</v>
      </c>
      <c r="R36" s="30">
        <f>'льготный период'!I23</f>
        <v>1.8499999999999999E-2</v>
      </c>
      <c r="S36" s="30">
        <f>'льготный период'!C23</f>
        <v>2.4799999999999999E-2</v>
      </c>
      <c r="T36" s="30">
        <f>' на весь срок'!AC23</f>
        <v>2.4799999999999999E-2</v>
      </c>
      <c r="U36" s="30">
        <f>'льготный период'!U23</f>
        <v>1.3899999999999999E-2</v>
      </c>
      <c r="V36" s="30">
        <f>'льготный период'!O23</f>
        <v>1.5900000000000001E-2</v>
      </c>
      <c r="W36" s="30">
        <f>'льготный период'!AA23</f>
        <v>1.35E-2</v>
      </c>
      <c r="X36" s="65">
        <f t="shared" si="5"/>
        <v>3.56E-2</v>
      </c>
      <c r="Y36" s="30">
        <f>'льготный период'!J23</f>
        <v>3.56E-2</v>
      </c>
      <c r="Z36" s="30">
        <f>'льготный период'!D23</f>
        <v>3.9300000000000002E-2</v>
      </c>
      <c r="AA36" s="30">
        <f>' на весь срок'!AD23</f>
        <v>3.9E-2</v>
      </c>
      <c r="AB36" s="30">
        <f>'льготный период'!V23</f>
        <v>2.6499999999999999E-2</v>
      </c>
      <c r="AC36" s="30">
        <f>'льготный период'!P23</f>
        <v>3.0300000000000001E-2</v>
      </c>
      <c r="AD36" s="30">
        <f>'льготный период'!AB23</f>
        <v>2.64E-2</v>
      </c>
      <c r="AE36" s="65">
        <f t="shared" si="6"/>
        <v>7.7499999999999999E-2</v>
      </c>
      <c r="AF36" s="30">
        <f>'льготный период'!K23</f>
        <v>7.7499999999999999E-2</v>
      </c>
      <c r="AG36" s="66">
        <f t="shared" si="7"/>
        <v>0.1082</v>
      </c>
      <c r="AH36" s="66">
        <f>' на весь срок'!AE23</f>
        <v>7.3700000000000002E-2</v>
      </c>
      <c r="AI36" s="30">
        <f>'льготный период'!W23</f>
        <v>5.3999999999999999E-2</v>
      </c>
      <c r="AJ36" s="30">
        <f>'льготный период'!Q23</f>
        <v>6.1800000000000001E-2</v>
      </c>
      <c r="AK36" s="30">
        <f>'льготный период'!AC23</f>
        <v>5.4600000000000003E-2</v>
      </c>
    </row>
    <row r="37" spans="1:37" x14ac:dyDescent="0.25">
      <c r="A37" s="27">
        <f t="shared" si="9"/>
        <v>18</v>
      </c>
      <c r="B37" s="65">
        <f t="shared" si="1"/>
        <v>4.299999999999999E-2</v>
      </c>
      <c r="C37" s="65">
        <f t="shared" si="2"/>
        <v>1.95E-2</v>
      </c>
      <c r="D37" s="30">
        <f>IF($A$13=$A$17,' на весь срок'!I23,'льготный период'!H24)</f>
        <v>4.299999999999999E-2</v>
      </c>
      <c r="E37" s="30">
        <f>IF($A$13=$A$17,' на весь срок'!C23,'льготный период'!B24)</f>
        <v>6.3E-2</v>
      </c>
      <c r="F37" s="30">
        <f>' на весь срок'!AA24</f>
        <v>3.2999999999999995E-2</v>
      </c>
      <c r="G37" s="30">
        <f>' на весь срок'!S23</f>
        <v>0.17199999999999999</v>
      </c>
      <c r="H37" s="30">
        <f>' на весь срок'!N23</f>
        <v>0.17199999999999999</v>
      </c>
      <c r="I37" s="30">
        <f>' на весь срок'!W23</f>
        <v>0.17299999999999999</v>
      </c>
      <c r="J37" s="65">
        <f t="shared" si="3"/>
        <v>0.1196</v>
      </c>
      <c r="K37" s="30">
        <f>' на весь срок'!J23</f>
        <v>0.1196</v>
      </c>
      <c r="L37" s="30">
        <f>' на весь срок'!D23</f>
        <v>0.1142</v>
      </c>
      <c r="M37" s="30">
        <f>' на весь срок'!AB24</f>
        <v>0.1192</v>
      </c>
      <c r="N37" s="30">
        <f>' на весь срок'!T23</f>
        <v>6.54E-2</v>
      </c>
      <c r="O37" s="30">
        <f>' на весь срок'!O23</f>
        <v>7.3700000000000002E-2</v>
      </c>
      <c r="P37" s="30">
        <f>' на весь срок'!X23</f>
        <v>6.6100000000000006E-2</v>
      </c>
      <c r="Q37" s="65">
        <f t="shared" si="4"/>
        <v>1.95E-2</v>
      </c>
      <c r="R37" s="30">
        <f>'льготный период'!I24</f>
        <v>1.95E-2</v>
      </c>
      <c r="S37" s="30">
        <f>'льготный период'!C24</f>
        <v>2.58E-2</v>
      </c>
      <c r="T37" s="30">
        <f>' на весь срок'!AC24</f>
        <v>2.58E-2</v>
      </c>
      <c r="U37" s="30">
        <f>'льготный период'!U24</f>
        <v>1.49E-2</v>
      </c>
      <c r="V37" s="30">
        <f>'льготный период'!O24</f>
        <v>1.6899999999999998E-2</v>
      </c>
      <c r="W37" s="30">
        <f>'льготный период'!AA24</f>
        <v>1.44E-2</v>
      </c>
      <c r="X37" s="65">
        <f t="shared" si="5"/>
        <v>3.7499999999999999E-2</v>
      </c>
      <c r="Y37" s="30">
        <f>'льготный период'!J24</f>
        <v>3.7499999999999999E-2</v>
      </c>
      <c r="Z37" s="30">
        <f>'льготный период'!D24</f>
        <v>4.1200000000000001E-2</v>
      </c>
      <c r="AA37" s="30">
        <f>' на весь срок'!AD24</f>
        <v>4.0800000000000003E-2</v>
      </c>
      <c r="AB37" s="30">
        <f>'льготный период'!V24</f>
        <v>2.8400000000000002E-2</v>
      </c>
      <c r="AC37" s="30">
        <f>'льготный период'!P24</f>
        <v>3.2199999999999999E-2</v>
      </c>
      <c r="AD37" s="30">
        <f>'льготный период'!AB24</f>
        <v>2.8199999999999999E-2</v>
      </c>
      <c r="AE37" s="65">
        <f t="shared" si="6"/>
        <v>8.1600000000000006E-2</v>
      </c>
      <c r="AF37" s="30">
        <f>'льготный период'!K24</f>
        <v>8.1600000000000006E-2</v>
      </c>
      <c r="AG37" s="66">
        <f t="shared" si="7"/>
        <v>0.1142</v>
      </c>
      <c r="AH37" s="66">
        <f>' на весь срок'!AE24</f>
        <v>7.7700000000000005E-2</v>
      </c>
      <c r="AI37" s="30">
        <f>'льготный период'!W24</f>
        <v>5.7799999999999997E-2</v>
      </c>
      <c r="AJ37" s="30">
        <f>'льготный период'!Q24</f>
        <v>6.5600000000000006E-2</v>
      </c>
      <c r="AK37" s="30">
        <f>'льготный период'!AC24</f>
        <v>5.8400000000000001E-2</v>
      </c>
    </row>
    <row r="38" spans="1:37" x14ac:dyDescent="0.25">
      <c r="A38" s="27">
        <f t="shared" si="9"/>
        <v>19</v>
      </c>
      <c r="B38" s="65">
        <f t="shared" si="1"/>
        <v>4.1999999999999989E-2</v>
      </c>
      <c r="C38" s="65">
        <f t="shared" si="2"/>
        <v>2.0500000000000001E-2</v>
      </c>
      <c r="D38" s="30">
        <f>IF($A$13=$A$17,' на весь срок'!I24,'льготный период'!H25)</f>
        <v>4.1999999999999989E-2</v>
      </c>
      <c r="E38" s="30">
        <f>IF($A$13=$A$17,' на весь срок'!C24,'льготный период'!B25)</f>
        <v>6.1999999999999993E-2</v>
      </c>
      <c r="F38" s="30">
        <f>' на весь срок'!AA25</f>
        <v>3.1999999999999994E-2</v>
      </c>
      <c r="G38" s="30">
        <f>' на весь срок'!S24</f>
        <v>0.17099999999999999</v>
      </c>
      <c r="H38" s="30">
        <f>' на весь срок'!N24</f>
        <v>0.17099999999999999</v>
      </c>
      <c r="I38" s="30">
        <f>' на весь срок'!W24</f>
        <v>0.17199999999999999</v>
      </c>
      <c r="J38" s="65">
        <f t="shared" si="3"/>
        <v>0.12540000000000001</v>
      </c>
      <c r="K38" s="30">
        <f>' на весь срок'!J24</f>
        <v>0.12540000000000001</v>
      </c>
      <c r="L38" s="30">
        <f>' на весь срок'!D24</f>
        <v>0.1202</v>
      </c>
      <c r="M38" s="30">
        <f>' на весь срок'!AB25</f>
        <v>0.12540000000000001</v>
      </c>
      <c r="N38" s="30">
        <f>' на весь срок'!T24</f>
        <v>6.9699999999999998E-2</v>
      </c>
      <c r="O38" s="30">
        <f>' на весь срок'!O24</f>
        <v>7.7899999999999997E-2</v>
      </c>
      <c r="P38" s="30">
        <f>' на весь срок'!X24</f>
        <v>7.0400000000000004E-2</v>
      </c>
      <c r="Q38" s="65">
        <f t="shared" si="4"/>
        <v>2.0500000000000001E-2</v>
      </c>
      <c r="R38" s="30">
        <f>'льготный период'!I25</f>
        <v>2.0500000000000001E-2</v>
      </c>
      <c r="S38" s="30">
        <f>'льготный период'!C25</f>
        <v>2.6800000000000001E-2</v>
      </c>
      <c r="T38" s="30">
        <f>' на весь срок'!AC25</f>
        <v>2.6700000000000002E-2</v>
      </c>
      <c r="U38" s="30">
        <f>'льготный период'!U25</f>
        <v>1.5900000000000001E-2</v>
      </c>
      <c r="V38" s="30">
        <f>'льготный период'!O25</f>
        <v>1.7899999999999999E-2</v>
      </c>
      <c r="W38" s="30">
        <f>'льготный период'!AA25</f>
        <v>1.54E-2</v>
      </c>
      <c r="X38" s="65">
        <f t="shared" si="5"/>
        <v>3.9399999999999998E-2</v>
      </c>
      <c r="Y38" s="30">
        <f>'льготный период'!J25</f>
        <v>3.9399999999999998E-2</v>
      </c>
      <c r="Z38" s="30">
        <f>'льготный период'!D25</f>
        <v>4.2999999999999997E-2</v>
      </c>
      <c r="AA38" s="30">
        <f>' на весь срок'!AD25</f>
        <v>4.2700000000000002E-2</v>
      </c>
      <c r="AB38" s="30">
        <f>'льготный период'!V25</f>
        <v>3.0300000000000001E-2</v>
      </c>
      <c r="AC38" s="30">
        <f>'льготный период'!P25</f>
        <v>3.4099999999999998E-2</v>
      </c>
      <c r="AD38" s="30">
        <f>'льготный период'!AB25</f>
        <v>3.0099999999999998E-2</v>
      </c>
      <c r="AE38" s="65">
        <f t="shared" si="6"/>
        <v>8.5599999999999996E-2</v>
      </c>
      <c r="AF38" s="30">
        <f>'льготный период'!K25</f>
        <v>8.5599999999999996E-2</v>
      </c>
      <c r="AG38" s="66">
        <f t="shared" si="7"/>
        <v>0.1202</v>
      </c>
      <c r="AH38" s="66">
        <f>' на весь срок'!AE25</f>
        <v>8.1600000000000006E-2</v>
      </c>
      <c r="AI38" s="30">
        <f>'льготный период'!W25</f>
        <v>6.1699999999999998E-2</v>
      </c>
      <c r="AJ38" s="30">
        <f>'льготный период'!Q25</f>
        <v>6.9400000000000003E-2</v>
      </c>
      <c r="AK38" s="30">
        <f>'льготный период'!AC25</f>
        <v>6.2199999999999998E-2</v>
      </c>
    </row>
    <row r="39" spans="1:37" x14ac:dyDescent="0.25">
      <c r="A39" s="27">
        <f t="shared" si="9"/>
        <v>20</v>
      </c>
      <c r="B39" s="65">
        <f t="shared" si="1"/>
        <v>4.0999999999999988E-2</v>
      </c>
      <c r="C39" s="65">
        <f t="shared" si="2"/>
        <v>2.1499999999999998E-2</v>
      </c>
      <c r="D39" s="30">
        <f>IF($A$13=$A$17,' на весь срок'!I25,'льготный период'!H26)</f>
        <v>4.0999999999999988E-2</v>
      </c>
      <c r="E39" s="30">
        <f>IF($A$13=$A$17,' на весь срок'!C25,'льготный период'!B26)</f>
        <v>6.0999999999999992E-2</v>
      </c>
      <c r="F39" s="30">
        <f>' на весь срок'!AA26</f>
        <v>3.0999999999999993E-2</v>
      </c>
      <c r="G39" s="30">
        <f>' на весь срок'!S25</f>
        <v>0.16999999999999998</v>
      </c>
      <c r="H39" s="30">
        <f>' на весь срок'!N25</f>
        <v>0.16999999999999998</v>
      </c>
      <c r="I39" s="30">
        <f>' на весь срок'!W25</f>
        <v>0.17099999999999999</v>
      </c>
      <c r="J39" s="65">
        <f t="shared" si="3"/>
        <v>0.1313</v>
      </c>
      <c r="K39" s="30">
        <f>' на весь срок'!J25</f>
        <v>0.1313</v>
      </c>
      <c r="L39" s="30">
        <f>' на весь срок'!D25</f>
        <v>0.12620000000000001</v>
      </c>
      <c r="M39" s="30">
        <f>' на весь срок'!AB26</f>
        <v>0.13159999999999999</v>
      </c>
      <c r="N39" s="30">
        <f>' на весь срок'!T25</f>
        <v>7.3999999999999996E-2</v>
      </c>
      <c r="O39" s="30">
        <f>' на весь срок'!O25</f>
        <v>8.2199999999999995E-2</v>
      </c>
      <c r="P39" s="30">
        <f>' на весь срок'!X25</f>
        <v>7.4700000000000003E-2</v>
      </c>
      <c r="Q39" s="65">
        <f t="shared" si="4"/>
        <v>2.1499999999999998E-2</v>
      </c>
      <c r="R39" s="30">
        <f>'льготный период'!I26</f>
        <v>2.1499999999999998E-2</v>
      </c>
      <c r="S39" s="30">
        <f>'льготный период'!C26</f>
        <v>2.7699999999999999E-2</v>
      </c>
      <c r="T39" s="30">
        <f>' на весь срок'!AC26</f>
        <v>2.7699999999999999E-2</v>
      </c>
      <c r="U39" s="30">
        <f>'льготный период'!U26</f>
        <v>1.6899999999999998E-2</v>
      </c>
      <c r="V39" s="30">
        <f>'льготный период'!O26</f>
        <v>1.89E-2</v>
      </c>
      <c r="W39" s="30">
        <f>'льготный период'!AA26</f>
        <v>1.6400000000000001E-2</v>
      </c>
      <c r="X39" s="65">
        <f t="shared" si="5"/>
        <v>4.1200000000000001E-2</v>
      </c>
      <c r="Y39" s="30">
        <f>'льготный период'!J26</f>
        <v>4.1200000000000001E-2</v>
      </c>
      <c r="Z39" s="30">
        <f>'льготный период'!D26</f>
        <v>4.4900000000000002E-2</v>
      </c>
      <c r="AA39" s="30">
        <f>' на весь срок'!AD26</f>
        <v>4.4499999999999998E-2</v>
      </c>
      <c r="AB39" s="30">
        <f>'льготный период'!V26</f>
        <v>3.2199999999999999E-2</v>
      </c>
      <c r="AC39" s="30">
        <f>'льготный период'!P26</f>
        <v>3.5999999999999997E-2</v>
      </c>
      <c r="AD39" s="30">
        <f>'льготный период'!AB26</f>
        <v>3.2000000000000001E-2</v>
      </c>
      <c r="AE39" s="65">
        <f t="shared" si="6"/>
        <v>8.9700000000000002E-2</v>
      </c>
      <c r="AF39" s="30">
        <f>'льготный период'!K26</f>
        <v>8.9700000000000002E-2</v>
      </c>
      <c r="AG39" s="66">
        <f t="shared" si="7"/>
        <v>0.12620000000000001</v>
      </c>
      <c r="AH39" s="66">
        <f>' на весь срок'!AE26</f>
        <v>8.5599999999999996E-2</v>
      </c>
      <c r="AI39" s="30">
        <f>'льготный период'!W26</f>
        <v>6.5500000000000003E-2</v>
      </c>
      <c r="AJ39" s="30">
        <f>'льготный период'!Q26</f>
        <v>7.3200000000000001E-2</v>
      </c>
      <c r="AK39" s="30">
        <f>'льготный период'!AC26</f>
        <v>6.6000000000000003E-2</v>
      </c>
    </row>
    <row r="40" spans="1:37" x14ac:dyDescent="0.25">
      <c r="A40" s="27">
        <f t="shared" si="9"/>
        <v>21</v>
      </c>
      <c r="B40" s="65">
        <f t="shared" si="1"/>
        <v>3.9999999999999987E-2</v>
      </c>
      <c r="C40" s="65">
        <f t="shared" si="2"/>
        <v>2.2499999999999999E-2</v>
      </c>
      <c r="D40" s="30">
        <f>IF($A$13=$A$17,' на весь срок'!I26,'льготный период'!H27)</f>
        <v>3.9999999999999987E-2</v>
      </c>
      <c r="E40" s="30">
        <f>IF($A$13=$A$17,' на весь срок'!C26,'льготный период'!B27)</f>
        <v>5.9999999999999991E-2</v>
      </c>
      <c r="F40" s="30">
        <f>' на весь срок'!AA27</f>
        <v>2.9999999999999992E-2</v>
      </c>
      <c r="G40" s="30">
        <f>' на весь срок'!S26</f>
        <v>0.16899999999999998</v>
      </c>
      <c r="H40" s="30">
        <f>' на весь срок'!N26</f>
        <v>0.16899999999999998</v>
      </c>
      <c r="I40" s="30">
        <f>' на весь срок'!W26</f>
        <v>0.16999999999999998</v>
      </c>
      <c r="J40" s="65">
        <f t="shared" si="3"/>
        <v>0.1371</v>
      </c>
      <c r="K40" s="30">
        <f>' на весь срок'!J26</f>
        <v>0.1371</v>
      </c>
      <c r="L40" s="30">
        <f>' на весь срок'!D26</f>
        <v>0.13220000000000001</v>
      </c>
      <c r="M40" s="30">
        <f>' на весь срок'!AB27</f>
        <v>0.13769999999999999</v>
      </c>
      <c r="N40" s="30">
        <f>' на весь срок'!T26</f>
        <v>7.8200000000000006E-2</v>
      </c>
      <c r="O40" s="30">
        <f>' на весь срок'!O26</f>
        <v>8.6400000000000005E-2</v>
      </c>
      <c r="P40" s="30">
        <f>' на весь срок'!X26</f>
        <v>7.8899999999999998E-2</v>
      </c>
      <c r="Q40" s="65">
        <f t="shared" si="4"/>
        <v>2.2499999999999999E-2</v>
      </c>
      <c r="R40" s="30">
        <f>'льготный период'!I27</f>
        <v>2.2499999999999999E-2</v>
      </c>
      <c r="S40" s="30">
        <f>'льготный период'!C27</f>
        <v>2.87E-2</v>
      </c>
      <c r="T40" s="30">
        <f>' на весь срок'!AC27</f>
        <v>2.87E-2</v>
      </c>
      <c r="U40" s="30">
        <f>'льготный период'!U27</f>
        <v>1.7899999999999999E-2</v>
      </c>
      <c r="V40" s="30">
        <f>'льготный период'!O27</f>
        <v>1.9900000000000001E-2</v>
      </c>
      <c r="W40" s="30">
        <f>'льготный период'!AA27</f>
        <v>1.7399999999999999E-2</v>
      </c>
      <c r="X40" s="65">
        <f t="shared" si="5"/>
        <v>4.3099999999999999E-2</v>
      </c>
      <c r="Y40" s="30">
        <f>'льготный период'!J27</f>
        <v>4.3099999999999999E-2</v>
      </c>
      <c r="Z40" s="30">
        <f>'льготный период'!D27</f>
        <v>4.6800000000000001E-2</v>
      </c>
      <c r="AA40" s="30">
        <f>' на весь срок'!AD27</f>
        <v>4.6399999999999997E-2</v>
      </c>
      <c r="AB40" s="30">
        <f>'льготный период'!V27</f>
        <v>3.4099999999999998E-2</v>
      </c>
      <c r="AC40" s="30">
        <f>'льготный период'!P27</f>
        <v>3.7900000000000003E-2</v>
      </c>
      <c r="AD40" s="30">
        <f>'льготный период'!AB27</f>
        <v>3.39E-2</v>
      </c>
      <c r="AE40" s="65">
        <f t="shared" si="6"/>
        <v>9.3700000000000006E-2</v>
      </c>
      <c r="AF40" s="30">
        <f>'льготный период'!K27</f>
        <v>9.3700000000000006E-2</v>
      </c>
      <c r="AG40" s="66">
        <f t="shared" si="7"/>
        <v>0.13220000000000001</v>
      </c>
      <c r="AH40" s="66">
        <f>' на весь срок'!AE27</f>
        <v>8.9499999999999996E-2</v>
      </c>
      <c r="AI40" s="30">
        <f>'льготный период'!W27</f>
        <v>6.93E-2</v>
      </c>
      <c r="AJ40" s="30">
        <f>'льготный период'!Q27</f>
        <v>7.6999999999999999E-2</v>
      </c>
      <c r="AK40" s="30">
        <f>'льготный период'!AC27</f>
        <v>6.9800000000000001E-2</v>
      </c>
    </row>
    <row r="41" spans="1:37" x14ac:dyDescent="0.25">
      <c r="A41" s="27">
        <f t="shared" si="9"/>
        <v>22</v>
      </c>
      <c r="B41" s="65">
        <f t="shared" si="1"/>
        <v>3.8999999999999986E-2</v>
      </c>
      <c r="C41" s="65">
        <f t="shared" si="2"/>
        <v>2.3400000000000001E-2</v>
      </c>
      <c r="D41" s="30">
        <f>IF($A$13=$A$17,' на весь срок'!I27,'льготный период'!H28)</f>
        <v>3.8999999999999986E-2</v>
      </c>
      <c r="E41" s="30">
        <f>IF($A$13=$A$17,' на весь срок'!C27,'льготный период'!B28)</f>
        <v>5.899999999999999E-2</v>
      </c>
      <c r="F41" s="30">
        <f>' на весь срок'!AA28</f>
        <v>2.8999999999999991E-2</v>
      </c>
      <c r="G41" s="30">
        <f>' на весь срок'!S27</f>
        <v>0.16799999999999998</v>
      </c>
      <c r="H41" s="30">
        <f>' на весь срок'!N27</f>
        <v>0.16799999999999998</v>
      </c>
      <c r="I41" s="30">
        <f>' на весь срок'!W27</f>
        <v>0.16899999999999998</v>
      </c>
      <c r="J41" s="65">
        <f t="shared" si="3"/>
        <v>0.1429</v>
      </c>
      <c r="K41" s="30">
        <f>' на весь срок'!J27</f>
        <v>0.1429</v>
      </c>
      <c r="L41" s="30">
        <f>' на весь срок'!D27</f>
        <v>0.1381</v>
      </c>
      <c r="M41" s="30">
        <f>' на весь срок'!AB28</f>
        <v>0.16839999999999999</v>
      </c>
      <c r="N41" s="30">
        <f>' на весь срок'!T27</f>
        <v>8.2500000000000004E-2</v>
      </c>
      <c r="O41" s="30">
        <f>' на весь срок'!O27</f>
        <v>9.0700000000000003E-2</v>
      </c>
      <c r="P41" s="30">
        <f>' на весь срок'!X27</f>
        <v>8.3199999999999996E-2</v>
      </c>
      <c r="Q41" s="65">
        <f t="shared" si="4"/>
        <v>2.3400000000000001E-2</v>
      </c>
      <c r="R41" s="30">
        <f>'льготный период'!I28</f>
        <v>2.3400000000000001E-2</v>
      </c>
      <c r="S41" s="30">
        <f>'льготный период'!C28</f>
        <v>2.9700000000000001E-2</v>
      </c>
      <c r="T41" s="30">
        <f>' на весь срок'!AC28</f>
        <v>2.9600000000000001E-2</v>
      </c>
      <c r="U41" s="30">
        <f>'льготный период'!U28</f>
        <v>1.89E-2</v>
      </c>
      <c r="V41" s="30">
        <f>'льготный период'!O28</f>
        <v>2.0899999999999998E-2</v>
      </c>
      <c r="W41" s="30">
        <f>'льготный период'!AA28</f>
        <v>1.84E-2</v>
      </c>
      <c r="X41" s="65">
        <f t="shared" si="5"/>
        <v>4.4999999999999998E-2</v>
      </c>
      <c r="Y41" s="30">
        <f>'льготный период'!J28</f>
        <v>4.4999999999999998E-2</v>
      </c>
      <c r="Z41" s="30">
        <f>'льготный период'!D28</f>
        <v>4.8599999999999997E-2</v>
      </c>
      <c r="AA41" s="30">
        <f>' на весь срок'!AD28</f>
        <v>4.82E-2</v>
      </c>
      <c r="AB41" s="30">
        <f>'льготный период'!V28</f>
        <v>3.5999999999999997E-2</v>
      </c>
      <c r="AC41" s="30">
        <f>'льготный период'!P28</f>
        <v>3.9699999999999999E-2</v>
      </c>
      <c r="AD41" s="30">
        <f>'льготный период'!AB28</f>
        <v>3.5799999999999998E-2</v>
      </c>
      <c r="AE41" s="65">
        <f t="shared" si="6"/>
        <v>9.7799999999999998E-2</v>
      </c>
      <c r="AF41" s="30">
        <f>'льготный период'!K28</f>
        <v>9.7799999999999998E-2</v>
      </c>
      <c r="AG41" s="66">
        <f t="shared" si="7"/>
        <v>0.1381</v>
      </c>
      <c r="AH41" s="66">
        <f>' на весь срок'!AE28</f>
        <v>9.3399999999999997E-2</v>
      </c>
      <c r="AI41" s="30">
        <f>'льготный период'!W28</f>
        <v>7.3099999999999998E-2</v>
      </c>
      <c r="AJ41" s="30">
        <f>'льготный период'!Q28</f>
        <v>8.0799999999999997E-2</v>
      </c>
      <c r="AK41" s="30">
        <f>'льготный период'!AC28</f>
        <v>7.3599999999999999E-2</v>
      </c>
    </row>
    <row r="42" spans="1:37" x14ac:dyDescent="0.25">
      <c r="A42" s="27">
        <f t="shared" si="9"/>
        <v>23</v>
      </c>
      <c r="B42" s="65">
        <f t="shared" si="1"/>
        <v>3.7999999999999985E-2</v>
      </c>
      <c r="C42" s="65">
        <f t="shared" si="2"/>
        <v>2.4400000000000002E-2</v>
      </c>
      <c r="D42" s="30">
        <f>IF($A$13=$A$17,' на весь срок'!I28,'льготный период'!H29)</f>
        <v>3.7999999999999985E-2</v>
      </c>
      <c r="E42" s="30">
        <f>IF($A$13=$A$17,' на весь срок'!C28,'льготный период'!B29)</f>
        <v>5.7999999999999989E-2</v>
      </c>
      <c r="F42" s="30">
        <f>' на весь срок'!AA29</f>
        <v>2.799999999999999E-2</v>
      </c>
      <c r="G42" s="30">
        <f>' на весь срок'!S28</f>
        <v>0.16699999999999998</v>
      </c>
      <c r="H42" s="30">
        <f>' на весь срок'!N28</f>
        <v>0.16699999999999998</v>
      </c>
      <c r="I42" s="30">
        <f>' на весь срок'!W28</f>
        <v>0.16799999999999998</v>
      </c>
      <c r="J42" s="65">
        <f t="shared" si="3"/>
        <v>0.1487</v>
      </c>
      <c r="K42" s="30">
        <f>' на весь срок'!J28</f>
        <v>0.1487</v>
      </c>
      <c r="L42" s="30">
        <f>' на весь срок'!D28</f>
        <v>0.14399999999999999</v>
      </c>
      <c r="M42" s="30">
        <f>' на весь срок'!AB29</f>
        <v>0.17560000000000001</v>
      </c>
      <c r="N42" s="30">
        <f>' на весь срок'!T28</f>
        <v>8.6800000000000002E-2</v>
      </c>
      <c r="O42" s="30">
        <f>' на весь срок'!O28</f>
        <v>9.4899999999999998E-2</v>
      </c>
      <c r="P42" s="30">
        <f>' на весь срок'!X28</f>
        <v>8.7400000000000005E-2</v>
      </c>
      <c r="Q42" s="65">
        <f t="shared" si="4"/>
        <v>2.4400000000000002E-2</v>
      </c>
      <c r="R42" s="30">
        <f>'льготный период'!I29</f>
        <v>2.4400000000000002E-2</v>
      </c>
      <c r="S42" s="30">
        <f>'льготный период'!C29</f>
        <v>3.0599999999999999E-2</v>
      </c>
      <c r="T42" s="30">
        <f>' на весь срок'!AC29</f>
        <v>3.0599999999999999E-2</v>
      </c>
      <c r="U42" s="30">
        <f>'льготный период'!U29</f>
        <v>1.9900000000000001E-2</v>
      </c>
      <c r="V42" s="30">
        <f>'льготный период'!O29</f>
        <v>2.18E-2</v>
      </c>
      <c r="W42" s="30">
        <f>'льготный период'!AA29</f>
        <v>1.9400000000000001E-2</v>
      </c>
      <c r="X42" s="65">
        <f t="shared" si="5"/>
        <v>4.6899999999999997E-2</v>
      </c>
      <c r="Y42" s="30">
        <f>'льготный период'!J29</f>
        <v>4.6899999999999997E-2</v>
      </c>
      <c r="Z42" s="30">
        <f>'льготный период'!D29</f>
        <v>5.0500000000000003E-2</v>
      </c>
      <c r="AA42" s="30">
        <f>' на весь срок'!AD29</f>
        <v>0.05</v>
      </c>
      <c r="AB42" s="30">
        <f>'льготный период'!V29</f>
        <v>3.78E-2</v>
      </c>
      <c r="AC42" s="30">
        <f>'льготный период'!P29</f>
        <v>4.1599999999999998E-2</v>
      </c>
      <c r="AD42" s="30">
        <f>'льготный период'!AB29</f>
        <v>3.7600000000000001E-2</v>
      </c>
      <c r="AE42" s="65">
        <f t="shared" si="6"/>
        <v>0.1018</v>
      </c>
      <c r="AF42" s="30">
        <f>'льготный период'!K29</f>
        <v>0.1018</v>
      </c>
      <c r="AG42" s="66">
        <f t="shared" si="7"/>
        <v>0.14399999999999999</v>
      </c>
      <c r="AH42" s="66">
        <f>' на весь срок'!AE29</f>
        <v>9.7299999999999998E-2</v>
      </c>
      <c r="AI42" s="30">
        <f>'льготный период'!W29</f>
        <v>7.6899999999999996E-2</v>
      </c>
      <c r="AJ42" s="30">
        <f>'льготный период'!Q29</f>
        <v>8.4599999999999995E-2</v>
      </c>
      <c r="AK42" s="30">
        <f>'льготный период'!AC29</f>
        <v>7.7399999999999997E-2</v>
      </c>
    </row>
    <row r="43" spans="1:37" x14ac:dyDescent="0.25">
      <c r="A43" s="27">
        <f t="shared" si="9"/>
        <v>24</v>
      </c>
      <c r="B43" s="65">
        <f t="shared" si="1"/>
        <v>3.6999999999999984E-2</v>
      </c>
      <c r="C43" s="65">
        <f t="shared" si="2"/>
        <v>2.5399999999999999E-2</v>
      </c>
      <c r="D43" s="30">
        <f>IF($A$13=$A$17,' на весь срок'!I29,'льготный период'!H30)</f>
        <v>3.6999999999999984E-2</v>
      </c>
      <c r="E43" s="30">
        <f>IF($A$13=$A$17,' на весь срок'!C29,'льготный период'!B30)</f>
        <v>5.6999999999999988E-2</v>
      </c>
      <c r="F43" s="30">
        <f>' на весь срок'!AA30</f>
        <v>2.6999999999999989E-2</v>
      </c>
      <c r="G43" s="30">
        <f>' на весь срок'!S29</f>
        <v>0.16599999999999998</v>
      </c>
      <c r="H43" s="30">
        <f>' на весь срок'!N29</f>
        <v>0.16599999999999998</v>
      </c>
      <c r="I43" s="30">
        <f>' на весь срок'!W29</f>
        <v>0.16699999999999998</v>
      </c>
      <c r="J43" s="65">
        <f t="shared" si="3"/>
        <v>0.1545</v>
      </c>
      <c r="K43" s="30">
        <f>' на весь срок'!J29</f>
        <v>0.1545</v>
      </c>
      <c r="L43" s="30">
        <f>' на весь срок'!D29</f>
        <v>0.14990000000000001</v>
      </c>
      <c r="M43" s="30">
        <f>' на весь срок'!AB30</f>
        <v>0.1827</v>
      </c>
      <c r="N43" s="30">
        <f>' на весь срок'!T29</f>
        <v>9.0999999999999998E-2</v>
      </c>
      <c r="O43" s="30">
        <f>' на весь срок'!O29</f>
        <v>9.9099999999999994E-2</v>
      </c>
      <c r="P43" s="30">
        <f>' на весь срок'!X29</f>
        <v>9.1700000000000004E-2</v>
      </c>
      <c r="Q43" s="65">
        <f t="shared" si="4"/>
        <v>2.5399999999999999E-2</v>
      </c>
      <c r="R43" s="30">
        <f>'льготный период'!I30</f>
        <v>2.5399999999999999E-2</v>
      </c>
      <c r="S43" s="30">
        <f>'льготный период'!C30</f>
        <v>3.1600000000000003E-2</v>
      </c>
      <c r="T43" s="30">
        <f>' на весь срок'!AC30</f>
        <v>3.15E-2</v>
      </c>
      <c r="U43" s="30">
        <f>'льготный период'!U30</f>
        <v>2.0899999999999998E-2</v>
      </c>
      <c r="V43" s="30">
        <f>'льготный период'!O30</f>
        <v>2.2800000000000001E-2</v>
      </c>
      <c r="W43" s="30">
        <f>'льготный период'!AA30</f>
        <v>2.0400000000000001E-2</v>
      </c>
      <c r="X43" s="65">
        <f t="shared" si="5"/>
        <v>4.8800000000000003E-2</v>
      </c>
      <c r="Y43" s="30">
        <f>'льготный период'!J30</f>
        <v>4.8800000000000003E-2</v>
      </c>
      <c r="Z43" s="30">
        <f>'льготный период'!D30</f>
        <v>5.2299999999999999E-2</v>
      </c>
      <c r="AA43" s="30">
        <f>' на весь срок'!AD30</f>
        <v>5.1799999999999999E-2</v>
      </c>
      <c r="AB43" s="30">
        <f>'льготный период'!V30</f>
        <v>3.9699999999999999E-2</v>
      </c>
      <c r="AC43" s="30">
        <f>'льготный период'!P30</f>
        <v>4.3499999999999997E-2</v>
      </c>
      <c r="AD43" s="30">
        <f>'льготный период'!AB30</f>
        <v>3.95E-2</v>
      </c>
      <c r="AE43" s="65">
        <f t="shared" si="6"/>
        <v>0.10580000000000001</v>
      </c>
      <c r="AF43" s="30">
        <f>'льготный период'!K30</f>
        <v>0.10580000000000001</v>
      </c>
      <c r="AG43" s="66">
        <f t="shared" si="7"/>
        <v>0.14990000000000001</v>
      </c>
      <c r="AH43" s="66">
        <f>' на весь срок'!AE30</f>
        <v>0.1012</v>
      </c>
      <c r="AI43" s="30">
        <f>'льготный период'!W30</f>
        <v>8.0699999999999994E-2</v>
      </c>
      <c r="AJ43" s="30">
        <f>'льготный период'!Q30</f>
        <v>8.8400000000000006E-2</v>
      </c>
      <c r="AK43" s="30">
        <f>'льготный период'!AC30</f>
        <v>8.1100000000000005E-2</v>
      </c>
    </row>
    <row r="44" spans="1:37" x14ac:dyDescent="0.25">
      <c r="A44" s="27">
        <f t="shared" si="9"/>
        <v>25</v>
      </c>
      <c r="B44" s="65">
        <f t="shared" si="1"/>
        <v>3.5999999999999983E-2</v>
      </c>
      <c r="C44" s="65">
        <f t="shared" si="2"/>
        <v>2.64E-2</v>
      </c>
      <c r="D44" s="30">
        <f>IF($A$13=$A$17,' на весь срок'!I30,'льготный период'!H31)</f>
        <v>3.5999999999999983E-2</v>
      </c>
      <c r="E44" s="30">
        <f>IF($A$13=$A$17,' на весь срок'!C30,'льготный период'!B31)</f>
        <v>5.5999999999999987E-2</v>
      </c>
      <c r="F44" s="30">
        <f>' на весь срок'!AA31</f>
        <v>2.5999999999999988E-2</v>
      </c>
      <c r="G44" s="30">
        <f>' на весь срок'!S30</f>
        <v>0.16499999999999998</v>
      </c>
      <c r="H44" s="30">
        <f>' на весь срок'!N30</f>
        <v>0.16499999999999998</v>
      </c>
      <c r="I44" s="30">
        <f>' на весь срок'!W30</f>
        <v>0.16599999999999998</v>
      </c>
      <c r="J44" s="65">
        <f t="shared" si="3"/>
        <v>0.16020000000000001</v>
      </c>
      <c r="K44" s="30">
        <f>' на весь срок'!J30</f>
        <v>0.16020000000000001</v>
      </c>
      <c r="L44" s="30">
        <f>' на весь срок'!D30</f>
        <v>0.15579999999999999</v>
      </c>
      <c r="M44" s="30">
        <f>' на весь срок'!AB31</f>
        <v>0.1898</v>
      </c>
      <c r="N44" s="30">
        <f>' на весь срок'!T30</f>
        <v>9.5299999999999996E-2</v>
      </c>
      <c r="O44" s="30">
        <f>' на весь срок'!O30</f>
        <v>0.1033</v>
      </c>
      <c r="P44" s="30">
        <f>' на весь срок'!X30</f>
        <v>9.5899999999999999E-2</v>
      </c>
      <c r="Q44" s="65">
        <f t="shared" si="4"/>
        <v>2.64E-2</v>
      </c>
      <c r="R44" s="30">
        <f>'льготный период'!I31</f>
        <v>2.64E-2</v>
      </c>
      <c r="S44" s="30">
        <f>'льготный период'!C31</f>
        <v>3.2599999999999997E-2</v>
      </c>
      <c r="T44" s="30">
        <f>' на весь срок'!AC31</f>
        <v>3.2500000000000001E-2</v>
      </c>
      <c r="U44" s="30">
        <f>'льготный период'!U31</f>
        <v>2.18E-2</v>
      </c>
      <c r="V44" s="30">
        <f>'льготный период'!O31</f>
        <v>2.3800000000000002E-2</v>
      </c>
      <c r="W44" s="30">
        <f>'льготный период'!AA31</f>
        <v>2.1399999999999999E-2</v>
      </c>
      <c r="X44" s="65">
        <f t="shared" si="5"/>
        <v>5.0700000000000002E-2</v>
      </c>
      <c r="Y44" s="30">
        <f>'льготный период'!J31</f>
        <v>5.0700000000000002E-2</v>
      </c>
      <c r="Z44" s="30">
        <f>'льготный период'!D31</f>
        <v>5.4199999999999998E-2</v>
      </c>
      <c r="AA44" s="30">
        <f>' на весь срок'!AD31</f>
        <v>5.3699999999999998E-2</v>
      </c>
      <c r="AB44" s="30">
        <f>'льготный период'!V31</f>
        <v>4.1599999999999998E-2</v>
      </c>
      <c r="AC44" s="30">
        <f>'льготный период'!P31</f>
        <v>4.5400000000000003E-2</v>
      </c>
      <c r="AD44" s="30">
        <f>'льготный период'!AB31</f>
        <v>4.1399999999999999E-2</v>
      </c>
      <c r="AE44" s="65">
        <f t="shared" si="6"/>
        <v>0.10979999999999999</v>
      </c>
      <c r="AF44" s="30">
        <f>'льготный период'!K31</f>
        <v>0.10979999999999999</v>
      </c>
      <c r="AG44" s="66">
        <f t="shared" si="7"/>
        <v>0.15579999999999999</v>
      </c>
      <c r="AH44" s="66">
        <f>' на весь срок'!AE31</f>
        <v>0.1051</v>
      </c>
      <c r="AI44" s="30">
        <f>'льготный период'!W31</f>
        <v>8.4500000000000006E-2</v>
      </c>
      <c r="AJ44" s="30">
        <f>'льготный период'!Q31</f>
        <v>9.2100000000000001E-2</v>
      </c>
      <c r="AK44" s="30">
        <f>'льготный период'!AC31</f>
        <v>8.4900000000000003E-2</v>
      </c>
    </row>
    <row r="45" spans="1:37" x14ac:dyDescent="0.25">
      <c r="A45" s="27">
        <f t="shared" si="9"/>
        <v>26</v>
      </c>
      <c r="B45" s="65">
        <f t="shared" si="1"/>
        <v>3.4999999999999983E-2</v>
      </c>
      <c r="C45" s="65">
        <f t="shared" si="2"/>
        <v>2.7400000000000001E-2</v>
      </c>
      <c r="D45" s="30">
        <f>IF($A$13=$A$17,' на весь срок'!I31,'льготный период'!H32)</f>
        <v>3.4999999999999983E-2</v>
      </c>
      <c r="E45" s="30">
        <f>IF($A$13=$A$17,' на весь срок'!C31,'льготный период'!B32)</f>
        <v>5.4999999999999986E-2</v>
      </c>
      <c r="F45" s="30">
        <f>' на весь срок'!AA32</f>
        <v>2.4999999999999988E-2</v>
      </c>
      <c r="G45" s="30">
        <f>' на весь срок'!S31</f>
        <v>0.16399999999999998</v>
      </c>
      <c r="H45" s="30">
        <f>' на весь срок'!N31</f>
        <v>0.16399999999999998</v>
      </c>
      <c r="I45" s="30">
        <f>' на весь срок'!W31</f>
        <v>0.16499999999999998</v>
      </c>
      <c r="J45" s="65">
        <f t="shared" si="3"/>
        <v>0.16600000000000001</v>
      </c>
      <c r="K45" s="30">
        <f>' на весь срок'!J31</f>
        <v>0.16600000000000001</v>
      </c>
      <c r="L45" s="30">
        <f>' на весь срок'!D31</f>
        <v>0.16159999999999999</v>
      </c>
      <c r="M45" s="30">
        <f>' на весь срок'!AB32</f>
        <v>0.1968</v>
      </c>
      <c r="N45" s="30">
        <f>' на весь срок'!T31</f>
        <v>9.9500000000000005E-2</v>
      </c>
      <c r="O45" s="30">
        <f>' на весь срок'!O31</f>
        <v>0.1075</v>
      </c>
      <c r="P45" s="30">
        <f>' на весь срок'!X31</f>
        <v>0.10009999999999999</v>
      </c>
      <c r="Q45" s="65">
        <f t="shared" si="4"/>
        <v>2.7400000000000001E-2</v>
      </c>
      <c r="R45" s="30">
        <f>'льготный период'!I32</f>
        <v>2.7400000000000001E-2</v>
      </c>
      <c r="S45" s="30">
        <f>'льготный период'!C32</f>
        <v>3.3500000000000002E-2</v>
      </c>
      <c r="T45" s="30">
        <f>' на весь срок'!AC32</f>
        <v>3.3500000000000002E-2</v>
      </c>
      <c r="U45" s="30">
        <f>'льготный период'!U32</f>
        <v>2.2800000000000001E-2</v>
      </c>
      <c r="V45" s="30">
        <f>'льготный период'!O32</f>
        <v>2.4799999999999999E-2</v>
      </c>
      <c r="W45" s="30">
        <f>'льготный период'!AA32</f>
        <v>2.23E-2</v>
      </c>
      <c r="X45" s="65">
        <f t="shared" si="5"/>
        <v>5.2499999999999998E-2</v>
      </c>
      <c r="Y45" s="30">
        <f>'льготный период'!J32</f>
        <v>5.2499999999999998E-2</v>
      </c>
      <c r="Z45" s="30">
        <f>'льготный период'!D32</f>
        <v>5.6000000000000001E-2</v>
      </c>
      <c r="AA45" s="30">
        <f>' на весь срок'!AD32</f>
        <v>5.5500000000000001E-2</v>
      </c>
      <c r="AB45" s="30">
        <f>'льготный период'!V32</f>
        <v>4.3499999999999997E-2</v>
      </c>
      <c r="AC45" s="30">
        <f>'льготный период'!P32</f>
        <v>4.7300000000000002E-2</v>
      </c>
      <c r="AD45" s="30">
        <f>'льготный период'!AB32</f>
        <v>4.3299999999999998E-2</v>
      </c>
      <c r="AE45" s="65">
        <f t="shared" si="6"/>
        <v>0.1138</v>
      </c>
      <c r="AF45" s="30">
        <f>'льготный период'!K32</f>
        <v>0.1138</v>
      </c>
      <c r="AG45" s="66">
        <f t="shared" si="7"/>
        <v>0.16159999999999999</v>
      </c>
      <c r="AH45" s="66">
        <f>' на весь срок'!AE32</f>
        <v>0.109</v>
      </c>
      <c r="AI45" s="30">
        <f>'льготный период'!W32</f>
        <v>8.8200000000000001E-2</v>
      </c>
      <c r="AJ45" s="30">
        <f>'льготный период'!Q32</f>
        <v>9.5899999999999999E-2</v>
      </c>
      <c r="AK45" s="30">
        <f>'льготный период'!AC32</f>
        <v>8.8700000000000001E-2</v>
      </c>
    </row>
    <row r="46" spans="1:37" x14ac:dyDescent="0.25">
      <c r="A46" s="27">
        <f t="shared" si="9"/>
        <v>27</v>
      </c>
      <c r="B46" s="65">
        <f t="shared" si="1"/>
        <v>3.3999999999999982E-2</v>
      </c>
      <c r="C46" s="65">
        <f t="shared" si="2"/>
        <v>2.8400000000000002E-2</v>
      </c>
      <c r="D46" s="30">
        <f>IF($A$13=$A$17,' на весь срок'!I32,'льготный период'!H33)</f>
        <v>3.3999999999999982E-2</v>
      </c>
      <c r="E46" s="30">
        <f>IF($A$13=$A$17,' на весь срок'!C32,'льготный период'!B33)</f>
        <v>5.3999999999999986E-2</v>
      </c>
      <c r="F46" s="30">
        <f>' на весь срок'!AA33</f>
        <v>0</v>
      </c>
      <c r="G46" s="30">
        <f>' на весь срок'!S32</f>
        <v>0.16299999999999998</v>
      </c>
      <c r="H46" s="30">
        <f>' на весь срок'!N32</f>
        <v>0.16299999999999998</v>
      </c>
      <c r="I46" s="30">
        <f>' на весь срок'!W32</f>
        <v>0.16399999999999998</v>
      </c>
      <c r="J46" s="65">
        <f t="shared" si="3"/>
        <v>0.17169999999999999</v>
      </c>
      <c r="K46" s="30">
        <f>' на весь срок'!J32</f>
        <v>0.17169999999999999</v>
      </c>
      <c r="L46" s="30">
        <f>' на весь срок'!D32</f>
        <v>0.16750000000000001</v>
      </c>
      <c r="M46" s="30">
        <f>' на весь срок'!AB33</f>
        <v>0</v>
      </c>
      <c r="N46" s="30">
        <f>' на весь срок'!T32</f>
        <v>0.1037</v>
      </c>
      <c r="O46" s="30">
        <f>' на весь срок'!O32</f>
        <v>0.11169999999999999</v>
      </c>
      <c r="P46" s="30">
        <f>' на весь срок'!X32</f>
        <v>0.1043</v>
      </c>
      <c r="Q46" s="65">
        <f t="shared" si="4"/>
        <v>2.8400000000000002E-2</v>
      </c>
      <c r="R46" s="30">
        <f>'льготный период'!I33</f>
        <v>2.8400000000000002E-2</v>
      </c>
      <c r="S46" s="30">
        <f>'льготный период'!C33</f>
        <v>3.4500000000000003E-2</v>
      </c>
      <c r="T46" s="30">
        <f>' на весь срок'!AC33</f>
        <v>0</v>
      </c>
      <c r="U46" s="30">
        <f>'льготный период'!U33</f>
        <v>2.3800000000000002E-2</v>
      </c>
      <c r="V46" s="30">
        <f>'льготный период'!O33</f>
        <v>2.58E-2</v>
      </c>
      <c r="W46" s="30">
        <f>'льготный период'!AA33</f>
        <v>2.3300000000000001E-2</v>
      </c>
      <c r="X46" s="65">
        <f t="shared" si="5"/>
        <v>5.4399999999999997E-2</v>
      </c>
      <c r="Y46" s="30">
        <f>'льготный период'!J33</f>
        <v>5.4399999999999997E-2</v>
      </c>
      <c r="Z46" s="30">
        <f>'льготный период'!D33</f>
        <v>5.79E-2</v>
      </c>
      <c r="AA46" s="30">
        <f>' на весь срок'!AD33</f>
        <v>0</v>
      </c>
      <c r="AB46" s="30">
        <f>'льготный период'!V33</f>
        <v>4.5400000000000003E-2</v>
      </c>
      <c r="AC46" s="30">
        <f>'льготный период'!P33</f>
        <v>4.9099999999999998E-2</v>
      </c>
      <c r="AD46" s="30">
        <f>'льготный период'!AB33</f>
        <v>4.5100000000000001E-2</v>
      </c>
      <c r="AE46" s="65">
        <f t="shared" si="6"/>
        <v>0.1178</v>
      </c>
      <c r="AF46" s="30">
        <f>'льготный период'!K33</f>
        <v>0.1178</v>
      </c>
      <c r="AG46" s="66">
        <f t="shared" si="7"/>
        <v>0.16750000000000001</v>
      </c>
      <c r="AH46" s="66">
        <f>' на весь срок'!AE33</f>
        <v>0</v>
      </c>
      <c r="AI46" s="30">
        <f>'льготный период'!W33</f>
        <v>9.1999999999999998E-2</v>
      </c>
      <c r="AJ46" s="30">
        <f>'льготный период'!Q33</f>
        <v>9.9699999999999997E-2</v>
      </c>
      <c r="AK46" s="30">
        <f>'льготный период'!AC33</f>
        <v>9.2399999999999996E-2</v>
      </c>
    </row>
    <row r="47" spans="1:37" x14ac:dyDescent="0.25">
      <c r="A47" s="27">
        <f t="shared" si="9"/>
        <v>28</v>
      </c>
      <c r="B47" s="65">
        <f t="shared" si="1"/>
        <v>3.2999999999999981E-2</v>
      </c>
      <c r="C47" s="65">
        <f t="shared" si="2"/>
        <v>2.9399999999999999E-2</v>
      </c>
      <c r="D47" s="30">
        <f>IF($A$13=$A$17,' на весь срок'!I33,'льготный период'!H34)</f>
        <v>3.2999999999999981E-2</v>
      </c>
      <c r="E47" s="30">
        <f>IF($A$13=$A$17,' на весь срок'!C33,'льготный период'!B34)</f>
        <v>5.2999999999999985E-2</v>
      </c>
      <c r="F47" s="30">
        <f>' на весь срок'!AA34</f>
        <v>0</v>
      </c>
      <c r="G47" s="30">
        <f>' на весь срок'!S33</f>
        <v>0.16199999999999998</v>
      </c>
      <c r="H47" s="30">
        <f>' на весь срок'!N33</f>
        <v>0.16199999999999998</v>
      </c>
      <c r="I47" s="30">
        <f>' на весь срок'!W33</f>
        <v>0.16299999999999998</v>
      </c>
      <c r="J47" s="65">
        <f t="shared" si="3"/>
        <v>0.1774</v>
      </c>
      <c r="K47" s="30">
        <f>' на весь срок'!J33</f>
        <v>0.1774</v>
      </c>
      <c r="L47" s="30">
        <f>' на весь срок'!D33</f>
        <v>0.17330000000000001</v>
      </c>
      <c r="M47" s="30">
        <f>' на весь срок'!AB34</f>
        <v>0</v>
      </c>
      <c r="N47" s="30">
        <f>' на весь срок'!T33</f>
        <v>0.1079</v>
      </c>
      <c r="O47" s="30">
        <f>' на весь срок'!O33</f>
        <v>0.1159</v>
      </c>
      <c r="P47" s="30">
        <f>' на весь срок'!X33</f>
        <v>0.1085</v>
      </c>
      <c r="Q47" s="65">
        <f t="shared" si="4"/>
        <v>2.9399999999999999E-2</v>
      </c>
      <c r="R47" s="30">
        <f>'льготный период'!I34</f>
        <v>2.9399999999999999E-2</v>
      </c>
      <c r="S47" s="30">
        <f>'льготный период'!C34</f>
        <v>3.5499999999999997E-2</v>
      </c>
      <c r="T47" s="30">
        <f>' на весь срок'!AC34</f>
        <v>0</v>
      </c>
      <c r="U47" s="30">
        <f>'льготный период'!U34</f>
        <v>2.4799999999999999E-2</v>
      </c>
      <c r="V47" s="30">
        <f>'льготный период'!O34</f>
        <v>2.6800000000000001E-2</v>
      </c>
      <c r="W47" s="30">
        <f>'льготный период'!AA34</f>
        <v>2.4299999999999999E-2</v>
      </c>
      <c r="X47" s="65">
        <f t="shared" si="5"/>
        <v>5.6300000000000003E-2</v>
      </c>
      <c r="Y47" s="30">
        <f>'льготный период'!J34</f>
        <v>5.6300000000000003E-2</v>
      </c>
      <c r="Z47" s="30">
        <f>'льготный период'!D34</f>
        <v>5.9700000000000003E-2</v>
      </c>
      <c r="AA47" s="30">
        <f>' на весь срок'!AD34</f>
        <v>0</v>
      </c>
      <c r="AB47" s="30">
        <f>'льготный период'!V34</f>
        <v>4.7199999999999999E-2</v>
      </c>
      <c r="AC47" s="30">
        <f>'льготный период'!P34</f>
        <v>5.0999999999999997E-2</v>
      </c>
      <c r="AD47" s="30">
        <f>'льготный период'!AB34</f>
        <v>4.7E-2</v>
      </c>
      <c r="AE47" s="65">
        <f t="shared" si="6"/>
        <v>0.12180000000000001</v>
      </c>
      <c r="AF47" s="30">
        <f>'льготный период'!K34</f>
        <v>0.12180000000000001</v>
      </c>
      <c r="AG47" s="66">
        <f t="shared" si="7"/>
        <v>0.17330000000000001</v>
      </c>
      <c r="AH47" s="66">
        <f>' на весь срок'!AE34</f>
        <v>0</v>
      </c>
      <c r="AI47" s="30">
        <f>'льготный период'!W34</f>
        <v>9.5799999999999996E-2</v>
      </c>
      <c r="AJ47" s="30">
        <f>'льготный период'!Q34</f>
        <v>0.10340000000000001</v>
      </c>
      <c r="AK47" s="30">
        <f>'льготный период'!AC34</f>
        <v>9.6199999999999994E-2</v>
      </c>
    </row>
    <row r="48" spans="1:37" x14ac:dyDescent="0.25">
      <c r="A48" s="27">
        <f t="shared" si="9"/>
        <v>29</v>
      </c>
      <c r="B48" s="65">
        <f t="shared" si="1"/>
        <v>3.199999999999998E-2</v>
      </c>
      <c r="C48" s="65">
        <f t="shared" si="2"/>
        <v>3.0300000000000001E-2</v>
      </c>
      <c r="D48" s="30">
        <f>IF($A$13=$A$17,' на весь срок'!I34,'льготный период'!H35)</f>
        <v>3.199999999999998E-2</v>
      </c>
      <c r="E48" s="30">
        <f>IF($A$13=$A$17,' на весь срок'!C34,'льготный период'!B35)</f>
        <v>5.1999999999999984E-2</v>
      </c>
      <c r="F48" s="30">
        <f>' на весь срок'!AA35</f>
        <v>0</v>
      </c>
      <c r="G48" s="30">
        <f>' на весь срок'!S34</f>
        <v>0.16099999999999998</v>
      </c>
      <c r="H48" s="30">
        <f>' на весь срок'!N34</f>
        <v>0.16099999999999998</v>
      </c>
      <c r="I48" s="30">
        <f>' на весь срок'!W34</f>
        <v>0.16199999999999998</v>
      </c>
      <c r="J48" s="65">
        <f t="shared" si="3"/>
        <v>0.183</v>
      </c>
      <c r="K48" s="30">
        <f>' на весь срок'!J34</f>
        <v>0.183</v>
      </c>
      <c r="L48" s="30">
        <f>' на весь срок'!D34</f>
        <v>0.17910000000000001</v>
      </c>
      <c r="M48" s="30">
        <f>' на весь срок'!AB35</f>
        <v>0</v>
      </c>
      <c r="N48" s="30">
        <f>' на весь срок'!T34</f>
        <v>0.11210000000000001</v>
      </c>
      <c r="O48" s="30">
        <f>' на весь срок'!O34</f>
        <v>0.12</v>
      </c>
      <c r="P48" s="30">
        <f>' на весь срок'!X34</f>
        <v>0.11269999999999999</v>
      </c>
      <c r="Q48" s="65">
        <f t="shared" si="4"/>
        <v>3.0300000000000001E-2</v>
      </c>
      <c r="R48" s="30">
        <f>'льготный период'!I35</f>
        <v>3.0300000000000001E-2</v>
      </c>
      <c r="S48" s="30">
        <f>'льготный период'!C35</f>
        <v>3.6400000000000002E-2</v>
      </c>
      <c r="T48" s="30">
        <f>' на весь срок'!AC35</f>
        <v>0</v>
      </c>
      <c r="U48" s="30">
        <f>'льготный период'!U35</f>
        <v>2.58E-2</v>
      </c>
      <c r="V48" s="30">
        <f>'льготный период'!O35</f>
        <v>2.7799999999999998E-2</v>
      </c>
      <c r="W48" s="30">
        <f>'льготный период'!AA35</f>
        <v>2.53E-2</v>
      </c>
      <c r="X48" s="65">
        <f t="shared" si="5"/>
        <v>5.8200000000000002E-2</v>
      </c>
      <c r="Y48" s="30">
        <f>'льготный период'!J35</f>
        <v>5.8200000000000002E-2</v>
      </c>
      <c r="Z48" s="30">
        <f>'льготный период'!D35</f>
        <v>6.1600000000000002E-2</v>
      </c>
      <c r="AA48" s="30">
        <f>' на весь срок'!AD35</f>
        <v>0</v>
      </c>
      <c r="AB48" s="30">
        <f>'льготный период'!V35</f>
        <v>4.9099999999999998E-2</v>
      </c>
      <c r="AC48" s="30">
        <f>'льготный период'!P35</f>
        <v>5.2900000000000003E-2</v>
      </c>
      <c r="AD48" s="30">
        <f>'льготный период'!AB35</f>
        <v>4.8899999999999999E-2</v>
      </c>
      <c r="AE48" s="65">
        <f t="shared" si="6"/>
        <v>0.1258</v>
      </c>
      <c r="AF48" s="30">
        <f>'льготный период'!K35</f>
        <v>0.1258</v>
      </c>
      <c r="AG48" s="66">
        <f t="shared" si="7"/>
        <v>0.17910000000000001</v>
      </c>
      <c r="AH48" s="66">
        <f>' на весь срок'!AE35</f>
        <v>0</v>
      </c>
      <c r="AI48" s="30">
        <f>'льготный период'!W35</f>
        <v>9.9500000000000005E-2</v>
      </c>
      <c r="AJ48" s="30">
        <f>'льготный период'!Q35</f>
        <v>0.1072</v>
      </c>
      <c r="AK48" s="30">
        <f>'льготный период'!AC35</f>
        <v>9.9900000000000003E-2</v>
      </c>
    </row>
    <row r="49" spans="1:37" x14ac:dyDescent="0.25">
      <c r="A49" s="27">
        <f t="shared" si="9"/>
        <v>30</v>
      </c>
      <c r="B49" s="65">
        <f t="shared" si="1"/>
        <v>3.0999999999999979E-2</v>
      </c>
      <c r="C49" s="65">
        <f t="shared" si="2"/>
        <v>3.1300000000000001E-2</v>
      </c>
      <c r="D49" s="30">
        <f>IF($A$13=$A$17,' на весь срок'!I35,'льготный период'!H36)</f>
        <v>3.0999999999999979E-2</v>
      </c>
      <c r="E49" s="30">
        <f>IF($A$13=$A$17,' на весь срок'!C35,'льготный период'!B36)</f>
        <v>5.0999999999999983E-2</v>
      </c>
      <c r="F49" s="30">
        <f>' на весь срок'!AA36</f>
        <v>0</v>
      </c>
      <c r="G49" s="30">
        <f>' на весь срок'!S35</f>
        <v>0.15999999999999998</v>
      </c>
      <c r="H49" s="30">
        <f>' на весь срок'!N35</f>
        <v>0.15999999999999998</v>
      </c>
      <c r="I49" s="30">
        <f>' на весь срок'!W35</f>
        <v>0.16099999999999998</v>
      </c>
      <c r="J49" s="65">
        <f t="shared" si="3"/>
        <v>0.18870000000000001</v>
      </c>
      <c r="K49" s="30">
        <f>' на весь срок'!J35</f>
        <v>0.18870000000000001</v>
      </c>
      <c r="L49" s="30">
        <f>' на весь срок'!D35</f>
        <v>0.18490000000000001</v>
      </c>
      <c r="M49" s="30">
        <f>' на весь срок'!AB36</f>
        <v>0</v>
      </c>
      <c r="N49" s="30">
        <f>' на весь срок'!T35</f>
        <v>0.1164</v>
      </c>
      <c r="O49" s="30">
        <f>' на весь срок'!O35</f>
        <v>0.1242</v>
      </c>
      <c r="P49" s="30">
        <f>' на весь срок'!X35</f>
        <v>0.1169</v>
      </c>
      <c r="Q49" s="65">
        <f t="shared" si="4"/>
        <v>3.1300000000000001E-2</v>
      </c>
      <c r="R49" s="30">
        <f>'льготный период'!I36</f>
        <v>3.1300000000000001E-2</v>
      </c>
      <c r="S49" s="30">
        <f>'льготный период'!C36</f>
        <v>3.7400000000000003E-2</v>
      </c>
      <c r="T49" s="30">
        <f>' на весь срок'!AC36</f>
        <v>0</v>
      </c>
      <c r="U49" s="30">
        <f>'льготный период'!U36</f>
        <v>2.6800000000000001E-2</v>
      </c>
      <c r="V49" s="30">
        <f>'льготный период'!O36</f>
        <v>2.8799999999999999E-2</v>
      </c>
      <c r="W49" s="30">
        <f>'льготный период'!AA36</f>
        <v>2.63E-2</v>
      </c>
      <c r="X49" s="65">
        <f t="shared" si="5"/>
        <v>0.06</v>
      </c>
      <c r="Y49" s="30">
        <f>'льготный период'!J36</f>
        <v>0.06</v>
      </c>
      <c r="Z49" s="30">
        <f>'льготный период'!D36</f>
        <v>6.3399999999999998E-2</v>
      </c>
      <c r="AA49" s="30">
        <f>' на весь срок'!AD36</f>
        <v>0</v>
      </c>
      <c r="AB49" s="30">
        <f>'льготный период'!V36</f>
        <v>5.0999999999999997E-2</v>
      </c>
      <c r="AC49" s="30">
        <f>'льготный период'!P36</f>
        <v>5.4800000000000001E-2</v>
      </c>
      <c r="AD49" s="30">
        <f>'льготный период'!AB36</f>
        <v>5.0700000000000002E-2</v>
      </c>
      <c r="AE49" s="65">
        <f t="shared" si="6"/>
        <v>0.1298</v>
      </c>
      <c r="AF49" s="30">
        <f>'льготный период'!K36</f>
        <v>0.1298</v>
      </c>
      <c r="AG49" s="66">
        <f t="shared" si="7"/>
        <v>0.18490000000000001</v>
      </c>
      <c r="AH49" s="66">
        <f>' на весь срок'!AE36</f>
        <v>0</v>
      </c>
      <c r="AI49" s="30">
        <f>'льготный период'!W36</f>
        <v>0.1033</v>
      </c>
      <c r="AJ49" s="30">
        <f>'льготный период'!Q36</f>
        <v>0.1109</v>
      </c>
      <c r="AK49" s="30">
        <f>'льготный период'!AC36</f>
        <v>0.1037</v>
      </c>
    </row>
    <row r="50" spans="1:37" x14ac:dyDescent="0.25">
      <c r="A50" s="27">
        <f t="shared" si="9"/>
        <v>31</v>
      </c>
      <c r="B50" s="65">
        <f t="shared" si="1"/>
        <v>2.9999999999999978E-2</v>
      </c>
      <c r="C50" s="65">
        <f t="shared" si="2"/>
        <v>3.2300000000000002E-2</v>
      </c>
      <c r="D50" s="30">
        <f>IF($A$13=$A$17,' на весь срок'!I36,'льготный период'!H37)</f>
        <v>2.9999999999999978E-2</v>
      </c>
      <c r="E50" s="30">
        <f>IF($A$13=$A$17,' на весь срок'!C36,'льготный период'!B37)</f>
        <v>4.9999999999999982E-2</v>
      </c>
      <c r="F50" s="30">
        <f>' на весь срок'!AA37</f>
        <v>0</v>
      </c>
      <c r="G50" s="30">
        <f>' на весь срок'!S36</f>
        <v>0.15899999999999997</v>
      </c>
      <c r="H50" s="30">
        <f>' на весь срок'!N36</f>
        <v>0.15899999999999997</v>
      </c>
      <c r="I50" s="30">
        <f>' на весь срок'!W36</f>
        <v>0.15999999999999998</v>
      </c>
      <c r="J50" s="65">
        <f t="shared" si="3"/>
        <v>0.1943</v>
      </c>
      <c r="K50" s="30">
        <f>' на весь срок'!J36</f>
        <v>0.1943</v>
      </c>
      <c r="L50" s="30">
        <f>' на весь срок'!D36</f>
        <v>0.19059999999999999</v>
      </c>
      <c r="M50" s="30">
        <f>' на весь срок'!AB37</f>
        <v>0</v>
      </c>
      <c r="N50" s="30">
        <f>' на весь срок'!T36</f>
        <v>0.1205</v>
      </c>
      <c r="O50" s="30">
        <f>' на весь срок'!O36</f>
        <v>0.12839999999999999</v>
      </c>
      <c r="P50" s="30">
        <f>' на весь срок'!X36</f>
        <v>0.1211</v>
      </c>
      <c r="Q50" s="65">
        <f t="shared" si="4"/>
        <v>3.2300000000000002E-2</v>
      </c>
      <c r="R50" s="30">
        <f>'льготный период'!I37</f>
        <v>3.2300000000000002E-2</v>
      </c>
      <c r="S50" s="30">
        <f>'льготный период'!C37</f>
        <v>3.8399999999999997E-2</v>
      </c>
      <c r="T50" s="30">
        <f>' на весь срок'!AC37</f>
        <v>0</v>
      </c>
      <c r="U50" s="30">
        <f>'льготный период'!U37</f>
        <v>2.7799999999999998E-2</v>
      </c>
      <c r="V50" s="30">
        <f>'льготный период'!O37</f>
        <v>2.98E-2</v>
      </c>
      <c r="W50" s="30">
        <f>'льготный период'!AA37</f>
        <v>2.7300000000000001E-2</v>
      </c>
      <c r="X50" s="65">
        <f t="shared" si="5"/>
        <v>6.1899999999999997E-2</v>
      </c>
      <c r="Y50" s="30">
        <f>'льготный период'!J37</f>
        <v>6.1899999999999997E-2</v>
      </c>
      <c r="Z50" s="30">
        <f>'льготный период'!D37</f>
        <v>6.5299999999999997E-2</v>
      </c>
      <c r="AA50" s="30">
        <f>' на весь срок'!AD37</f>
        <v>0</v>
      </c>
      <c r="AB50" s="30">
        <f>'льготный период'!V37</f>
        <v>5.2900000000000003E-2</v>
      </c>
      <c r="AC50" s="30">
        <f>'льготный период'!P37</f>
        <v>5.6599999999999998E-2</v>
      </c>
      <c r="AD50" s="30">
        <f>'льготный период'!AB37</f>
        <v>5.2600000000000001E-2</v>
      </c>
      <c r="AE50" s="65">
        <f t="shared" si="6"/>
        <v>0.1338</v>
      </c>
      <c r="AF50" s="30">
        <f>'льготный период'!K37</f>
        <v>0.1338</v>
      </c>
      <c r="AG50" s="66">
        <f t="shared" si="7"/>
        <v>0.19059999999999999</v>
      </c>
      <c r="AH50" s="66">
        <f>' на весь срок'!AE37</f>
        <v>0</v>
      </c>
      <c r="AI50" s="30">
        <f>'льготный период'!W37</f>
        <v>0.1071</v>
      </c>
      <c r="AJ50" s="30">
        <f>'льготный период'!Q37</f>
        <v>0.1147</v>
      </c>
      <c r="AK50" s="30">
        <f>'льготный период'!AC37</f>
        <v>0.1074</v>
      </c>
    </row>
    <row r="51" spans="1:37" x14ac:dyDescent="0.25">
      <c r="A51" s="27">
        <f t="shared" si="9"/>
        <v>32</v>
      </c>
      <c r="B51" s="65">
        <f t="shared" si="1"/>
        <v>2.8999999999999977E-2</v>
      </c>
      <c r="C51" s="65">
        <f t="shared" si="2"/>
        <v>3.3300000000000003E-2</v>
      </c>
      <c r="D51" s="30">
        <f>IF($A$13=$A$17,' на весь срок'!I37,'льготный период'!H38)</f>
        <v>2.8999999999999977E-2</v>
      </c>
      <c r="E51" s="30">
        <f>IF($A$13=$A$17,' на весь срок'!C37,'льготный период'!B38)</f>
        <v>4.8999999999999981E-2</v>
      </c>
      <c r="F51" s="30">
        <f>' на весь срок'!AA38</f>
        <v>0</v>
      </c>
      <c r="G51" s="30">
        <f>' на весь срок'!S37</f>
        <v>0.15799999999999997</v>
      </c>
      <c r="H51" s="30">
        <f>' на весь срок'!N37</f>
        <v>0.15799999999999997</v>
      </c>
      <c r="I51" s="30">
        <f>' на весь срок'!W37</f>
        <v>0.15899999999999997</v>
      </c>
      <c r="J51" s="65">
        <f t="shared" si="3"/>
        <v>0.19989999999999999</v>
      </c>
      <c r="K51" s="30">
        <f>' на весь срок'!J37</f>
        <v>0.19989999999999999</v>
      </c>
      <c r="L51" s="30">
        <f>' на весь срок'!D37</f>
        <v>0.19639999999999999</v>
      </c>
      <c r="M51" s="30">
        <f>' на весь срок'!AB38</f>
        <v>0</v>
      </c>
      <c r="N51" s="30">
        <f>' на весь срок'!T37</f>
        <v>0.12470000000000001</v>
      </c>
      <c r="O51" s="30">
        <f>' на весь срок'!O37</f>
        <v>0.13250000000000001</v>
      </c>
      <c r="P51" s="30">
        <f>' на весь срок'!X37</f>
        <v>0.12529999999999999</v>
      </c>
      <c r="Q51" s="65">
        <f t="shared" si="4"/>
        <v>3.3300000000000003E-2</v>
      </c>
      <c r="R51" s="30">
        <f>'льготный период'!I38</f>
        <v>3.3300000000000003E-2</v>
      </c>
      <c r="S51" s="30">
        <f>'льготный период'!C38</f>
        <v>3.9300000000000002E-2</v>
      </c>
      <c r="T51" s="30">
        <f>' на весь срок'!AC38</f>
        <v>0</v>
      </c>
      <c r="U51" s="30">
        <f>'льготный период'!U38</f>
        <v>2.8799999999999999E-2</v>
      </c>
      <c r="V51" s="30">
        <f>'льготный период'!O38</f>
        <v>3.0800000000000001E-2</v>
      </c>
      <c r="W51" s="30">
        <f>'льготный период'!AA38</f>
        <v>2.8299999999999999E-2</v>
      </c>
      <c r="X51" s="65">
        <f t="shared" si="5"/>
        <v>6.3799999999999996E-2</v>
      </c>
      <c r="Y51" s="30">
        <f>'льготный период'!J38</f>
        <v>6.3799999999999996E-2</v>
      </c>
      <c r="Z51" s="30">
        <f>'льготный период'!D38</f>
        <v>6.7100000000000007E-2</v>
      </c>
      <c r="AA51" s="30">
        <f>' на весь срок'!AD38</f>
        <v>0</v>
      </c>
      <c r="AB51" s="30">
        <f>'льготный период'!V38</f>
        <v>5.4699999999999999E-2</v>
      </c>
      <c r="AC51" s="30">
        <f>'льготный период'!P38</f>
        <v>5.8500000000000003E-2</v>
      </c>
      <c r="AD51" s="30">
        <f>'льготный период'!AB38</f>
        <v>5.45E-2</v>
      </c>
      <c r="AE51" s="65">
        <f t="shared" si="6"/>
        <v>0.13769999999999999</v>
      </c>
      <c r="AF51" s="30">
        <f>'льготный период'!K38</f>
        <v>0.13769999999999999</v>
      </c>
      <c r="AG51" s="66">
        <f t="shared" si="7"/>
        <v>0.19639999999999999</v>
      </c>
      <c r="AH51" s="66">
        <f>' на весь срок'!AE38</f>
        <v>0</v>
      </c>
      <c r="AI51" s="30">
        <f>'льготный период'!W38</f>
        <v>0.1108</v>
      </c>
      <c r="AJ51" s="30">
        <f>'льготный период'!Q38</f>
        <v>0.11840000000000001</v>
      </c>
      <c r="AK51" s="30">
        <f>'льготный период'!AC38</f>
        <v>0.11119999999999999</v>
      </c>
    </row>
    <row r="52" spans="1:37" x14ac:dyDescent="0.25">
      <c r="A52" s="27">
        <f t="shared" si="9"/>
        <v>33</v>
      </c>
      <c r="B52" s="65">
        <f t="shared" si="1"/>
        <v>2.7999999999999976E-2</v>
      </c>
      <c r="C52" s="65">
        <f t="shared" si="2"/>
        <v>3.4299999999999997E-2</v>
      </c>
      <c r="D52" s="30">
        <f>IF($A$13=$A$17,' на весь срок'!I38,'льготный период'!H39)</f>
        <v>2.7999999999999976E-2</v>
      </c>
      <c r="E52" s="30">
        <f>IF($A$13=$A$17,' на весь срок'!C38,'льготный период'!B39)</f>
        <v>4.799999999999998E-2</v>
      </c>
      <c r="F52" s="30">
        <f>' на весь срок'!AA39</f>
        <v>0</v>
      </c>
      <c r="G52" s="30">
        <f>' на весь срок'!S38</f>
        <v>0.15699999999999997</v>
      </c>
      <c r="H52" s="30">
        <f>' на весь срок'!N38</f>
        <v>0.15699999999999997</v>
      </c>
      <c r="I52" s="30">
        <f>' на весь срок'!W38</f>
        <v>0.15799999999999997</v>
      </c>
      <c r="J52" s="65">
        <f t="shared" si="3"/>
        <v>0.20549999999999999</v>
      </c>
      <c r="K52" s="30">
        <f>' на весь срок'!J38</f>
        <v>0.20549999999999999</v>
      </c>
      <c r="L52" s="30">
        <f>' на весь срок'!D38</f>
        <v>0.2021</v>
      </c>
      <c r="M52" s="30">
        <f>' на весь срок'!AB39</f>
        <v>0</v>
      </c>
      <c r="N52" s="30">
        <f>' на весь срок'!T38</f>
        <v>0.12889999999999999</v>
      </c>
      <c r="O52" s="30">
        <f>' на весь срок'!O38</f>
        <v>0.13669999999999999</v>
      </c>
      <c r="P52" s="30">
        <f>' на весь срок'!X38</f>
        <v>0.1295</v>
      </c>
      <c r="Q52" s="65">
        <f t="shared" si="4"/>
        <v>3.4299999999999997E-2</v>
      </c>
      <c r="R52" s="30">
        <f>'льготный период'!I39</f>
        <v>3.4299999999999997E-2</v>
      </c>
      <c r="S52" s="30">
        <f>'льготный период'!C39</f>
        <v>4.0300000000000002E-2</v>
      </c>
      <c r="T52" s="30">
        <f>' на весь срок'!AC39</f>
        <v>0</v>
      </c>
      <c r="U52" s="30">
        <f>'льготный период'!U39</f>
        <v>2.98E-2</v>
      </c>
      <c r="V52" s="30">
        <f>'льготный период'!O39</f>
        <v>3.1699999999999999E-2</v>
      </c>
      <c r="W52" s="30">
        <f>'льготный период'!AA39</f>
        <v>2.92E-2</v>
      </c>
      <c r="X52" s="65">
        <f t="shared" si="5"/>
        <v>6.5699999999999995E-2</v>
      </c>
      <c r="Y52" s="30">
        <f>'льготный период'!J39</f>
        <v>6.5699999999999995E-2</v>
      </c>
      <c r="Z52" s="30">
        <f>'льготный период'!D39</f>
        <v>6.9000000000000006E-2</v>
      </c>
      <c r="AA52" s="30">
        <f>' на весь срок'!AD39</f>
        <v>0</v>
      </c>
      <c r="AB52" s="30">
        <f>'льготный период'!V39</f>
        <v>5.6599999999999998E-2</v>
      </c>
      <c r="AC52" s="30">
        <f>'льготный период'!P39</f>
        <v>6.0400000000000002E-2</v>
      </c>
      <c r="AD52" s="30">
        <f>'льготный период'!AB39</f>
        <v>5.6300000000000003E-2</v>
      </c>
      <c r="AE52" s="65">
        <f t="shared" si="6"/>
        <v>0.14169999999999999</v>
      </c>
      <c r="AF52" s="30">
        <f>'льготный период'!K39</f>
        <v>0.14169999999999999</v>
      </c>
      <c r="AG52" s="66">
        <f t="shared" si="7"/>
        <v>0.2021</v>
      </c>
      <c r="AH52" s="66">
        <f>' на весь срок'!AE39</f>
        <v>0</v>
      </c>
      <c r="AI52" s="30">
        <f>'льготный период'!W39</f>
        <v>0.1145</v>
      </c>
      <c r="AJ52" s="30">
        <f>'льготный период'!Q39</f>
        <v>0.1222</v>
      </c>
      <c r="AK52" s="30">
        <f>'льготный период'!AC39</f>
        <v>0.1149</v>
      </c>
    </row>
    <row r="53" spans="1:37" x14ac:dyDescent="0.25">
      <c r="A53" s="27">
        <f t="shared" si="9"/>
        <v>34</v>
      </c>
      <c r="B53" s="65">
        <f t="shared" ref="B53:B84" si="10">IF(HLOOKUP($A$6,$D$20:$I$113,A53,0)=0,"",HLOOKUP($A$6,$D$20:$I$113,A53,0))</f>
        <v>2.6999999999999975E-2</v>
      </c>
      <c r="C53" s="65">
        <f t="shared" ref="C53:C84" si="11">IF($A$13=$J$20,J53,IF($A$13=$Q$20,Q53,IF($A$13=$X$20,X53,IF($A$13=$AE$20,AE53))))</f>
        <v>3.5299999999999998E-2</v>
      </c>
      <c r="D53" s="30">
        <f>IF($A$13=$A$17,' на весь срок'!I39,'льготный период'!H40)</f>
        <v>2.6999999999999975E-2</v>
      </c>
      <c r="E53" s="30">
        <f>IF($A$13=$A$17,' на весь срок'!C39,'льготный период'!B40)</f>
        <v>4.6999999999999979E-2</v>
      </c>
      <c r="F53" s="30">
        <f>' на весь срок'!AA40</f>
        <v>0</v>
      </c>
      <c r="G53" s="30">
        <f>' на весь срок'!S39</f>
        <v>0.15599999999999997</v>
      </c>
      <c r="H53" s="30">
        <f>' на весь срок'!N39</f>
        <v>0.15599999999999997</v>
      </c>
      <c r="I53" s="30">
        <f>' на весь срок'!W39</f>
        <v>0.15699999999999997</v>
      </c>
      <c r="J53" s="65">
        <f t="shared" ref="J53:J84" si="12">HLOOKUP($A$6,$K$20:$P$113,A53,0)</f>
        <v>0.21110000000000001</v>
      </c>
      <c r="K53" s="30">
        <f>' на весь срок'!J39</f>
        <v>0.21110000000000001</v>
      </c>
      <c r="L53" s="30">
        <f>' на весь срок'!D39</f>
        <v>0.20780000000000001</v>
      </c>
      <c r="M53" s="30">
        <f>' на весь срок'!AB40</f>
        <v>0</v>
      </c>
      <c r="N53" s="30">
        <f>' на весь срок'!T39</f>
        <v>0.1331</v>
      </c>
      <c r="O53" s="30">
        <f>' на весь срок'!O39</f>
        <v>0.14080000000000001</v>
      </c>
      <c r="P53" s="30">
        <f>' на весь срок'!X39</f>
        <v>0.1336</v>
      </c>
      <c r="Q53" s="65">
        <f t="shared" ref="Q53:Q84" si="13">HLOOKUP($A$6,$R$20:$W$113,A53,0)</f>
        <v>3.5299999999999998E-2</v>
      </c>
      <c r="R53" s="30">
        <f>'льготный период'!I40</f>
        <v>3.5299999999999998E-2</v>
      </c>
      <c r="S53" s="30">
        <f>'льготный период'!C40</f>
        <v>4.1300000000000003E-2</v>
      </c>
      <c r="T53" s="30">
        <f>' на весь срок'!AC40</f>
        <v>0</v>
      </c>
      <c r="U53" s="30">
        <f>'льготный период'!U40</f>
        <v>3.0800000000000001E-2</v>
      </c>
      <c r="V53" s="30">
        <f>'льготный период'!O40</f>
        <v>3.27E-2</v>
      </c>
      <c r="W53" s="30">
        <f>'льготный период'!AA40</f>
        <v>3.0200000000000001E-2</v>
      </c>
      <c r="X53" s="65">
        <f t="shared" ref="X53:X84" si="14">HLOOKUP($A$6,$Y$20:$AD$113,A53,0)</f>
        <v>6.7500000000000004E-2</v>
      </c>
      <c r="Y53" s="30">
        <f>'льготный период'!J40</f>
        <v>6.7500000000000004E-2</v>
      </c>
      <c r="Z53" s="30">
        <f>'льготный период'!D40</f>
        <v>7.0800000000000002E-2</v>
      </c>
      <c r="AA53" s="30">
        <f>' на весь срок'!AD40</f>
        <v>0</v>
      </c>
      <c r="AB53" s="30">
        <f>'льготный период'!V40</f>
        <v>5.8500000000000003E-2</v>
      </c>
      <c r="AC53" s="30">
        <f>'льготный период'!P40</f>
        <v>6.2199999999999998E-2</v>
      </c>
      <c r="AD53" s="30">
        <f>'льготный период'!AB40</f>
        <v>5.8200000000000002E-2</v>
      </c>
      <c r="AE53" s="65">
        <f t="shared" ref="AE53:AE84" si="15">HLOOKUP($A$6,$AF$20:$AK$113,A53,0)</f>
        <v>0.14560000000000001</v>
      </c>
      <c r="AF53" s="30">
        <f>'льготный период'!K40</f>
        <v>0.14560000000000001</v>
      </c>
      <c r="AG53" s="66">
        <f t="shared" si="7"/>
        <v>0.20780000000000001</v>
      </c>
      <c r="AH53" s="66">
        <f>' на весь срок'!AE40</f>
        <v>0</v>
      </c>
      <c r="AI53" s="30">
        <f>'льготный период'!W40</f>
        <v>0.1183</v>
      </c>
      <c r="AJ53" s="30">
        <f>'льготный период'!Q40</f>
        <v>0.12590000000000001</v>
      </c>
      <c r="AK53" s="30">
        <f>'льготный период'!AC40</f>
        <v>0.1186</v>
      </c>
    </row>
    <row r="54" spans="1:37" x14ac:dyDescent="0.25">
      <c r="A54" s="27">
        <f t="shared" si="9"/>
        <v>35</v>
      </c>
      <c r="B54" s="65">
        <f t="shared" si="10"/>
        <v>2.5999999999999975E-2</v>
      </c>
      <c r="C54" s="65">
        <f t="shared" si="11"/>
        <v>3.6299999999999999E-2</v>
      </c>
      <c r="D54" s="30">
        <f>IF($A$13=$A$17,' на весь срок'!I40,'льготный период'!H41)</f>
        <v>2.5999999999999975E-2</v>
      </c>
      <c r="E54" s="30">
        <f>IF($A$13=$A$17,' на весь срок'!C40,'льготный период'!B41)</f>
        <v>4.5999999999999978E-2</v>
      </c>
      <c r="F54" s="30">
        <f>' на весь срок'!AA41</f>
        <v>0</v>
      </c>
      <c r="G54" s="30">
        <f>' на весь срок'!S40</f>
        <v>0.15499999999999997</v>
      </c>
      <c r="H54" s="30">
        <f>' на весь срок'!N40</f>
        <v>0.15499999999999997</v>
      </c>
      <c r="I54" s="30">
        <f>' на весь срок'!W40</f>
        <v>0.15599999999999997</v>
      </c>
      <c r="J54" s="65">
        <f t="shared" si="12"/>
        <v>0.21659999999999999</v>
      </c>
      <c r="K54" s="30">
        <f>' на весь срок'!J40</f>
        <v>0.21659999999999999</v>
      </c>
      <c r="L54" s="30">
        <f>' на весь срок'!D40</f>
        <v>0.2135</v>
      </c>
      <c r="M54" s="30">
        <f>' на весь срок'!AB41</f>
        <v>0</v>
      </c>
      <c r="N54" s="30">
        <f>' на весь срок'!T40</f>
        <v>0.13730000000000001</v>
      </c>
      <c r="O54" s="30">
        <f>' на весь срок'!O40</f>
        <v>0.1449</v>
      </c>
      <c r="P54" s="30">
        <f>' на весь срок'!X40</f>
        <v>0.13780000000000001</v>
      </c>
      <c r="Q54" s="65">
        <f t="shared" si="13"/>
        <v>3.6299999999999999E-2</v>
      </c>
      <c r="R54" s="30">
        <f>'льготный период'!I41</f>
        <v>3.6299999999999999E-2</v>
      </c>
      <c r="S54" s="30">
        <f>'льготный период'!C41</f>
        <v>4.2200000000000001E-2</v>
      </c>
      <c r="T54" s="30">
        <f>' на весь срок'!AC41</f>
        <v>0</v>
      </c>
      <c r="U54" s="30">
        <f>'льготный период'!U41</f>
        <v>3.1800000000000002E-2</v>
      </c>
      <c r="V54" s="30">
        <f>'льготный период'!O41</f>
        <v>3.3700000000000001E-2</v>
      </c>
      <c r="W54" s="30">
        <f>'льготный период'!AA41</f>
        <v>3.1199999999999999E-2</v>
      </c>
      <c r="X54" s="65">
        <f t="shared" si="14"/>
        <v>6.9400000000000003E-2</v>
      </c>
      <c r="Y54" s="30">
        <f>'льготный период'!J41</f>
        <v>6.9400000000000003E-2</v>
      </c>
      <c r="Z54" s="30">
        <f>'льготный период'!D41</f>
        <v>7.2700000000000001E-2</v>
      </c>
      <c r="AA54" s="30">
        <f>' на весь срок'!AD41</f>
        <v>0</v>
      </c>
      <c r="AB54" s="30">
        <f>'льготный период'!V41</f>
        <v>6.0400000000000002E-2</v>
      </c>
      <c r="AC54" s="30">
        <f>'льготный период'!P41</f>
        <v>6.4100000000000004E-2</v>
      </c>
      <c r="AD54" s="30">
        <f>'льготный период'!AB41</f>
        <v>6.0100000000000001E-2</v>
      </c>
      <c r="AE54" s="65">
        <f t="shared" si="15"/>
        <v>0.14949999999999999</v>
      </c>
      <c r="AF54" s="30">
        <f>'льготный период'!K41</f>
        <v>0.14949999999999999</v>
      </c>
      <c r="AG54" s="66">
        <f t="shared" si="7"/>
        <v>0.2135</v>
      </c>
      <c r="AH54" s="66">
        <f>' на весь срок'!AE41</f>
        <v>0</v>
      </c>
      <c r="AI54" s="30">
        <f>'льготный период'!W41</f>
        <v>0.122</v>
      </c>
      <c r="AJ54" s="30">
        <f>'льготный период'!Q41</f>
        <v>0.12959999999999999</v>
      </c>
      <c r="AK54" s="30">
        <f>'льготный период'!AC41</f>
        <v>0.12230000000000001</v>
      </c>
    </row>
    <row r="55" spans="1:37" x14ac:dyDescent="0.25">
      <c r="A55" s="27">
        <f t="shared" si="9"/>
        <v>36</v>
      </c>
      <c r="B55" s="65">
        <f t="shared" si="10"/>
        <v>2.4999999999999974E-2</v>
      </c>
      <c r="C55" s="65">
        <f t="shared" si="11"/>
        <v>3.7199999999999997E-2</v>
      </c>
      <c r="D55" s="30">
        <f>IF($A$13=$A$17,' на весь срок'!I41,'льготный период'!H42)</f>
        <v>2.4999999999999974E-2</v>
      </c>
      <c r="E55" s="30">
        <f>IF($A$13=$A$17,' на весь срок'!C41,'льготный период'!B42)</f>
        <v>4.4999999999999978E-2</v>
      </c>
      <c r="F55" s="30">
        <f>' на весь срок'!AA42</f>
        <v>0</v>
      </c>
      <c r="G55" s="30">
        <f>' на весь срок'!S41</f>
        <v>0.15399999999999997</v>
      </c>
      <c r="H55" s="30">
        <f>' на весь срок'!N41</f>
        <v>0.15399999999999997</v>
      </c>
      <c r="I55" s="30">
        <f>' на весь срок'!W41</f>
        <v>0.15499999999999997</v>
      </c>
      <c r="J55" s="65">
        <f t="shared" si="12"/>
        <v>0.22220000000000001</v>
      </c>
      <c r="K55" s="30">
        <f>' на весь срок'!J41</f>
        <v>0.22220000000000001</v>
      </c>
      <c r="L55" s="30">
        <f>' на весь срок'!D41</f>
        <v>0.21909999999999999</v>
      </c>
      <c r="M55" s="30">
        <f>' на весь срок'!AB42</f>
        <v>0</v>
      </c>
      <c r="N55" s="30">
        <f>' на весь срок'!T41</f>
        <v>0.1414</v>
      </c>
      <c r="O55" s="30">
        <f>' на весь срок'!O41</f>
        <v>0.14910000000000001</v>
      </c>
      <c r="P55" s="30">
        <f>' на весь срок'!X41</f>
        <v>0.1419</v>
      </c>
      <c r="Q55" s="65">
        <f t="shared" si="13"/>
        <v>3.7199999999999997E-2</v>
      </c>
      <c r="R55" s="30">
        <f>'льготный период'!I42</f>
        <v>3.7199999999999997E-2</v>
      </c>
      <c r="S55" s="30">
        <f>'льготный период'!C42</f>
        <v>4.3200000000000002E-2</v>
      </c>
      <c r="T55" s="30">
        <f>' на весь срок'!AC42</f>
        <v>0</v>
      </c>
      <c r="U55" s="30">
        <f>'льготный период'!U42</f>
        <v>3.27E-2</v>
      </c>
      <c r="V55" s="30">
        <f>'льготный период'!O42</f>
        <v>3.4700000000000002E-2</v>
      </c>
      <c r="W55" s="30">
        <f>'льготный период'!AA42</f>
        <v>3.2199999999999999E-2</v>
      </c>
      <c r="X55" s="65">
        <f t="shared" si="14"/>
        <v>7.1300000000000002E-2</v>
      </c>
      <c r="Y55" s="30">
        <f>'льготный период'!J42</f>
        <v>7.1300000000000002E-2</v>
      </c>
      <c r="Z55" s="30">
        <f>'льготный период'!D42</f>
        <v>7.4499999999999997E-2</v>
      </c>
      <c r="AA55" s="30">
        <f>' на весь срок'!AD42</f>
        <v>0</v>
      </c>
      <c r="AB55" s="30">
        <f>'льготный период'!V42</f>
        <v>6.2199999999999998E-2</v>
      </c>
      <c r="AC55" s="30">
        <f>'льготный период'!P42</f>
        <v>6.6000000000000003E-2</v>
      </c>
      <c r="AD55" s="30">
        <f>'льготный период'!AB42</f>
        <v>6.1899999999999997E-2</v>
      </c>
      <c r="AE55" s="65">
        <f t="shared" si="15"/>
        <v>0.1535</v>
      </c>
      <c r="AF55" s="30">
        <f>'льготный период'!K42</f>
        <v>0.1535</v>
      </c>
      <c r="AG55" s="66">
        <f t="shared" si="7"/>
        <v>0.21909999999999999</v>
      </c>
      <c r="AH55" s="66">
        <f>' на весь срок'!AE42</f>
        <v>0</v>
      </c>
      <c r="AI55" s="30">
        <f>'льготный период'!W42</f>
        <v>0.12570000000000001</v>
      </c>
      <c r="AJ55" s="30">
        <f>'льготный период'!Q42</f>
        <v>0.1333</v>
      </c>
      <c r="AK55" s="30">
        <f>'льготный период'!AC42</f>
        <v>0.126</v>
      </c>
    </row>
    <row r="56" spans="1:37" x14ac:dyDescent="0.25">
      <c r="A56" s="27">
        <f t="shared" si="9"/>
        <v>37</v>
      </c>
      <c r="B56" s="65" t="str">
        <f t="shared" si="10"/>
        <v/>
      </c>
      <c r="C56" s="65">
        <f t="shared" si="11"/>
        <v>0</v>
      </c>
      <c r="D56" s="30">
        <f>IF($A$13=$A$17,' на весь срок'!I42,'льготный период'!H43)</f>
        <v>0</v>
      </c>
      <c r="E56" s="30">
        <f>IF($A$13=$A$17,' на весь срок'!C42,'льготный период'!B43)</f>
        <v>0</v>
      </c>
      <c r="F56" s="30">
        <f>' на весь срок'!AA43</f>
        <v>0</v>
      </c>
      <c r="G56" s="30">
        <f>' на весь срок'!S42</f>
        <v>0.15299999999999997</v>
      </c>
      <c r="H56" s="30">
        <f>' на весь срок'!N42</f>
        <v>0.15299999999999997</v>
      </c>
      <c r="I56" s="30">
        <f>' на весь срок'!W42</f>
        <v>0.15399999999999997</v>
      </c>
      <c r="J56" s="65">
        <f t="shared" si="12"/>
        <v>0</v>
      </c>
      <c r="K56" s="30">
        <f>' на весь срок'!J42</f>
        <v>0</v>
      </c>
      <c r="L56" s="30">
        <f>' на весь срок'!D42</f>
        <v>0</v>
      </c>
      <c r="M56" s="30">
        <f>' на весь срок'!AB43</f>
        <v>0</v>
      </c>
      <c r="N56" s="30">
        <f>' на весь срок'!T42</f>
        <v>0.14560000000000001</v>
      </c>
      <c r="O56" s="30">
        <f>' на весь срок'!O42</f>
        <v>0.1532</v>
      </c>
      <c r="P56" s="30">
        <f>' на весь срок'!X42</f>
        <v>0.14610000000000001</v>
      </c>
      <c r="Q56" s="65">
        <f t="shared" si="13"/>
        <v>0</v>
      </c>
      <c r="R56" s="30">
        <f>'льготный период'!I43</f>
        <v>0</v>
      </c>
      <c r="S56" s="30">
        <f>'льготный период'!C43</f>
        <v>0</v>
      </c>
      <c r="T56" s="30">
        <f>' на весь срок'!AC43</f>
        <v>0</v>
      </c>
      <c r="U56" s="30">
        <f>'льготный период'!U43</f>
        <v>3.3700000000000001E-2</v>
      </c>
      <c r="V56" s="30">
        <f>'льготный период'!O43</f>
        <v>3.5700000000000003E-2</v>
      </c>
      <c r="W56" s="30">
        <f>'льготный период'!AA43</f>
        <v>3.32E-2</v>
      </c>
      <c r="X56" s="65">
        <f t="shared" si="14"/>
        <v>0</v>
      </c>
      <c r="Y56" s="30">
        <f>'льготный период'!J43</f>
        <v>0</v>
      </c>
      <c r="Z56" s="30">
        <f>'льготный период'!D43</f>
        <v>0</v>
      </c>
      <c r="AA56" s="30">
        <f>' на весь срок'!AD43</f>
        <v>0</v>
      </c>
      <c r="AB56" s="30">
        <f>'льготный период'!V43</f>
        <v>6.4100000000000004E-2</v>
      </c>
      <c r="AC56" s="30">
        <f>'льготный период'!P43</f>
        <v>6.7799999999999999E-2</v>
      </c>
      <c r="AD56" s="30">
        <f>'льготный период'!AB43</f>
        <v>6.3799999999999996E-2</v>
      </c>
      <c r="AE56" s="65">
        <f t="shared" si="15"/>
        <v>0</v>
      </c>
      <c r="AF56" s="30">
        <f>'льготный период'!K43</f>
        <v>0</v>
      </c>
      <c r="AG56" s="66">
        <f t="shared" si="7"/>
        <v>0</v>
      </c>
      <c r="AH56" s="66">
        <f>' на весь срок'!AE43</f>
        <v>0</v>
      </c>
      <c r="AI56" s="30">
        <f>'льготный период'!W43</f>
        <v>0.12939999999999999</v>
      </c>
      <c r="AJ56" s="30">
        <f>'льготный период'!Q43</f>
        <v>0.13700000000000001</v>
      </c>
      <c r="AK56" s="30">
        <f>'льготный период'!AC43</f>
        <v>0.12970000000000001</v>
      </c>
    </row>
    <row r="57" spans="1:37" x14ac:dyDescent="0.25">
      <c r="A57" s="27">
        <f t="shared" si="9"/>
        <v>38</v>
      </c>
      <c r="B57" s="65" t="str">
        <f t="shared" si="10"/>
        <v/>
      </c>
      <c r="C57" s="65">
        <f t="shared" si="11"/>
        <v>0</v>
      </c>
      <c r="D57" s="30">
        <f>IF($A$13=$A$17,' на весь срок'!I43,'льготный период'!H44)</f>
        <v>0</v>
      </c>
      <c r="E57" s="30">
        <f>IF($A$13=$A$17,' на весь срок'!C43,'льготный период'!B44)</f>
        <v>0</v>
      </c>
      <c r="F57" s="30">
        <f>' на весь срок'!AA44</f>
        <v>0</v>
      </c>
      <c r="G57" s="30">
        <f>' на весь срок'!S43</f>
        <v>0.15199999999999997</v>
      </c>
      <c r="H57" s="30">
        <f>' на весь срок'!N43</f>
        <v>0.15199999999999997</v>
      </c>
      <c r="I57" s="30">
        <f>' на весь срок'!W43</f>
        <v>0.15299999999999997</v>
      </c>
      <c r="J57" s="65">
        <f t="shared" si="12"/>
        <v>0</v>
      </c>
      <c r="K57" s="30">
        <f>' на весь срок'!J43</f>
        <v>0</v>
      </c>
      <c r="L57" s="30">
        <f>' на весь срок'!D43</f>
        <v>0</v>
      </c>
      <c r="M57" s="30">
        <f>' на весь срок'!AB44</f>
        <v>0</v>
      </c>
      <c r="N57" s="30">
        <f>' на весь срок'!T43</f>
        <v>0.1497</v>
      </c>
      <c r="O57" s="30">
        <f>' на весь срок'!O43</f>
        <v>0.1573</v>
      </c>
      <c r="P57" s="30">
        <f>' на весь срок'!X43</f>
        <v>0.1502</v>
      </c>
      <c r="Q57" s="65">
        <f t="shared" si="13"/>
        <v>0</v>
      </c>
      <c r="R57" s="30">
        <f>'льготный период'!I44</f>
        <v>0</v>
      </c>
      <c r="S57" s="30">
        <f>'льготный период'!C44</f>
        <v>0</v>
      </c>
      <c r="T57" s="30">
        <f>' на весь срок'!AC44</f>
        <v>0</v>
      </c>
      <c r="U57" s="30">
        <f>'льготный период'!U44</f>
        <v>3.4700000000000002E-2</v>
      </c>
      <c r="V57" s="30">
        <f>'льготный период'!O44</f>
        <v>3.6700000000000003E-2</v>
      </c>
      <c r="W57" s="30">
        <f>'льготный период'!AA44</f>
        <v>3.4200000000000001E-2</v>
      </c>
      <c r="X57" s="65">
        <f t="shared" si="14"/>
        <v>0</v>
      </c>
      <c r="Y57" s="30">
        <f>'льготный период'!J44</f>
        <v>0</v>
      </c>
      <c r="Z57" s="30">
        <f>'льготный период'!D44</f>
        <v>0</v>
      </c>
      <c r="AA57" s="30">
        <f>' на весь срок'!AD44</f>
        <v>0</v>
      </c>
      <c r="AB57" s="30">
        <f>'льготный период'!V44</f>
        <v>6.6000000000000003E-2</v>
      </c>
      <c r="AC57" s="30">
        <f>'льготный период'!P44</f>
        <v>6.9699999999999998E-2</v>
      </c>
      <c r="AD57" s="30">
        <f>'льготный период'!AB44</f>
        <v>6.5600000000000006E-2</v>
      </c>
      <c r="AE57" s="65">
        <f t="shared" si="15"/>
        <v>0</v>
      </c>
      <c r="AF57" s="30">
        <f>'льготный период'!K44</f>
        <v>0</v>
      </c>
      <c r="AG57" s="66">
        <f t="shared" si="7"/>
        <v>0</v>
      </c>
      <c r="AH57" s="66">
        <f>' на весь срок'!AE44</f>
        <v>0</v>
      </c>
      <c r="AI57" s="30">
        <f>'льготный период'!W44</f>
        <v>0.13320000000000001</v>
      </c>
      <c r="AJ57" s="30">
        <f>'льготный период'!Q44</f>
        <v>0.14069999999999999</v>
      </c>
      <c r="AK57" s="30">
        <f>'льготный период'!AC44</f>
        <v>0.13339999999999999</v>
      </c>
    </row>
    <row r="58" spans="1:37" x14ac:dyDescent="0.25">
      <c r="A58" s="27">
        <f>A57+1</f>
        <v>39</v>
      </c>
      <c r="B58" s="65" t="str">
        <f t="shared" si="10"/>
        <v/>
      </c>
      <c r="C58" s="65">
        <f t="shared" si="11"/>
        <v>0</v>
      </c>
      <c r="D58" s="30">
        <f>IF($A$13=$A$17,' на весь срок'!I44,'льготный период'!H45)</f>
        <v>0</v>
      </c>
      <c r="E58" s="30">
        <f>IF($A$13=$A$17,' на весь срок'!C44,'льготный период'!B45)</f>
        <v>0</v>
      </c>
      <c r="F58" s="30">
        <f>' на весь срок'!AA45</f>
        <v>0</v>
      </c>
      <c r="G58" s="30">
        <f>' на весь срок'!S44</f>
        <v>0.15099999999999997</v>
      </c>
      <c r="H58" s="30">
        <f>' на весь срок'!N44</f>
        <v>0.15099999999999997</v>
      </c>
      <c r="I58" s="30">
        <f>' на весь срок'!W44</f>
        <v>0.15199999999999997</v>
      </c>
      <c r="J58" s="65">
        <f t="shared" si="12"/>
        <v>0</v>
      </c>
      <c r="K58" s="30">
        <f>' на весь срок'!J44</f>
        <v>0</v>
      </c>
      <c r="L58" s="30">
        <f>' на весь срок'!D44</f>
        <v>0</v>
      </c>
      <c r="M58" s="30">
        <f>' на весь срок'!AB45</f>
        <v>0</v>
      </c>
      <c r="N58" s="30">
        <f>' на весь срок'!T44</f>
        <v>0.15379999999999999</v>
      </c>
      <c r="O58" s="30">
        <f>' на весь срок'!O44</f>
        <v>0.16139999999999999</v>
      </c>
      <c r="P58" s="30">
        <f>' на весь срок'!X44</f>
        <v>0.15429999999999999</v>
      </c>
      <c r="Q58" s="65">
        <f t="shared" si="13"/>
        <v>0</v>
      </c>
      <c r="R58" s="30">
        <f>'льготный период'!I45</f>
        <v>0</v>
      </c>
      <c r="S58" s="30">
        <f>'льготный период'!C45</f>
        <v>0</v>
      </c>
      <c r="T58" s="30">
        <f>' на весь срок'!AC45</f>
        <v>0</v>
      </c>
      <c r="U58" s="30">
        <f>'льготный период'!U45</f>
        <v>3.5700000000000003E-2</v>
      </c>
      <c r="V58" s="30">
        <f>'льготный период'!O45</f>
        <v>3.7699999999999997E-2</v>
      </c>
      <c r="W58" s="30">
        <f>'льготный период'!AA45</f>
        <v>3.5200000000000002E-2</v>
      </c>
      <c r="X58" s="65">
        <f t="shared" si="14"/>
        <v>0</v>
      </c>
      <c r="Y58" s="30">
        <f>'льготный период'!J45</f>
        <v>0</v>
      </c>
      <c r="Z58" s="30">
        <f>'льготный период'!D45</f>
        <v>0</v>
      </c>
      <c r="AA58" s="30">
        <f>' на весь срок'!AD45</f>
        <v>0</v>
      </c>
      <c r="AB58" s="30">
        <f>'льготный период'!V45</f>
        <v>6.7799999999999999E-2</v>
      </c>
      <c r="AC58" s="30">
        <f>'льготный период'!P45</f>
        <v>7.1599999999999997E-2</v>
      </c>
      <c r="AD58" s="30">
        <f>'льготный период'!AB45</f>
        <v>6.7500000000000004E-2</v>
      </c>
      <c r="AE58" s="65">
        <f t="shared" si="15"/>
        <v>0</v>
      </c>
      <c r="AF58" s="30">
        <f>'льготный период'!K45</f>
        <v>0</v>
      </c>
      <c r="AG58" s="66">
        <f t="shared" si="7"/>
        <v>0</v>
      </c>
      <c r="AH58" s="66">
        <f>' на весь срок'!AE45</f>
        <v>0</v>
      </c>
      <c r="AI58" s="30">
        <f>'льготный период'!W45</f>
        <v>0.13689999999999999</v>
      </c>
      <c r="AJ58" s="30">
        <f>'льготный период'!Q45</f>
        <v>0.1444</v>
      </c>
      <c r="AK58" s="30">
        <f>'льготный период'!AC45</f>
        <v>0.1371</v>
      </c>
    </row>
    <row r="59" spans="1:37" x14ac:dyDescent="0.25">
      <c r="A59" s="27">
        <f t="shared" ref="A59:A70" si="16">A58+1</f>
        <v>40</v>
      </c>
      <c r="B59" s="65" t="str">
        <f t="shared" si="10"/>
        <v/>
      </c>
      <c r="C59" s="65">
        <f t="shared" si="11"/>
        <v>0</v>
      </c>
      <c r="D59" s="30">
        <f>IF($A$13=$A$17,' на весь срок'!I45,'льготный период'!H46)</f>
        <v>0</v>
      </c>
      <c r="E59" s="30">
        <f>IF($A$13=$A$17,' на весь срок'!C45,'льготный период'!B46)</f>
        <v>0</v>
      </c>
      <c r="F59" s="30">
        <f>' на весь срок'!AA46</f>
        <v>0</v>
      </c>
      <c r="G59" s="30">
        <f>' на весь срок'!S45</f>
        <v>0.14999999999999997</v>
      </c>
      <c r="H59" s="30">
        <f>' на весь срок'!N45</f>
        <v>0.14999999999999997</v>
      </c>
      <c r="I59" s="30">
        <f>' на весь срок'!W45</f>
        <v>0.15099999999999997</v>
      </c>
      <c r="J59" s="65">
        <f t="shared" si="12"/>
        <v>0</v>
      </c>
      <c r="K59" s="30">
        <f>' на весь срок'!J45</f>
        <v>0</v>
      </c>
      <c r="L59" s="30">
        <f>' на весь срок'!D45</f>
        <v>0</v>
      </c>
      <c r="M59" s="30">
        <f>' на весь срок'!AB46</f>
        <v>0</v>
      </c>
      <c r="N59" s="30">
        <f>' на весь срок'!T45</f>
        <v>0.158</v>
      </c>
      <c r="O59" s="30">
        <f>' на весь срок'!O45</f>
        <v>0.16550000000000001</v>
      </c>
      <c r="P59" s="30">
        <f>' на весь срок'!X45</f>
        <v>0.15840000000000001</v>
      </c>
      <c r="Q59" s="65">
        <f t="shared" si="13"/>
        <v>0</v>
      </c>
      <c r="R59" s="30">
        <f>'льготный период'!I46</f>
        <v>0</v>
      </c>
      <c r="S59" s="30">
        <f>'льготный период'!C46</f>
        <v>0</v>
      </c>
      <c r="T59" s="30">
        <f>' на весь срок'!AC46</f>
        <v>0</v>
      </c>
      <c r="U59" s="30">
        <f>'льготный период'!U46</f>
        <v>3.6700000000000003E-2</v>
      </c>
      <c r="V59" s="30">
        <f>'льготный период'!O46</f>
        <v>3.8699999999999998E-2</v>
      </c>
      <c r="W59" s="30">
        <f>'льготный период'!AA46</f>
        <v>3.61E-2</v>
      </c>
      <c r="X59" s="65">
        <f t="shared" si="14"/>
        <v>0</v>
      </c>
      <c r="Y59" s="30">
        <f>'льготный период'!J46</f>
        <v>0</v>
      </c>
      <c r="Z59" s="30">
        <f>'льготный период'!D46</f>
        <v>0</v>
      </c>
      <c r="AA59" s="30">
        <f>' на весь срок'!AD46</f>
        <v>0</v>
      </c>
      <c r="AB59" s="30">
        <f>'льготный период'!V46</f>
        <v>6.9699999999999998E-2</v>
      </c>
      <c r="AC59" s="30">
        <f>'льготный период'!P46</f>
        <v>7.3400000000000007E-2</v>
      </c>
      <c r="AD59" s="30">
        <f>'льготный период'!AB46</f>
        <v>6.9400000000000003E-2</v>
      </c>
      <c r="AE59" s="65">
        <f t="shared" si="15"/>
        <v>0</v>
      </c>
      <c r="AF59" s="30">
        <f>'льготный период'!K46</f>
        <v>0</v>
      </c>
      <c r="AG59" s="66">
        <f t="shared" si="7"/>
        <v>0</v>
      </c>
      <c r="AH59" s="66">
        <f>' на весь срок'!AE46</f>
        <v>0</v>
      </c>
      <c r="AI59" s="30">
        <f>'льготный период'!W46</f>
        <v>0.1406</v>
      </c>
      <c r="AJ59" s="30">
        <f>'льготный период'!Q46</f>
        <v>0.14810000000000001</v>
      </c>
      <c r="AK59" s="30">
        <f>'льготный период'!AC46</f>
        <v>0.14080000000000001</v>
      </c>
    </row>
    <row r="60" spans="1:37" x14ac:dyDescent="0.25">
      <c r="A60" s="27">
        <f t="shared" si="16"/>
        <v>41</v>
      </c>
      <c r="B60" s="65" t="str">
        <f t="shared" si="10"/>
        <v/>
      </c>
      <c r="C60" s="65">
        <f t="shared" si="11"/>
        <v>0</v>
      </c>
      <c r="D60" s="30">
        <f>IF($A$13=$A$17,' на весь срок'!I46,'льготный период'!H47)</f>
        <v>0</v>
      </c>
      <c r="E60" s="30">
        <f>IF($A$13=$A$17,' на весь срок'!C46,'льготный период'!B47)</f>
        <v>0</v>
      </c>
      <c r="F60" s="30">
        <f>' на весь срок'!AA47</f>
        <v>0</v>
      </c>
      <c r="G60" s="30">
        <f>' на весь срок'!S46</f>
        <v>0.14899999999999997</v>
      </c>
      <c r="H60" s="30">
        <f>' на весь срок'!N46</f>
        <v>0.14899999999999997</v>
      </c>
      <c r="I60" s="30">
        <f>' на весь срок'!W46</f>
        <v>0.14999999999999997</v>
      </c>
      <c r="J60" s="65">
        <f t="shared" si="12"/>
        <v>0</v>
      </c>
      <c r="K60" s="30">
        <f>' на весь срок'!J46</f>
        <v>0</v>
      </c>
      <c r="L60" s="30">
        <f>' на весь срок'!D46</f>
        <v>0</v>
      </c>
      <c r="M60" s="30">
        <f>' на весь срок'!AB47</f>
        <v>0</v>
      </c>
      <c r="N60" s="30">
        <f>' на весь срок'!T46</f>
        <v>0.16209999999999999</v>
      </c>
      <c r="O60" s="30">
        <f>' на весь срок'!O46</f>
        <v>0.16950000000000001</v>
      </c>
      <c r="P60" s="30">
        <f>' на весь срок'!X46</f>
        <v>0.16250000000000001</v>
      </c>
      <c r="Q60" s="65">
        <f t="shared" si="13"/>
        <v>0</v>
      </c>
      <c r="R60" s="30">
        <f>'льготный период'!I47</f>
        <v>0</v>
      </c>
      <c r="S60" s="30">
        <f>'льготный период'!C47</f>
        <v>0</v>
      </c>
      <c r="T60" s="30">
        <f>' на весь срок'!AC47</f>
        <v>0</v>
      </c>
      <c r="U60" s="30">
        <f>'льготный период'!U47</f>
        <v>3.7699999999999997E-2</v>
      </c>
      <c r="V60" s="30">
        <f>'льготный период'!O47</f>
        <v>3.9699999999999999E-2</v>
      </c>
      <c r="W60" s="30">
        <f>'льготный период'!AA47</f>
        <v>3.7100000000000001E-2</v>
      </c>
      <c r="X60" s="65">
        <f t="shared" si="14"/>
        <v>0</v>
      </c>
      <c r="Y60" s="30">
        <f>'льготный период'!J47</f>
        <v>0</v>
      </c>
      <c r="Z60" s="30">
        <f>'льготный период'!D47</f>
        <v>0</v>
      </c>
      <c r="AA60" s="30">
        <f>' на весь срок'!AD47</f>
        <v>0</v>
      </c>
      <c r="AB60" s="30">
        <f>'льготный период'!V47</f>
        <v>7.1599999999999997E-2</v>
      </c>
      <c r="AC60" s="30">
        <f>'льготный период'!P47</f>
        <v>7.5300000000000006E-2</v>
      </c>
      <c r="AD60" s="30">
        <f>'льготный период'!AB47</f>
        <v>7.1199999999999999E-2</v>
      </c>
      <c r="AE60" s="65">
        <f t="shared" si="15"/>
        <v>0</v>
      </c>
      <c r="AF60" s="30">
        <f>'льготный период'!K47</f>
        <v>0</v>
      </c>
      <c r="AG60" s="66">
        <f t="shared" si="7"/>
        <v>0</v>
      </c>
      <c r="AH60" s="66">
        <f>' на весь срок'!AE47</f>
        <v>0</v>
      </c>
      <c r="AI60" s="30">
        <f>'льготный период'!W47</f>
        <v>0.14430000000000001</v>
      </c>
      <c r="AJ60" s="30">
        <f>'льготный период'!Q47</f>
        <v>0.15179999999999999</v>
      </c>
      <c r="AK60" s="30">
        <f>'льготный период'!AC47</f>
        <v>0.14449999999999999</v>
      </c>
    </row>
    <row r="61" spans="1:37" x14ac:dyDescent="0.25">
      <c r="A61" s="27">
        <f t="shared" si="16"/>
        <v>42</v>
      </c>
      <c r="B61" s="65" t="str">
        <f t="shared" si="10"/>
        <v/>
      </c>
      <c r="C61" s="65">
        <f t="shared" si="11"/>
        <v>0</v>
      </c>
      <c r="D61" s="30">
        <f>IF($A$13=$A$17,' на весь срок'!I47,'льготный период'!H48)</f>
        <v>0</v>
      </c>
      <c r="E61" s="30">
        <f>IF($A$13=$A$17,' на весь срок'!C47,'льготный период'!B48)</f>
        <v>0</v>
      </c>
      <c r="F61" s="30">
        <f>' на весь срок'!AA48</f>
        <v>0</v>
      </c>
      <c r="G61" s="30">
        <f>' на весь срок'!S47</f>
        <v>0.14799999999999996</v>
      </c>
      <c r="H61" s="30">
        <f>' на весь срок'!N47</f>
        <v>0.14799999999999996</v>
      </c>
      <c r="I61" s="30">
        <f>' на весь срок'!W47</f>
        <v>0.14899999999999997</v>
      </c>
      <c r="J61" s="65">
        <f t="shared" si="12"/>
        <v>0</v>
      </c>
      <c r="K61" s="30">
        <f>' на весь срок'!J47</f>
        <v>0</v>
      </c>
      <c r="L61" s="30">
        <f>' на весь срок'!D47</f>
        <v>0</v>
      </c>
      <c r="M61" s="30">
        <f>' на весь срок'!AB48</f>
        <v>0</v>
      </c>
      <c r="N61" s="30">
        <f>' на весь срок'!T47</f>
        <v>0.16619999999999999</v>
      </c>
      <c r="O61" s="30">
        <f>' на весь срок'!O47</f>
        <v>0.1736</v>
      </c>
      <c r="P61" s="30">
        <f>' на весь срок'!X47</f>
        <v>0.1666</v>
      </c>
      <c r="Q61" s="65">
        <f t="shared" si="13"/>
        <v>0</v>
      </c>
      <c r="R61" s="30">
        <f>'льготный период'!I48</f>
        <v>0</v>
      </c>
      <c r="S61" s="30">
        <f>'льготный период'!C48</f>
        <v>0</v>
      </c>
      <c r="T61" s="30">
        <f>' на весь срок'!AC48</f>
        <v>0</v>
      </c>
      <c r="U61" s="30">
        <f>'льготный период'!U48</f>
        <v>3.8699999999999998E-2</v>
      </c>
      <c r="V61" s="30">
        <f>'льготный период'!O48</f>
        <v>4.0599999999999997E-2</v>
      </c>
      <c r="W61" s="30">
        <f>'льготный период'!AA48</f>
        <v>3.8100000000000002E-2</v>
      </c>
      <c r="X61" s="65">
        <f t="shared" si="14"/>
        <v>0</v>
      </c>
      <c r="Y61" s="30">
        <f>'льготный период'!J48</f>
        <v>0</v>
      </c>
      <c r="Z61" s="30">
        <f>'льготный период'!D48</f>
        <v>0</v>
      </c>
      <c r="AA61" s="30">
        <f>' на весь срок'!AD48</f>
        <v>0</v>
      </c>
      <c r="AB61" s="30">
        <f>'льготный период'!V48</f>
        <v>7.3400000000000007E-2</v>
      </c>
      <c r="AC61" s="30">
        <f>'льготный период'!P48</f>
        <v>7.7200000000000005E-2</v>
      </c>
      <c r="AD61" s="30">
        <f>'льготный период'!AB48</f>
        <v>7.3099999999999998E-2</v>
      </c>
      <c r="AE61" s="65">
        <f t="shared" si="15"/>
        <v>0</v>
      </c>
      <c r="AF61" s="30">
        <f>'льготный период'!K48</f>
        <v>0</v>
      </c>
      <c r="AG61" s="66">
        <f t="shared" si="7"/>
        <v>0</v>
      </c>
      <c r="AH61" s="66">
        <f>' на весь срок'!AE48</f>
        <v>0</v>
      </c>
      <c r="AI61" s="30">
        <f>'льготный период'!W48</f>
        <v>0.1479</v>
      </c>
      <c r="AJ61" s="30">
        <f>'льготный период'!Q48</f>
        <v>0.1555</v>
      </c>
      <c r="AK61" s="30">
        <f>'льготный период'!AC48</f>
        <v>0.1482</v>
      </c>
    </row>
    <row r="62" spans="1:37" x14ac:dyDescent="0.25">
      <c r="A62" s="27">
        <f t="shared" si="16"/>
        <v>43</v>
      </c>
      <c r="B62" s="65" t="str">
        <f t="shared" si="10"/>
        <v/>
      </c>
      <c r="C62" s="65">
        <f t="shared" si="11"/>
        <v>0</v>
      </c>
      <c r="D62" s="30">
        <f>IF($A$13=$A$17,' на весь срок'!I48,'льготный период'!H49)</f>
        <v>0</v>
      </c>
      <c r="E62" s="30">
        <f>IF($A$13=$A$17,' на весь срок'!C48,'льготный период'!B49)</f>
        <v>0</v>
      </c>
      <c r="F62" s="30">
        <f>' на весь срок'!AA49</f>
        <v>0</v>
      </c>
      <c r="G62" s="30">
        <f>' на весь срок'!S48</f>
        <v>0.14699999999999996</v>
      </c>
      <c r="H62" s="30">
        <f>' на весь срок'!N48</f>
        <v>0.14699999999999996</v>
      </c>
      <c r="I62" s="30">
        <f>' на весь срок'!W48</f>
        <v>0.14799999999999996</v>
      </c>
      <c r="J62" s="65">
        <f t="shared" si="12"/>
        <v>0</v>
      </c>
      <c r="K62" s="30">
        <f>' на весь срок'!J48</f>
        <v>0</v>
      </c>
      <c r="L62" s="30">
        <f>' на весь срок'!D48</f>
        <v>0</v>
      </c>
      <c r="M62" s="30">
        <f>' на весь срок'!AB49</f>
        <v>0</v>
      </c>
      <c r="N62" s="30">
        <f>' на весь срок'!T48</f>
        <v>0.17030000000000001</v>
      </c>
      <c r="O62" s="30">
        <f>' на весь срок'!O48</f>
        <v>0.1777</v>
      </c>
      <c r="P62" s="30">
        <f>' на весь срок'!X48</f>
        <v>0.17069999999999999</v>
      </c>
      <c r="Q62" s="65">
        <f t="shared" si="13"/>
        <v>0</v>
      </c>
      <c r="R62" s="30">
        <f>'льготный период'!I49</f>
        <v>0</v>
      </c>
      <c r="S62" s="30">
        <f>'льготный период'!C49</f>
        <v>0</v>
      </c>
      <c r="T62" s="30">
        <f>' на весь срок'!AC49</f>
        <v>0</v>
      </c>
      <c r="U62" s="30">
        <f>'льготный период'!U49</f>
        <v>3.9699999999999999E-2</v>
      </c>
      <c r="V62" s="30">
        <f>'льготный период'!O49</f>
        <v>4.1599999999999998E-2</v>
      </c>
      <c r="W62" s="30">
        <f>'льготный период'!AA49</f>
        <v>3.9100000000000003E-2</v>
      </c>
      <c r="X62" s="65">
        <f t="shared" si="14"/>
        <v>0</v>
      </c>
      <c r="Y62" s="30">
        <f>'льготный период'!J49</f>
        <v>0</v>
      </c>
      <c r="Z62" s="30">
        <f>'льготный период'!D49</f>
        <v>0</v>
      </c>
      <c r="AA62" s="30">
        <f>' на весь срок'!AD49</f>
        <v>0</v>
      </c>
      <c r="AB62" s="30">
        <f>'льготный период'!V49</f>
        <v>7.5300000000000006E-2</v>
      </c>
      <c r="AC62" s="30">
        <f>'льготный период'!P49</f>
        <v>7.9000000000000001E-2</v>
      </c>
      <c r="AD62" s="30">
        <f>'льготный период'!AB49</f>
        <v>7.4899999999999994E-2</v>
      </c>
      <c r="AE62" s="65">
        <f t="shared" si="15"/>
        <v>0</v>
      </c>
      <c r="AF62" s="30">
        <f>'льготный период'!K49</f>
        <v>0</v>
      </c>
      <c r="AG62" s="66">
        <f t="shared" si="7"/>
        <v>0</v>
      </c>
      <c r="AH62" s="66">
        <f>' на весь срок'!AE49</f>
        <v>0</v>
      </c>
      <c r="AI62" s="30">
        <f>'льготный период'!W49</f>
        <v>0.15160000000000001</v>
      </c>
      <c r="AJ62" s="30">
        <f>'льготный период'!Q49</f>
        <v>0.15909999999999999</v>
      </c>
      <c r="AK62" s="30">
        <f>'льготный период'!AC49</f>
        <v>0.15179999999999999</v>
      </c>
    </row>
    <row r="63" spans="1:37" x14ac:dyDescent="0.25">
      <c r="A63" s="27">
        <f t="shared" si="16"/>
        <v>44</v>
      </c>
      <c r="B63" s="65" t="str">
        <f t="shared" si="10"/>
        <v/>
      </c>
      <c r="C63" s="65">
        <f t="shared" si="11"/>
        <v>0</v>
      </c>
      <c r="D63" s="30">
        <f>IF($A$13=$A$17,' на весь срок'!I49,'льготный период'!H50)</f>
        <v>0</v>
      </c>
      <c r="E63" s="30">
        <f>IF($A$13=$A$17,' на весь срок'!C49,'льготный период'!B50)</f>
        <v>0</v>
      </c>
      <c r="F63" s="30">
        <f>' на весь срок'!AA50</f>
        <v>0</v>
      </c>
      <c r="G63" s="30">
        <f>' на весь срок'!S49</f>
        <v>0.14599999999999996</v>
      </c>
      <c r="H63" s="30">
        <f>' на весь срок'!N49</f>
        <v>0.14599999999999996</v>
      </c>
      <c r="I63" s="30">
        <f>' на весь срок'!W49</f>
        <v>0.14699999999999996</v>
      </c>
      <c r="J63" s="65">
        <f t="shared" si="12"/>
        <v>0</v>
      </c>
      <c r="K63" s="30">
        <f>' на весь срок'!J49</f>
        <v>0</v>
      </c>
      <c r="L63" s="30">
        <f>' на весь срок'!D49</f>
        <v>0</v>
      </c>
      <c r="M63" s="30">
        <f>' на весь срок'!AB50</f>
        <v>0</v>
      </c>
      <c r="N63" s="30">
        <f>' на весь срок'!T49</f>
        <v>0.1744</v>
      </c>
      <c r="O63" s="30">
        <f>' на весь срок'!O49</f>
        <v>0.18179999999999999</v>
      </c>
      <c r="P63" s="30">
        <f>' на весь срок'!X49</f>
        <v>0.17480000000000001</v>
      </c>
      <c r="Q63" s="65">
        <f t="shared" si="13"/>
        <v>0</v>
      </c>
      <c r="R63" s="30">
        <f>'льготный период'!I50</f>
        <v>0</v>
      </c>
      <c r="S63" s="30">
        <f>'льготный период'!C50</f>
        <v>0</v>
      </c>
      <c r="T63" s="30">
        <f>' на весь срок'!AC50</f>
        <v>0</v>
      </c>
      <c r="U63" s="30">
        <f>'льготный период'!U50</f>
        <v>4.07E-2</v>
      </c>
      <c r="V63" s="30">
        <f>'льготный период'!O50</f>
        <v>4.2599999999999999E-2</v>
      </c>
      <c r="W63" s="30">
        <f>'льготный период'!AA50</f>
        <v>4.0099999999999997E-2</v>
      </c>
      <c r="X63" s="65">
        <f t="shared" si="14"/>
        <v>0</v>
      </c>
      <c r="Y63" s="30">
        <f>'льготный период'!J50</f>
        <v>0</v>
      </c>
      <c r="Z63" s="30">
        <f>'льготный период'!D50</f>
        <v>0</v>
      </c>
      <c r="AA63" s="30">
        <f>' на весь срок'!AD50</f>
        <v>0</v>
      </c>
      <c r="AB63" s="30">
        <f>'льготный период'!V50</f>
        <v>7.7200000000000005E-2</v>
      </c>
      <c r="AC63" s="30">
        <f>'льготный период'!P50</f>
        <v>8.09E-2</v>
      </c>
      <c r="AD63" s="30">
        <f>'льготный период'!AB50</f>
        <v>7.6799999999999993E-2</v>
      </c>
      <c r="AE63" s="65">
        <f t="shared" si="15"/>
        <v>0</v>
      </c>
      <c r="AF63" s="30">
        <f>'льготный период'!K50</f>
        <v>0</v>
      </c>
      <c r="AG63" s="66">
        <f t="shared" si="7"/>
        <v>0</v>
      </c>
      <c r="AH63" s="66">
        <f>' на весь срок'!AE50</f>
        <v>0</v>
      </c>
      <c r="AI63" s="30">
        <f>'льготный период'!W50</f>
        <v>0.15529999999999999</v>
      </c>
      <c r="AJ63" s="30">
        <f>'льготный период'!Q50</f>
        <v>0.1628</v>
      </c>
      <c r="AK63" s="30">
        <f>'льготный период'!AC50</f>
        <v>0.1555</v>
      </c>
    </row>
    <row r="64" spans="1:37" x14ac:dyDescent="0.25">
      <c r="A64" s="27">
        <f t="shared" si="16"/>
        <v>45</v>
      </c>
      <c r="B64" s="65" t="str">
        <f t="shared" si="10"/>
        <v/>
      </c>
      <c r="C64" s="65">
        <f t="shared" si="11"/>
        <v>0</v>
      </c>
      <c r="D64" s="30">
        <f>IF($A$13=$A$17,' на весь срок'!I50,'льготный период'!H51)</f>
        <v>0</v>
      </c>
      <c r="E64" s="30">
        <f>IF($A$13=$A$17,' на весь срок'!C50,'льготный период'!B51)</f>
        <v>0</v>
      </c>
      <c r="F64" s="30">
        <f>' на весь срок'!AA51</f>
        <v>0</v>
      </c>
      <c r="G64" s="30">
        <f>' на весь срок'!S50</f>
        <v>0.14499999999999996</v>
      </c>
      <c r="H64" s="30">
        <f>' на весь срок'!N50</f>
        <v>0.14499999999999996</v>
      </c>
      <c r="I64" s="30">
        <f>' на весь срок'!W50</f>
        <v>0.14599999999999996</v>
      </c>
      <c r="J64" s="65">
        <f t="shared" si="12"/>
        <v>0</v>
      </c>
      <c r="K64" s="30">
        <f>' на весь срок'!J50</f>
        <v>0</v>
      </c>
      <c r="L64" s="30">
        <f>' на весь срок'!D50</f>
        <v>0</v>
      </c>
      <c r="M64" s="30">
        <f>' на весь срок'!AB51</f>
        <v>0</v>
      </c>
      <c r="N64" s="30">
        <f>' на весь срок'!T50</f>
        <v>0.17849999999999999</v>
      </c>
      <c r="O64" s="30">
        <f>' на весь срок'!O50</f>
        <v>0.18579999999999999</v>
      </c>
      <c r="P64" s="30">
        <f>' на весь срок'!X50</f>
        <v>0.1789</v>
      </c>
      <c r="Q64" s="65">
        <f t="shared" si="13"/>
        <v>0</v>
      </c>
      <c r="R64" s="30">
        <f>'льготный период'!I51</f>
        <v>0</v>
      </c>
      <c r="S64" s="30">
        <f>'льготный период'!C51</f>
        <v>0</v>
      </c>
      <c r="T64" s="30">
        <f>' на весь срок'!AC51</f>
        <v>0</v>
      </c>
      <c r="U64" s="30">
        <f>'льготный период'!U51</f>
        <v>4.1599999999999998E-2</v>
      </c>
      <c r="V64" s="30">
        <f>'льготный период'!O51</f>
        <v>4.36E-2</v>
      </c>
      <c r="W64" s="30">
        <f>'льготный период'!AA51</f>
        <v>4.1099999999999998E-2</v>
      </c>
      <c r="X64" s="65">
        <f t="shared" si="14"/>
        <v>0</v>
      </c>
      <c r="Y64" s="30">
        <f>'льготный период'!J51</f>
        <v>0</v>
      </c>
      <c r="Z64" s="30">
        <f>'льготный период'!D51</f>
        <v>0</v>
      </c>
      <c r="AA64" s="30">
        <f>' на весь срок'!AD51</f>
        <v>0</v>
      </c>
      <c r="AB64" s="30">
        <f>'льготный период'!V51</f>
        <v>7.9000000000000001E-2</v>
      </c>
      <c r="AC64" s="30">
        <f>'льготный период'!P51</f>
        <v>8.2699999999999996E-2</v>
      </c>
      <c r="AD64" s="30">
        <f>'льготный период'!AB51</f>
        <v>7.8600000000000003E-2</v>
      </c>
      <c r="AE64" s="65">
        <f t="shared" si="15"/>
        <v>0</v>
      </c>
      <c r="AF64" s="30">
        <f>'льготный период'!K51</f>
        <v>0</v>
      </c>
      <c r="AG64" s="66">
        <f t="shared" si="7"/>
        <v>0</v>
      </c>
      <c r="AH64" s="66">
        <f>' на весь срок'!AE51</f>
        <v>0</v>
      </c>
      <c r="AI64" s="30">
        <f>'льготный период'!W51</f>
        <v>0.159</v>
      </c>
      <c r="AJ64" s="30">
        <f>'льготный период'!Q51</f>
        <v>0.16650000000000001</v>
      </c>
      <c r="AK64" s="30">
        <f>'льготный период'!AC51</f>
        <v>0.15920000000000001</v>
      </c>
    </row>
    <row r="65" spans="1:37" x14ac:dyDescent="0.25">
      <c r="A65" s="27">
        <f t="shared" si="16"/>
        <v>46</v>
      </c>
      <c r="B65" s="65" t="str">
        <f t="shared" si="10"/>
        <v/>
      </c>
      <c r="C65" s="65">
        <f t="shared" si="11"/>
        <v>0</v>
      </c>
      <c r="D65" s="30">
        <f>IF($A$13=$A$17,' на весь срок'!I51,'льготный период'!H52)</f>
        <v>0</v>
      </c>
      <c r="E65" s="30">
        <f>IF($A$13=$A$17,' на весь срок'!C51,'льготный период'!B52)</f>
        <v>0</v>
      </c>
      <c r="F65" s="30">
        <f>' на весь срок'!AA52</f>
        <v>0</v>
      </c>
      <c r="G65" s="30">
        <f>' на весь срок'!S51</f>
        <v>0.14399999999999996</v>
      </c>
      <c r="H65" s="30">
        <f>' на весь срок'!N51</f>
        <v>0.14399999999999996</v>
      </c>
      <c r="I65" s="30">
        <f>' на весь срок'!W51</f>
        <v>0.14499999999999996</v>
      </c>
      <c r="J65" s="65">
        <f t="shared" si="12"/>
        <v>0</v>
      </c>
      <c r="K65" s="30">
        <f>' на весь срок'!J51</f>
        <v>0</v>
      </c>
      <c r="L65" s="30">
        <f>' на весь срок'!D51</f>
        <v>0</v>
      </c>
      <c r="M65" s="30">
        <f>' на весь срок'!AB52</f>
        <v>0</v>
      </c>
      <c r="N65" s="30">
        <f>' на весь срок'!T51</f>
        <v>0.18260000000000001</v>
      </c>
      <c r="O65" s="30">
        <f>' на весь срок'!O51</f>
        <v>0.1898</v>
      </c>
      <c r="P65" s="30">
        <f>' на весь срок'!X51</f>
        <v>0.183</v>
      </c>
      <c r="Q65" s="65">
        <f t="shared" si="13"/>
        <v>0</v>
      </c>
      <c r="R65" s="30">
        <f>'льготный период'!I52</f>
        <v>0</v>
      </c>
      <c r="S65" s="30">
        <f>'льготный период'!C52</f>
        <v>0</v>
      </c>
      <c r="T65" s="30">
        <f>' на весь срок'!AC52</f>
        <v>0</v>
      </c>
      <c r="U65" s="30">
        <f>'льготный период'!U52</f>
        <v>4.2599999999999999E-2</v>
      </c>
      <c r="V65" s="30">
        <f>'льготный период'!O52</f>
        <v>4.4600000000000001E-2</v>
      </c>
      <c r="W65" s="30">
        <f>'льготный период'!AA52</f>
        <v>4.2000000000000003E-2</v>
      </c>
      <c r="X65" s="65">
        <f t="shared" si="14"/>
        <v>0</v>
      </c>
      <c r="Y65" s="30">
        <f>'льготный период'!J52</f>
        <v>0</v>
      </c>
      <c r="Z65" s="30">
        <f>'льготный период'!D52</f>
        <v>0</v>
      </c>
      <c r="AA65" s="30">
        <f>' на весь срок'!AD52</f>
        <v>0</v>
      </c>
      <c r="AB65" s="30">
        <f>'льготный период'!V52</f>
        <v>8.09E-2</v>
      </c>
      <c r="AC65" s="30">
        <f>'льготный период'!P52</f>
        <v>8.4599999999999995E-2</v>
      </c>
      <c r="AD65" s="30">
        <f>'льготный период'!AB52</f>
        <v>8.0500000000000002E-2</v>
      </c>
      <c r="AE65" s="65">
        <f t="shared" si="15"/>
        <v>0</v>
      </c>
      <c r="AF65" s="30">
        <f>'льготный период'!K52</f>
        <v>0</v>
      </c>
      <c r="AG65" s="66">
        <f t="shared" si="7"/>
        <v>0</v>
      </c>
      <c r="AH65" s="66">
        <f>' на весь срок'!AE52</f>
        <v>0</v>
      </c>
      <c r="AI65" s="30">
        <f>'льготный период'!W52</f>
        <v>0.16259999999999999</v>
      </c>
      <c r="AJ65" s="30">
        <f>'льготный период'!Q52</f>
        <v>0.1701</v>
      </c>
      <c r="AK65" s="30">
        <f>'льготный период'!AC52</f>
        <v>0.1628</v>
      </c>
    </row>
    <row r="66" spans="1:37" x14ac:dyDescent="0.25">
      <c r="A66" s="27">
        <f t="shared" si="16"/>
        <v>47</v>
      </c>
      <c r="B66" s="65" t="str">
        <f t="shared" si="10"/>
        <v/>
      </c>
      <c r="C66" s="65">
        <f t="shared" si="11"/>
        <v>0</v>
      </c>
      <c r="D66" s="30">
        <f>IF($A$13=$A$17,' на весь срок'!I52,'льготный период'!H53)</f>
        <v>0</v>
      </c>
      <c r="E66" s="30">
        <f>IF($A$13=$A$17,' на весь срок'!C52,'льготный период'!B53)</f>
        <v>0</v>
      </c>
      <c r="F66" s="30">
        <f>' на весь срок'!AA53</f>
        <v>0</v>
      </c>
      <c r="G66" s="30">
        <f>' на весь срок'!S52</f>
        <v>0.14299999999999996</v>
      </c>
      <c r="H66" s="30">
        <f>' на весь срок'!N52</f>
        <v>0.14299999999999996</v>
      </c>
      <c r="I66" s="30">
        <f>' на весь срок'!W52</f>
        <v>0.14399999999999996</v>
      </c>
      <c r="J66" s="65">
        <f t="shared" si="12"/>
        <v>0</v>
      </c>
      <c r="K66" s="30">
        <f>' на весь срок'!J52</f>
        <v>0</v>
      </c>
      <c r="L66" s="30">
        <f>' на весь срок'!D52</f>
        <v>0</v>
      </c>
      <c r="M66" s="30">
        <f>' на весь срок'!AB53</f>
        <v>0</v>
      </c>
      <c r="N66" s="30">
        <f>' на весь срок'!T52</f>
        <v>0.1867</v>
      </c>
      <c r="O66" s="30">
        <f>' на весь срок'!O52</f>
        <v>0.19389999999999999</v>
      </c>
      <c r="P66" s="30">
        <f>' на весь срок'!X52</f>
        <v>0.187</v>
      </c>
      <c r="Q66" s="65">
        <f t="shared" si="13"/>
        <v>0</v>
      </c>
      <c r="R66" s="30">
        <f>'льготный период'!I53</f>
        <v>0</v>
      </c>
      <c r="S66" s="30">
        <f>'льготный период'!C53</f>
        <v>0</v>
      </c>
      <c r="T66" s="30">
        <f>' на весь срок'!AC53</f>
        <v>0</v>
      </c>
      <c r="U66" s="30">
        <f>'льготный период'!U53</f>
        <v>4.36E-2</v>
      </c>
      <c r="V66" s="30">
        <f>'льготный период'!O53</f>
        <v>4.5600000000000002E-2</v>
      </c>
      <c r="W66" s="30">
        <f>'льготный период'!AA53</f>
        <v>4.2999999999999997E-2</v>
      </c>
      <c r="X66" s="65">
        <f t="shared" si="14"/>
        <v>0</v>
      </c>
      <c r="Y66" s="30">
        <f>'льготный период'!J53</f>
        <v>0</v>
      </c>
      <c r="Z66" s="30">
        <f>'льготный период'!D53</f>
        <v>0</v>
      </c>
      <c r="AA66" s="30">
        <f>' на весь срок'!AD53</f>
        <v>0</v>
      </c>
      <c r="AB66" s="30">
        <f>'льготный период'!V53</f>
        <v>8.2699999999999996E-2</v>
      </c>
      <c r="AC66" s="30">
        <f>'льготный период'!P53</f>
        <v>8.6499999999999994E-2</v>
      </c>
      <c r="AD66" s="30">
        <f>'льготный период'!AB53</f>
        <v>8.2299999999999998E-2</v>
      </c>
      <c r="AE66" s="65">
        <f t="shared" si="15"/>
        <v>0</v>
      </c>
      <c r="AF66" s="30">
        <f>'льготный период'!K53</f>
        <v>0</v>
      </c>
      <c r="AG66" s="66">
        <f t="shared" si="7"/>
        <v>0</v>
      </c>
      <c r="AH66" s="66">
        <f>' на весь срок'!AE53</f>
        <v>0</v>
      </c>
      <c r="AI66" s="30">
        <f>'льготный период'!W53</f>
        <v>0.1663</v>
      </c>
      <c r="AJ66" s="30">
        <f>'льготный период'!Q53</f>
        <v>0.17380000000000001</v>
      </c>
      <c r="AK66" s="30">
        <f>'льготный период'!AC53</f>
        <v>0.16650000000000001</v>
      </c>
    </row>
    <row r="67" spans="1:37" x14ac:dyDescent="0.25">
      <c r="A67" s="27">
        <f t="shared" si="16"/>
        <v>48</v>
      </c>
      <c r="B67" s="65" t="str">
        <f t="shared" si="10"/>
        <v/>
      </c>
      <c r="C67" s="65">
        <f t="shared" si="11"/>
        <v>0</v>
      </c>
      <c r="D67" s="30">
        <f>IF($A$13=$A$17,' на весь срок'!I53,'льготный период'!H54)</f>
        <v>0</v>
      </c>
      <c r="E67" s="30">
        <f>IF($A$13=$A$17,' на весь срок'!C53,'льготный период'!B54)</f>
        <v>0</v>
      </c>
      <c r="F67" s="30">
        <f>' на весь срок'!AA54</f>
        <v>0</v>
      </c>
      <c r="G67" s="30">
        <f>' на весь срок'!S53</f>
        <v>0.14199999999999996</v>
      </c>
      <c r="H67" s="30">
        <f>' на весь срок'!N53</f>
        <v>0.14199999999999996</v>
      </c>
      <c r="I67" s="30">
        <f>' на весь срок'!W53</f>
        <v>0.14299999999999996</v>
      </c>
      <c r="J67" s="65">
        <f t="shared" si="12"/>
        <v>0</v>
      </c>
      <c r="K67" s="30">
        <f>' на весь срок'!J53</f>
        <v>0</v>
      </c>
      <c r="L67" s="30">
        <f>' на весь срок'!D53</f>
        <v>0</v>
      </c>
      <c r="M67" s="30">
        <f>' на весь срок'!AB54</f>
        <v>0</v>
      </c>
      <c r="N67" s="30">
        <f>' на весь срок'!T53</f>
        <v>0.19070000000000001</v>
      </c>
      <c r="O67" s="30">
        <f>' на весь срок'!O53</f>
        <v>0.19789999999999999</v>
      </c>
      <c r="P67" s="30">
        <f>' на весь срок'!X53</f>
        <v>0.19109999999999999</v>
      </c>
      <c r="Q67" s="65">
        <f t="shared" si="13"/>
        <v>0</v>
      </c>
      <c r="R67" s="30">
        <f>'льготный период'!I54</f>
        <v>0</v>
      </c>
      <c r="S67" s="30">
        <f>'льготный период'!C54</f>
        <v>0</v>
      </c>
      <c r="T67" s="30">
        <f>' на весь срок'!AC54</f>
        <v>0</v>
      </c>
      <c r="U67" s="30">
        <f>'льготный период'!U54</f>
        <v>4.4600000000000001E-2</v>
      </c>
      <c r="V67" s="30">
        <f>'льготный период'!O54</f>
        <v>4.6600000000000003E-2</v>
      </c>
      <c r="W67" s="30">
        <f>'льготный период'!AA54</f>
        <v>4.3999999999999997E-2</v>
      </c>
      <c r="X67" s="65">
        <f t="shared" si="14"/>
        <v>0</v>
      </c>
      <c r="Y67" s="30">
        <f>'льготный период'!J54</f>
        <v>0</v>
      </c>
      <c r="Z67" s="30">
        <f>'льготный период'!D54</f>
        <v>0</v>
      </c>
      <c r="AA67" s="30">
        <f>' на весь срок'!AD54</f>
        <v>0</v>
      </c>
      <c r="AB67" s="30">
        <f>'льготный период'!V54</f>
        <v>8.4599999999999995E-2</v>
      </c>
      <c r="AC67" s="30">
        <f>'льготный период'!P54</f>
        <v>8.8300000000000003E-2</v>
      </c>
      <c r="AD67" s="30">
        <f>'льготный период'!AB54</f>
        <v>8.4199999999999997E-2</v>
      </c>
      <c r="AE67" s="65">
        <f t="shared" si="15"/>
        <v>0</v>
      </c>
      <c r="AF67" s="30">
        <f>'льготный период'!K54</f>
        <v>0</v>
      </c>
      <c r="AG67" s="66">
        <f t="shared" si="7"/>
        <v>0</v>
      </c>
      <c r="AH67" s="66">
        <f>' на весь срок'!AE54</f>
        <v>0</v>
      </c>
      <c r="AI67" s="30">
        <f>'льготный период'!W54</f>
        <v>0.1699</v>
      </c>
      <c r="AJ67" s="30">
        <f>'льготный период'!Q54</f>
        <v>0.1774</v>
      </c>
      <c r="AK67" s="30">
        <f>'льготный период'!AC54</f>
        <v>0.1701</v>
      </c>
    </row>
    <row r="68" spans="1:37" x14ac:dyDescent="0.25">
      <c r="A68" s="27">
        <f t="shared" si="16"/>
        <v>49</v>
      </c>
      <c r="B68" s="65" t="str">
        <f t="shared" si="10"/>
        <v/>
      </c>
      <c r="C68" s="65">
        <f t="shared" si="11"/>
        <v>0</v>
      </c>
      <c r="D68" s="30">
        <f>IF($A$13=$A$17,' на весь срок'!I54,'льготный период'!H55)</f>
        <v>0</v>
      </c>
      <c r="E68" s="30">
        <f>IF($A$13=$A$17,' на весь срок'!C54,'льготный период'!B55)</f>
        <v>0</v>
      </c>
      <c r="F68" s="30">
        <f>' на весь срок'!AA55</f>
        <v>0</v>
      </c>
      <c r="G68" s="30">
        <f>' на весь срок'!S54</f>
        <v>0.14099999999999996</v>
      </c>
      <c r="H68" s="30">
        <f>' на весь срок'!N54</f>
        <v>0.14099999999999996</v>
      </c>
      <c r="I68" s="30">
        <f>' на весь срок'!W54</f>
        <v>0.14199999999999996</v>
      </c>
      <c r="J68" s="65">
        <f t="shared" si="12"/>
        <v>0</v>
      </c>
      <c r="K68" s="30">
        <f>' на весь срок'!J54</f>
        <v>0</v>
      </c>
      <c r="L68" s="30">
        <f>' на весь срок'!D54</f>
        <v>0</v>
      </c>
      <c r="M68" s="30">
        <f>' на весь срок'!AB55</f>
        <v>0</v>
      </c>
      <c r="N68" s="30">
        <f>' на весь срок'!T54</f>
        <v>0.1948</v>
      </c>
      <c r="O68" s="30">
        <f>' на весь срок'!O54</f>
        <v>0.2019</v>
      </c>
      <c r="P68" s="30">
        <f>' на весь срок'!X54</f>
        <v>0.1951</v>
      </c>
      <c r="Q68" s="65">
        <f t="shared" si="13"/>
        <v>0</v>
      </c>
      <c r="R68" s="30">
        <f>'льготный период'!I55</f>
        <v>0</v>
      </c>
      <c r="S68" s="30">
        <f>'льготный период'!C55</f>
        <v>0</v>
      </c>
      <c r="T68" s="30">
        <f>' на весь срок'!AC55</f>
        <v>0</v>
      </c>
      <c r="U68" s="30">
        <f>'льготный период'!U55</f>
        <v>4.5600000000000002E-2</v>
      </c>
      <c r="V68" s="30">
        <f>'льготный период'!O55</f>
        <v>4.7500000000000001E-2</v>
      </c>
      <c r="W68" s="30">
        <f>'льготный период'!AA55</f>
        <v>4.4999999999999998E-2</v>
      </c>
      <c r="X68" s="65">
        <f t="shared" si="14"/>
        <v>0</v>
      </c>
      <c r="Y68" s="30">
        <f>'льготный период'!J55</f>
        <v>0</v>
      </c>
      <c r="Z68" s="30">
        <f>'льготный период'!D55</f>
        <v>0</v>
      </c>
      <c r="AA68" s="30">
        <f>' на весь срок'!AD55</f>
        <v>0</v>
      </c>
      <c r="AB68" s="30">
        <f>'льготный период'!V55</f>
        <v>8.6499999999999994E-2</v>
      </c>
      <c r="AC68" s="30">
        <f>'льготный период'!P55</f>
        <v>9.0200000000000002E-2</v>
      </c>
      <c r="AD68" s="30">
        <f>'льготный период'!AB55</f>
        <v>8.5999999999999993E-2</v>
      </c>
      <c r="AE68" s="65">
        <f t="shared" si="15"/>
        <v>0</v>
      </c>
      <c r="AF68" s="30">
        <f>'льготный период'!K55</f>
        <v>0</v>
      </c>
      <c r="AG68" s="66">
        <f t="shared" si="7"/>
        <v>0</v>
      </c>
      <c r="AH68" s="66">
        <f>' на весь срок'!AE55</f>
        <v>0</v>
      </c>
      <c r="AI68" s="30">
        <f>'льготный период'!W55</f>
        <v>0.1736</v>
      </c>
      <c r="AJ68" s="30">
        <f>'льготный период'!Q55</f>
        <v>0.18110000000000001</v>
      </c>
      <c r="AK68" s="30">
        <f>'льготный период'!AC55</f>
        <v>0.17369999999999999</v>
      </c>
    </row>
    <row r="69" spans="1:37" x14ac:dyDescent="0.25">
      <c r="A69" s="27">
        <f t="shared" si="16"/>
        <v>50</v>
      </c>
      <c r="B69" s="65" t="str">
        <f t="shared" si="10"/>
        <v/>
      </c>
      <c r="C69" s="65">
        <f t="shared" si="11"/>
        <v>0</v>
      </c>
      <c r="D69" s="30">
        <f>IF($A$13=$A$17,' на весь срок'!I55,'льготный период'!H56)</f>
        <v>0</v>
      </c>
      <c r="E69" s="30">
        <f>IF($A$13=$A$17,' на весь срок'!C55,'льготный период'!B56)</f>
        <v>0</v>
      </c>
      <c r="F69" s="30">
        <f>' на весь срок'!AA56</f>
        <v>0</v>
      </c>
      <c r="G69" s="30">
        <f>' на весь срок'!S55</f>
        <v>0.13999999999999996</v>
      </c>
      <c r="H69" s="30">
        <f>' на весь срок'!N55</f>
        <v>0.13999999999999996</v>
      </c>
      <c r="I69" s="30">
        <f>' на весь срок'!W55</f>
        <v>0.14099999999999996</v>
      </c>
      <c r="J69" s="65">
        <f t="shared" si="12"/>
        <v>0</v>
      </c>
      <c r="K69" s="30">
        <f>' на весь срок'!J55</f>
        <v>0</v>
      </c>
      <c r="L69" s="30">
        <f>' на весь срок'!D55</f>
        <v>0</v>
      </c>
      <c r="M69" s="30">
        <f>' на весь срок'!AB56</f>
        <v>0</v>
      </c>
      <c r="N69" s="30">
        <f>' на весь срок'!T55</f>
        <v>0.1988</v>
      </c>
      <c r="O69" s="30">
        <f>' на весь срок'!O55</f>
        <v>0.20599999999999999</v>
      </c>
      <c r="P69" s="30">
        <f>' на весь срок'!X55</f>
        <v>0.19919999999999999</v>
      </c>
      <c r="Q69" s="65">
        <f t="shared" si="13"/>
        <v>0</v>
      </c>
      <c r="R69" s="30">
        <f>'льготный период'!I56</f>
        <v>0</v>
      </c>
      <c r="S69" s="30">
        <f>'льготный период'!C56</f>
        <v>0</v>
      </c>
      <c r="T69" s="30">
        <f>' на весь срок'!AC56</f>
        <v>0</v>
      </c>
      <c r="U69" s="30">
        <f>'льготный период'!U56</f>
        <v>4.6600000000000003E-2</v>
      </c>
      <c r="V69" s="30">
        <f>'льготный период'!O56</f>
        <v>4.8500000000000001E-2</v>
      </c>
      <c r="W69" s="30">
        <f>'льготный период'!AA56</f>
        <v>4.5999999999999999E-2</v>
      </c>
      <c r="X69" s="65">
        <f t="shared" si="14"/>
        <v>0</v>
      </c>
      <c r="Y69" s="30">
        <f>'льготный период'!J56</f>
        <v>0</v>
      </c>
      <c r="Z69" s="30">
        <f>'льготный период'!D56</f>
        <v>0</v>
      </c>
      <c r="AA69" s="30">
        <f>' на весь срок'!AD56</f>
        <v>0</v>
      </c>
      <c r="AB69" s="30">
        <f>'льготный период'!V56</f>
        <v>8.8300000000000003E-2</v>
      </c>
      <c r="AC69" s="30">
        <f>'льготный период'!P56</f>
        <v>9.1999999999999998E-2</v>
      </c>
      <c r="AD69" s="30">
        <f>'льготный период'!AB56</f>
        <v>8.7900000000000006E-2</v>
      </c>
      <c r="AE69" s="65">
        <f t="shared" si="15"/>
        <v>0</v>
      </c>
      <c r="AF69" s="30">
        <f>'льготный период'!K56</f>
        <v>0</v>
      </c>
      <c r="AG69" s="66">
        <f t="shared" si="7"/>
        <v>0</v>
      </c>
      <c r="AH69" s="66">
        <f>' на весь срок'!AE56</f>
        <v>0</v>
      </c>
      <c r="AI69" s="30">
        <f>'льготный период'!W56</f>
        <v>0.1772</v>
      </c>
      <c r="AJ69" s="30">
        <f>'льготный период'!Q56</f>
        <v>0.1847</v>
      </c>
      <c r="AK69" s="30">
        <f>'льготный период'!AC56</f>
        <v>0.1774</v>
      </c>
    </row>
    <row r="70" spans="1:37" x14ac:dyDescent="0.25">
      <c r="A70" s="27">
        <f t="shared" si="16"/>
        <v>51</v>
      </c>
      <c r="B70" s="65" t="str">
        <f t="shared" si="10"/>
        <v/>
      </c>
      <c r="C70" s="65">
        <f t="shared" si="11"/>
        <v>0</v>
      </c>
      <c r="D70" s="30">
        <f>IF($A$13=$A$17,' на весь срок'!I56,'льготный период'!H57)</f>
        <v>0</v>
      </c>
      <c r="E70" s="30">
        <f>IF($A$13=$A$17,' на весь срок'!C56,'льготный период'!B57)</f>
        <v>0</v>
      </c>
      <c r="F70" s="30">
        <f>' на весь срок'!AA57</f>
        <v>0</v>
      </c>
      <c r="G70" s="30">
        <f>' на весь срок'!S56</f>
        <v>0.13899999999999996</v>
      </c>
      <c r="H70" s="30">
        <f>' на весь срок'!N56</f>
        <v>0.13899999999999996</v>
      </c>
      <c r="I70" s="30">
        <f>' на весь срок'!W56</f>
        <v>0.13999999999999996</v>
      </c>
      <c r="J70" s="65">
        <f t="shared" si="12"/>
        <v>0</v>
      </c>
      <c r="K70" s="30">
        <f>' на весь срок'!J56</f>
        <v>0</v>
      </c>
      <c r="L70" s="30">
        <f>' на весь срок'!D56</f>
        <v>0</v>
      </c>
      <c r="M70" s="30">
        <f>' на весь срок'!AB57</f>
        <v>0</v>
      </c>
      <c r="N70" s="30">
        <f>' на весь срок'!T56</f>
        <v>0.2029</v>
      </c>
      <c r="O70" s="30">
        <f>' на весь срок'!O56</f>
        <v>0.21</v>
      </c>
      <c r="P70" s="30">
        <f>' на весь срок'!X56</f>
        <v>0.20319999999999999</v>
      </c>
      <c r="Q70" s="65">
        <f t="shared" si="13"/>
        <v>0</v>
      </c>
      <c r="R70" s="30">
        <f>'льготный период'!I57</f>
        <v>0</v>
      </c>
      <c r="S70" s="30">
        <f>'льготный период'!C57</f>
        <v>0</v>
      </c>
      <c r="T70" s="30">
        <f>' на весь срок'!AC57</f>
        <v>0</v>
      </c>
      <c r="U70" s="30">
        <f>'льготный период'!U57</f>
        <v>4.7600000000000003E-2</v>
      </c>
      <c r="V70" s="30">
        <f>'льготный период'!O57</f>
        <v>4.9500000000000002E-2</v>
      </c>
      <c r="W70" s="30">
        <f>'льготный период'!AA57</f>
        <v>4.7E-2</v>
      </c>
      <c r="X70" s="65">
        <f t="shared" si="14"/>
        <v>0</v>
      </c>
      <c r="Y70" s="30">
        <f>'льготный период'!J57</f>
        <v>0</v>
      </c>
      <c r="Z70" s="30">
        <f>'льготный период'!D57</f>
        <v>0</v>
      </c>
      <c r="AA70" s="30">
        <f>' на весь срок'!AD57</f>
        <v>0</v>
      </c>
      <c r="AB70" s="30">
        <f>'льготный период'!V57</f>
        <v>9.0200000000000002E-2</v>
      </c>
      <c r="AC70" s="30">
        <f>'льготный период'!P57</f>
        <v>9.3899999999999997E-2</v>
      </c>
      <c r="AD70" s="30">
        <f>'льготный период'!AB57</f>
        <v>8.9700000000000002E-2</v>
      </c>
      <c r="AE70" s="65">
        <f t="shared" si="15"/>
        <v>0</v>
      </c>
      <c r="AF70" s="30">
        <f>'льготный период'!K57</f>
        <v>0</v>
      </c>
      <c r="AG70" s="66">
        <f t="shared" si="7"/>
        <v>0</v>
      </c>
      <c r="AH70" s="66">
        <f>' на весь срок'!AE57</f>
        <v>0</v>
      </c>
      <c r="AI70" s="30">
        <f>'льготный период'!W57</f>
        <v>0.18090000000000001</v>
      </c>
      <c r="AJ70" s="30">
        <f>'льготный период'!Q57</f>
        <v>0.1883</v>
      </c>
      <c r="AK70" s="30">
        <f>'льготный период'!AC57</f>
        <v>0.18099999999999999</v>
      </c>
    </row>
    <row r="71" spans="1:37" x14ac:dyDescent="0.25">
      <c r="A71" s="27">
        <f>A70+1</f>
        <v>52</v>
      </c>
      <c r="B71" s="65" t="str">
        <f t="shared" si="10"/>
        <v/>
      </c>
      <c r="C71" s="65">
        <f t="shared" si="11"/>
        <v>0</v>
      </c>
      <c r="D71" s="30">
        <f>IF($A$13=$A$17,' на весь срок'!I57,'льготный период'!H58)</f>
        <v>0</v>
      </c>
      <c r="E71" s="30">
        <f>IF($A$13=$A$17,' на весь срок'!C57,'льготный период'!B58)</f>
        <v>0</v>
      </c>
      <c r="F71" s="30">
        <f>' на весь срок'!AA58</f>
        <v>0</v>
      </c>
      <c r="G71" s="30">
        <f>' на весь срок'!S57</f>
        <v>0.13799999999999996</v>
      </c>
      <c r="H71" s="30">
        <f>' на весь срок'!N57</f>
        <v>0.13799999999999996</v>
      </c>
      <c r="I71" s="30">
        <f>' на весь срок'!W57</f>
        <v>0.13899999999999996</v>
      </c>
      <c r="J71" s="65">
        <f t="shared" si="12"/>
        <v>0</v>
      </c>
      <c r="K71" s="30">
        <f>' на весь срок'!J57</f>
        <v>0</v>
      </c>
      <c r="L71" s="30">
        <f>' на весь срок'!D57</f>
        <v>0</v>
      </c>
      <c r="M71" s="30">
        <f>' на весь срок'!AB58</f>
        <v>0</v>
      </c>
      <c r="N71" s="30">
        <f>' на весь срок'!T57</f>
        <v>0.2069</v>
      </c>
      <c r="O71" s="30">
        <f>' на весь срок'!O57</f>
        <v>0.214</v>
      </c>
      <c r="P71" s="30">
        <f>' на весь срок'!X57</f>
        <v>0.2072</v>
      </c>
      <c r="Q71" s="65">
        <f t="shared" si="13"/>
        <v>0</v>
      </c>
      <c r="R71" s="30">
        <f>'льготный период'!I58</f>
        <v>0</v>
      </c>
      <c r="S71" s="30">
        <f>'льготный период'!C58</f>
        <v>0</v>
      </c>
      <c r="T71" s="30">
        <f>' на весь срок'!AC58</f>
        <v>0</v>
      </c>
      <c r="U71" s="30">
        <f>'льготный период'!U58</f>
        <v>4.8500000000000001E-2</v>
      </c>
      <c r="V71" s="30">
        <f>'льготный период'!O58</f>
        <v>5.0500000000000003E-2</v>
      </c>
      <c r="W71" s="30">
        <f>'льготный период'!AA58</f>
        <v>4.7899999999999998E-2</v>
      </c>
      <c r="X71" s="65">
        <f t="shared" si="14"/>
        <v>0</v>
      </c>
      <c r="Y71" s="30">
        <f>'льготный период'!J58</f>
        <v>0</v>
      </c>
      <c r="Z71" s="30">
        <f>'льготный период'!D58</f>
        <v>0</v>
      </c>
      <c r="AA71" s="30">
        <f>' на весь срок'!AD58</f>
        <v>0</v>
      </c>
      <c r="AB71" s="30">
        <f>'льготный период'!V58</f>
        <v>9.1999999999999998E-2</v>
      </c>
      <c r="AC71" s="30">
        <f>'льготный период'!P58</f>
        <v>9.5699999999999993E-2</v>
      </c>
      <c r="AD71" s="30">
        <f>'льготный период'!AB58</f>
        <v>9.1600000000000001E-2</v>
      </c>
      <c r="AE71" s="65">
        <f t="shared" si="15"/>
        <v>0</v>
      </c>
      <c r="AF71" s="30">
        <f>'льготный период'!K58</f>
        <v>0</v>
      </c>
      <c r="AG71" s="66">
        <f t="shared" si="7"/>
        <v>0</v>
      </c>
      <c r="AH71" s="66">
        <f>' на весь срок'!AE58</f>
        <v>0</v>
      </c>
      <c r="AI71" s="30">
        <f>'льготный период'!W58</f>
        <v>0.1845</v>
      </c>
      <c r="AJ71" s="30">
        <f>'льготный период'!Q58</f>
        <v>0.19189999999999999</v>
      </c>
      <c r="AK71" s="30">
        <f>'льготный период'!AC58</f>
        <v>0.18459999999999999</v>
      </c>
    </row>
    <row r="72" spans="1:37" x14ac:dyDescent="0.25">
      <c r="A72" s="27">
        <f t="shared" ref="A72:A84" si="17">A71+1</f>
        <v>53</v>
      </c>
      <c r="B72" s="65" t="str">
        <f t="shared" si="10"/>
        <v/>
      </c>
      <c r="C72" s="65">
        <f t="shared" si="11"/>
        <v>0</v>
      </c>
      <c r="D72" s="30">
        <f>IF($A$13=$A$17,' на весь срок'!I58,'льготный период'!H59)</f>
        <v>0</v>
      </c>
      <c r="E72" s="30">
        <f>IF($A$13=$A$17,' на весь срок'!C58,'льготный период'!B59)</f>
        <v>0</v>
      </c>
      <c r="F72" s="30">
        <f>' на весь срок'!AA59</f>
        <v>0</v>
      </c>
      <c r="G72" s="30">
        <f>' на весь срок'!S58</f>
        <v>0.13699999999999996</v>
      </c>
      <c r="H72" s="30">
        <f>' на весь срок'!N58</f>
        <v>0.13699999999999996</v>
      </c>
      <c r="I72" s="30">
        <f>' на весь срок'!W58</f>
        <v>0.13799999999999996</v>
      </c>
      <c r="J72" s="65">
        <f t="shared" si="12"/>
        <v>0</v>
      </c>
      <c r="K72" s="30">
        <f>' на весь срок'!J58</f>
        <v>0</v>
      </c>
      <c r="L72" s="30">
        <f>' на весь срок'!D58</f>
        <v>0</v>
      </c>
      <c r="M72" s="30">
        <f>' на весь срок'!AB59</f>
        <v>0</v>
      </c>
      <c r="N72" s="30">
        <f>' на весь срок'!T58</f>
        <v>0.2109</v>
      </c>
      <c r="O72" s="30">
        <f>' на весь срок'!O58</f>
        <v>0.21790000000000001</v>
      </c>
      <c r="P72" s="30">
        <f>' на весь срок'!X58</f>
        <v>0.2112</v>
      </c>
      <c r="Q72" s="65">
        <f t="shared" si="13"/>
        <v>0</v>
      </c>
      <c r="R72" s="30">
        <f>'льготный период'!I59</f>
        <v>0</v>
      </c>
      <c r="S72" s="30">
        <f>'льготный период'!C59</f>
        <v>0</v>
      </c>
      <c r="T72" s="30">
        <f>' на весь срок'!AC59</f>
        <v>0</v>
      </c>
      <c r="U72" s="30">
        <f>'льготный период'!U59</f>
        <v>4.9500000000000002E-2</v>
      </c>
      <c r="V72" s="30">
        <f>'льготный период'!O59</f>
        <v>5.1499999999999997E-2</v>
      </c>
      <c r="W72" s="30">
        <f>'льготный период'!AA59</f>
        <v>4.8899999999999999E-2</v>
      </c>
      <c r="X72" s="65">
        <f t="shared" si="14"/>
        <v>0</v>
      </c>
      <c r="Y72" s="30">
        <f>'льготный период'!J59</f>
        <v>0</v>
      </c>
      <c r="Z72" s="30">
        <f>'льготный период'!D59</f>
        <v>0</v>
      </c>
      <c r="AA72" s="30">
        <f>' на весь срок'!AD59</f>
        <v>0</v>
      </c>
      <c r="AB72" s="30">
        <f>'льготный период'!V59</f>
        <v>9.3899999999999997E-2</v>
      </c>
      <c r="AC72" s="30">
        <f>'льготный период'!P59</f>
        <v>9.7600000000000006E-2</v>
      </c>
      <c r="AD72" s="30">
        <f>'льготный период'!AB59</f>
        <v>9.3399999999999997E-2</v>
      </c>
      <c r="AE72" s="65">
        <f t="shared" si="15"/>
        <v>0</v>
      </c>
      <c r="AF72" s="30">
        <f>'льготный период'!K59</f>
        <v>0</v>
      </c>
      <c r="AG72" s="66">
        <f t="shared" si="7"/>
        <v>0</v>
      </c>
      <c r="AH72" s="66">
        <f>' на весь срок'!AE59</f>
        <v>0</v>
      </c>
      <c r="AI72" s="30">
        <f>'льготный период'!W59</f>
        <v>0.18809999999999999</v>
      </c>
      <c r="AJ72" s="30">
        <f>'льготный период'!Q59</f>
        <v>0.1956</v>
      </c>
      <c r="AK72" s="30">
        <f>'льготный период'!AC59</f>
        <v>0.18820000000000001</v>
      </c>
    </row>
    <row r="73" spans="1:37" x14ac:dyDescent="0.25">
      <c r="A73" s="27">
        <f t="shared" si="17"/>
        <v>54</v>
      </c>
      <c r="B73" s="65" t="str">
        <f t="shared" si="10"/>
        <v/>
      </c>
      <c r="C73" s="65">
        <f t="shared" si="11"/>
        <v>0</v>
      </c>
      <c r="D73" s="30">
        <f>IF($A$13=$A$17,' на весь срок'!I59,'льготный период'!H60)</f>
        <v>0</v>
      </c>
      <c r="E73" s="30">
        <f>IF($A$13=$A$17,' на весь срок'!C59,'льготный период'!B60)</f>
        <v>0</v>
      </c>
      <c r="F73" s="30">
        <f>' на весь срок'!AA60</f>
        <v>0</v>
      </c>
      <c r="G73" s="30">
        <f>' на весь срок'!S59</f>
        <v>0.13599999999999995</v>
      </c>
      <c r="H73" s="30">
        <f>' на весь срок'!N59</f>
        <v>0.13599999999999995</v>
      </c>
      <c r="I73" s="30">
        <f>' на весь срок'!W59</f>
        <v>0.13699999999999996</v>
      </c>
      <c r="J73" s="65">
        <f t="shared" si="12"/>
        <v>0</v>
      </c>
      <c r="K73" s="30">
        <f>' на весь срок'!J59</f>
        <v>0</v>
      </c>
      <c r="L73" s="30">
        <f>' на весь срок'!D59</f>
        <v>0</v>
      </c>
      <c r="M73" s="30">
        <f>' на весь срок'!AB60</f>
        <v>0</v>
      </c>
      <c r="N73" s="30">
        <f>' на весь срок'!T59</f>
        <v>0.215</v>
      </c>
      <c r="O73" s="30">
        <f>' на весь срок'!O59</f>
        <v>0.22189999999999999</v>
      </c>
      <c r="P73" s="30">
        <f>' на весь срок'!X59</f>
        <v>0.2152</v>
      </c>
      <c r="Q73" s="65">
        <f t="shared" si="13"/>
        <v>0</v>
      </c>
      <c r="R73" s="30">
        <f>'льготный период'!I60</f>
        <v>0</v>
      </c>
      <c r="S73" s="30">
        <f>'льготный период'!C60</f>
        <v>0</v>
      </c>
      <c r="T73" s="30">
        <f>' на весь срок'!AC60</f>
        <v>0</v>
      </c>
      <c r="U73" s="30">
        <f>'льготный период'!U60</f>
        <v>5.0500000000000003E-2</v>
      </c>
      <c r="V73" s="30">
        <f>'льготный период'!O60</f>
        <v>5.2499999999999998E-2</v>
      </c>
      <c r="W73" s="30">
        <f>'льготный период'!AA60</f>
        <v>4.99E-2</v>
      </c>
      <c r="X73" s="65">
        <f t="shared" si="14"/>
        <v>0</v>
      </c>
      <c r="Y73" s="30">
        <f>'льготный период'!J60</f>
        <v>0</v>
      </c>
      <c r="Z73" s="30">
        <f>'льготный период'!D60</f>
        <v>0</v>
      </c>
      <c r="AA73" s="30">
        <f>' на весь срок'!AD60</f>
        <v>0</v>
      </c>
      <c r="AB73" s="30">
        <f>'льготный период'!V60</f>
        <v>9.5699999999999993E-2</v>
      </c>
      <c r="AC73" s="30">
        <f>'льготный период'!P60</f>
        <v>9.9400000000000002E-2</v>
      </c>
      <c r="AD73" s="30">
        <f>'льготный период'!AB60</f>
        <v>9.5299999999999996E-2</v>
      </c>
      <c r="AE73" s="65">
        <f t="shared" si="15"/>
        <v>0</v>
      </c>
      <c r="AF73" s="30">
        <f>'льготный период'!K60</f>
        <v>0</v>
      </c>
      <c r="AG73" s="66">
        <f t="shared" si="7"/>
        <v>0</v>
      </c>
      <c r="AH73" s="66">
        <f>' на весь срок'!AE60</f>
        <v>0</v>
      </c>
      <c r="AI73" s="30">
        <f>'льготный период'!W60</f>
        <v>0.19170000000000001</v>
      </c>
      <c r="AJ73" s="30">
        <f>'льготный период'!Q60</f>
        <v>0.19919999999999999</v>
      </c>
      <c r="AK73" s="30">
        <f>'льготный период'!AC60</f>
        <v>0.1918</v>
      </c>
    </row>
    <row r="74" spans="1:37" x14ac:dyDescent="0.25">
      <c r="A74" s="27">
        <f t="shared" si="17"/>
        <v>55</v>
      </c>
      <c r="B74" s="65" t="str">
        <f t="shared" si="10"/>
        <v/>
      </c>
      <c r="C74" s="65">
        <f t="shared" si="11"/>
        <v>0</v>
      </c>
      <c r="D74" s="30">
        <f>IF($A$13=$A$17,' на весь срок'!I60,'льготный период'!H61)</f>
        <v>0</v>
      </c>
      <c r="E74" s="30">
        <f>IF($A$13=$A$17,' на весь срок'!C60,'льготный период'!B61)</f>
        <v>0</v>
      </c>
      <c r="F74" s="30">
        <f>' на весь срок'!AA61</f>
        <v>0</v>
      </c>
      <c r="G74" s="30">
        <f>' на весь срок'!S60</f>
        <v>0.13499999999999995</v>
      </c>
      <c r="H74" s="30">
        <f>' на весь срок'!N60</f>
        <v>0.13499999999999995</v>
      </c>
      <c r="I74" s="30">
        <f>' на весь срок'!W60</f>
        <v>0.13599999999999995</v>
      </c>
      <c r="J74" s="65">
        <f t="shared" si="12"/>
        <v>0</v>
      </c>
      <c r="K74" s="30">
        <f>' на весь срок'!J60</f>
        <v>0</v>
      </c>
      <c r="L74" s="30">
        <f>' на весь срок'!D60</f>
        <v>0</v>
      </c>
      <c r="M74" s="30">
        <f>' на весь срок'!AB61</f>
        <v>0</v>
      </c>
      <c r="N74" s="30">
        <f>' на весь срок'!T60</f>
        <v>0.219</v>
      </c>
      <c r="O74" s="30">
        <f>' на весь срок'!O60</f>
        <v>0.22589999999999999</v>
      </c>
      <c r="P74" s="30">
        <f>' на весь срок'!X60</f>
        <v>0.21920000000000001</v>
      </c>
      <c r="Q74" s="65">
        <f t="shared" si="13"/>
        <v>0</v>
      </c>
      <c r="R74" s="30">
        <f>'льготный период'!I61</f>
        <v>0</v>
      </c>
      <c r="S74" s="30">
        <f>'льготный период'!C61</f>
        <v>0</v>
      </c>
      <c r="T74" s="30">
        <f>' на весь срок'!AC61</f>
        <v>0</v>
      </c>
      <c r="U74" s="30">
        <f>'льготный период'!U61</f>
        <v>5.1499999999999997E-2</v>
      </c>
      <c r="V74" s="30">
        <f>'льготный период'!O61</f>
        <v>5.3400000000000003E-2</v>
      </c>
      <c r="W74" s="30">
        <f>'льготный период'!AA61</f>
        <v>5.0900000000000001E-2</v>
      </c>
      <c r="X74" s="65">
        <f t="shared" si="14"/>
        <v>0</v>
      </c>
      <c r="Y74" s="30">
        <f>'льготный период'!J61</f>
        <v>0</v>
      </c>
      <c r="Z74" s="30">
        <f>'льготный период'!D61</f>
        <v>0</v>
      </c>
      <c r="AA74" s="30">
        <f>' на весь срок'!AD61</f>
        <v>0</v>
      </c>
      <c r="AB74" s="30">
        <f>'льготный период'!V61</f>
        <v>9.7600000000000006E-2</v>
      </c>
      <c r="AC74" s="30">
        <f>'льготный период'!P61</f>
        <v>0.1013</v>
      </c>
      <c r="AD74" s="30">
        <f>'льготный период'!AB61</f>
        <v>9.7100000000000006E-2</v>
      </c>
      <c r="AE74" s="65">
        <f t="shared" si="15"/>
        <v>0</v>
      </c>
      <c r="AF74" s="30">
        <f>'льготный период'!K61</f>
        <v>0</v>
      </c>
      <c r="AG74" s="66">
        <f t="shared" si="7"/>
        <v>0</v>
      </c>
      <c r="AH74" s="66">
        <f>' на весь срок'!AE61</f>
        <v>0</v>
      </c>
      <c r="AI74" s="30">
        <f>'льготный период'!W61</f>
        <v>0.19539999999999999</v>
      </c>
      <c r="AJ74" s="30">
        <f>'льготный период'!Q61</f>
        <v>0.20280000000000001</v>
      </c>
      <c r="AK74" s="30">
        <f>'льготный период'!AC61</f>
        <v>0.19539999999999999</v>
      </c>
    </row>
    <row r="75" spans="1:37" x14ac:dyDescent="0.25">
      <c r="A75" s="27">
        <f t="shared" si="17"/>
        <v>56</v>
      </c>
      <c r="B75" s="65" t="str">
        <f t="shared" si="10"/>
        <v/>
      </c>
      <c r="C75" s="65">
        <f t="shared" si="11"/>
        <v>0</v>
      </c>
      <c r="D75" s="30">
        <f>IF($A$13=$A$17,' на весь срок'!I61,'льготный период'!H62)</f>
        <v>0</v>
      </c>
      <c r="E75" s="30">
        <f>IF($A$13=$A$17,' на весь срок'!C61,'льготный период'!B62)</f>
        <v>0</v>
      </c>
      <c r="F75" s="30">
        <f>' на весь срок'!AA62</f>
        <v>0</v>
      </c>
      <c r="G75" s="30">
        <f>' на весь срок'!S61</f>
        <v>0.13399999999999995</v>
      </c>
      <c r="H75" s="30">
        <f>' на весь срок'!N61</f>
        <v>0.13399999999999995</v>
      </c>
      <c r="I75" s="30">
        <f>' на весь срок'!W61</f>
        <v>0.13499999999999995</v>
      </c>
      <c r="J75" s="65">
        <f t="shared" si="12"/>
        <v>0</v>
      </c>
      <c r="K75" s="30">
        <f>' на весь срок'!J61</f>
        <v>0</v>
      </c>
      <c r="L75" s="30">
        <f>' на весь срок'!D61</f>
        <v>0</v>
      </c>
      <c r="M75" s="30">
        <f>' на весь срок'!AB62</f>
        <v>0</v>
      </c>
      <c r="N75" s="30">
        <f>' на весь срок'!T61</f>
        <v>0.223</v>
      </c>
      <c r="O75" s="30">
        <f>' на весь срок'!O61</f>
        <v>0.22989999999999999</v>
      </c>
      <c r="P75" s="30">
        <f>' на весь срок'!X61</f>
        <v>0.22320000000000001</v>
      </c>
      <c r="Q75" s="65">
        <f t="shared" si="13"/>
        <v>0</v>
      </c>
      <c r="R75" s="30">
        <f>'льготный период'!I62</f>
        <v>0</v>
      </c>
      <c r="S75" s="30">
        <f>'льготный период'!C62</f>
        <v>0</v>
      </c>
      <c r="T75" s="30">
        <f>' на весь срок'!AC62</f>
        <v>0</v>
      </c>
      <c r="U75" s="30">
        <f>'льготный период'!U62</f>
        <v>5.2499999999999998E-2</v>
      </c>
      <c r="V75" s="30">
        <f>'льготный период'!O62</f>
        <v>5.4399999999999997E-2</v>
      </c>
      <c r="W75" s="30">
        <f>'льготный период'!AA62</f>
        <v>5.1900000000000002E-2</v>
      </c>
      <c r="X75" s="65">
        <f t="shared" si="14"/>
        <v>0</v>
      </c>
      <c r="Y75" s="30">
        <f>'льготный период'!J62</f>
        <v>0</v>
      </c>
      <c r="Z75" s="30">
        <f>'льготный период'!D62</f>
        <v>0</v>
      </c>
      <c r="AA75" s="30">
        <f>' на весь срок'!AD62</f>
        <v>0</v>
      </c>
      <c r="AB75" s="30">
        <f>'льготный период'!V62</f>
        <v>9.9400000000000002E-2</v>
      </c>
      <c r="AC75" s="30">
        <f>'льготный период'!P62</f>
        <v>0.1031</v>
      </c>
      <c r="AD75" s="30">
        <f>'льготный период'!AB62</f>
        <v>9.8900000000000002E-2</v>
      </c>
      <c r="AE75" s="65">
        <f t="shared" si="15"/>
        <v>0</v>
      </c>
      <c r="AF75" s="30">
        <f>'льготный период'!K62</f>
        <v>0</v>
      </c>
      <c r="AG75" s="66">
        <f t="shared" si="7"/>
        <v>0</v>
      </c>
      <c r="AH75" s="66">
        <f>' на весь срок'!AE62</f>
        <v>0</v>
      </c>
      <c r="AI75" s="30">
        <f>'льготный период'!W62</f>
        <v>0.19900000000000001</v>
      </c>
      <c r="AJ75" s="30">
        <f>'льготный период'!Q62</f>
        <v>0.2064</v>
      </c>
      <c r="AK75" s="30">
        <f>'льготный период'!AC62</f>
        <v>0.19900000000000001</v>
      </c>
    </row>
    <row r="76" spans="1:37" x14ac:dyDescent="0.25">
      <c r="A76" s="27">
        <f t="shared" si="17"/>
        <v>57</v>
      </c>
      <c r="B76" s="65" t="str">
        <f t="shared" si="10"/>
        <v/>
      </c>
      <c r="C76" s="65">
        <f t="shared" si="11"/>
        <v>0</v>
      </c>
      <c r="D76" s="30">
        <f>IF($A$13=$A$17,' на весь срок'!I62,'льготный период'!H63)</f>
        <v>0</v>
      </c>
      <c r="E76" s="30">
        <f>IF($A$13=$A$17,' на весь срок'!C62,'льготный период'!B63)</f>
        <v>0</v>
      </c>
      <c r="F76" s="30">
        <f>' на весь срок'!AA63</f>
        <v>0</v>
      </c>
      <c r="G76" s="30">
        <f>' на весь срок'!S62</f>
        <v>0.13299999999999995</v>
      </c>
      <c r="H76" s="30">
        <f>' на весь срок'!N62</f>
        <v>0.13299999999999995</v>
      </c>
      <c r="I76" s="30">
        <f>' на весь срок'!W62</f>
        <v>0.13399999999999995</v>
      </c>
      <c r="J76" s="65">
        <f t="shared" si="12"/>
        <v>0</v>
      </c>
      <c r="K76" s="30">
        <f>' на весь срок'!J62</f>
        <v>0</v>
      </c>
      <c r="L76" s="30">
        <f>' на весь срок'!D62</f>
        <v>0</v>
      </c>
      <c r="M76" s="30">
        <f>' на весь срок'!AB63</f>
        <v>0</v>
      </c>
      <c r="N76" s="30">
        <f>' на весь срок'!T62</f>
        <v>0.22700000000000001</v>
      </c>
      <c r="O76" s="30">
        <f>' на весь срок'!O62</f>
        <v>0.23380000000000001</v>
      </c>
      <c r="P76" s="30">
        <f>' на весь срок'!X62</f>
        <v>0.22720000000000001</v>
      </c>
      <c r="Q76" s="65">
        <f t="shared" si="13"/>
        <v>0</v>
      </c>
      <c r="R76" s="30">
        <f>'льготный период'!I63</f>
        <v>0</v>
      </c>
      <c r="S76" s="30">
        <f>'льготный период'!C63</f>
        <v>0</v>
      </c>
      <c r="T76" s="30">
        <f>' на весь срок'!AC63</f>
        <v>0</v>
      </c>
      <c r="U76" s="30">
        <f>'льготный период'!U63</f>
        <v>5.3499999999999999E-2</v>
      </c>
      <c r="V76" s="30">
        <f>'льготный период'!O63</f>
        <v>5.5399999999999998E-2</v>
      </c>
      <c r="W76" s="30">
        <f>'льготный период'!AA63</f>
        <v>5.28E-2</v>
      </c>
      <c r="X76" s="65">
        <f t="shared" si="14"/>
        <v>0</v>
      </c>
      <c r="Y76" s="30">
        <f>'льготный период'!J63</f>
        <v>0</v>
      </c>
      <c r="Z76" s="30">
        <f>'льготный период'!D63</f>
        <v>0</v>
      </c>
      <c r="AA76" s="30">
        <f>' на весь срок'!AD63</f>
        <v>0</v>
      </c>
      <c r="AB76" s="30">
        <f>'льготный период'!V63</f>
        <v>0.1013</v>
      </c>
      <c r="AC76" s="30">
        <f>'льготный период'!P63</f>
        <v>0.105</v>
      </c>
      <c r="AD76" s="30">
        <f>'льготный период'!AB63</f>
        <v>0.1008</v>
      </c>
      <c r="AE76" s="65">
        <f t="shared" si="15"/>
        <v>0</v>
      </c>
      <c r="AF76" s="30">
        <f>'льготный период'!K63</f>
        <v>0</v>
      </c>
      <c r="AG76" s="66">
        <f t="shared" si="7"/>
        <v>0</v>
      </c>
      <c r="AH76" s="66">
        <f>' на весь срок'!AE63</f>
        <v>0</v>
      </c>
      <c r="AI76" s="30">
        <f>'льготный период'!W63</f>
        <v>0.2026</v>
      </c>
      <c r="AJ76" s="30">
        <f>'льготный период'!Q63</f>
        <v>0.21</v>
      </c>
      <c r="AK76" s="30">
        <f>'льготный период'!AC63</f>
        <v>0.2026</v>
      </c>
    </row>
    <row r="77" spans="1:37" x14ac:dyDescent="0.25">
      <c r="A77" s="27">
        <f t="shared" si="17"/>
        <v>58</v>
      </c>
      <c r="B77" s="65" t="str">
        <f t="shared" si="10"/>
        <v/>
      </c>
      <c r="C77" s="65">
        <f t="shared" si="11"/>
        <v>0</v>
      </c>
      <c r="D77" s="30">
        <f>IF($A$13=$A$17,' на весь срок'!I63,'льготный период'!H64)</f>
        <v>0</v>
      </c>
      <c r="E77" s="30">
        <f>IF($A$13=$A$17,' на весь срок'!C63,'льготный период'!B64)</f>
        <v>0</v>
      </c>
      <c r="F77" s="30">
        <f>' на весь срок'!AA64</f>
        <v>0</v>
      </c>
      <c r="G77" s="30">
        <f>' на весь срок'!S63</f>
        <v>0.13199999999999995</v>
      </c>
      <c r="H77" s="30">
        <f>' на весь срок'!N63</f>
        <v>0.13199999999999995</v>
      </c>
      <c r="I77" s="30">
        <f>' на весь срок'!W63</f>
        <v>0.13299999999999995</v>
      </c>
      <c r="J77" s="65">
        <f t="shared" si="12"/>
        <v>0</v>
      </c>
      <c r="K77" s="30">
        <f>' на весь срок'!J63</f>
        <v>0</v>
      </c>
      <c r="L77" s="30">
        <f>' на весь срок'!D63</f>
        <v>0</v>
      </c>
      <c r="M77" s="30">
        <f>' на весь срок'!AB64</f>
        <v>0</v>
      </c>
      <c r="N77" s="30">
        <f>' на весь срок'!T63</f>
        <v>0.23100000000000001</v>
      </c>
      <c r="O77" s="30">
        <f>' на весь срок'!O63</f>
        <v>0.23780000000000001</v>
      </c>
      <c r="P77" s="30">
        <f>' на весь срок'!X63</f>
        <v>0.23119999999999999</v>
      </c>
      <c r="Q77" s="65">
        <f t="shared" si="13"/>
        <v>0</v>
      </c>
      <c r="R77" s="30">
        <f>'льготный период'!I64</f>
        <v>0</v>
      </c>
      <c r="S77" s="30">
        <f>'льготный период'!C64</f>
        <v>0</v>
      </c>
      <c r="T77" s="30">
        <f>' на весь срок'!AC64</f>
        <v>0</v>
      </c>
      <c r="U77" s="30">
        <f>'льготный период'!U64</f>
        <v>5.45E-2</v>
      </c>
      <c r="V77" s="30">
        <f>'льготный период'!O64</f>
        <v>5.6399999999999999E-2</v>
      </c>
      <c r="W77" s="30">
        <f>'льготный период'!AA64</f>
        <v>5.3800000000000001E-2</v>
      </c>
      <c r="X77" s="65">
        <f t="shared" si="14"/>
        <v>0</v>
      </c>
      <c r="Y77" s="30">
        <f>'льготный период'!J64</f>
        <v>0</v>
      </c>
      <c r="Z77" s="30">
        <f>'льготный период'!D64</f>
        <v>0</v>
      </c>
      <c r="AA77" s="30">
        <f>' на весь срок'!AD64</f>
        <v>0</v>
      </c>
      <c r="AB77" s="30">
        <f>'льготный период'!V64</f>
        <v>0.1031</v>
      </c>
      <c r="AC77" s="30">
        <f>'льготный период'!P64</f>
        <v>0.10680000000000001</v>
      </c>
      <c r="AD77" s="30">
        <f>'льготный период'!AB64</f>
        <v>0.1026</v>
      </c>
      <c r="AE77" s="65">
        <f t="shared" si="15"/>
        <v>0</v>
      </c>
      <c r="AF77" s="30">
        <f>'льготный период'!K64</f>
        <v>0</v>
      </c>
      <c r="AG77" s="66">
        <f t="shared" si="7"/>
        <v>0</v>
      </c>
      <c r="AH77" s="66">
        <f>' на весь срок'!AE64</f>
        <v>0</v>
      </c>
      <c r="AI77" s="30">
        <f>'льготный период'!W64</f>
        <v>0.20619999999999999</v>
      </c>
      <c r="AJ77" s="30">
        <f>'льготный период'!Q64</f>
        <v>0.21360000000000001</v>
      </c>
      <c r="AK77" s="30">
        <f>'льготный период'!AC64</f>
        <v>0.20619999999999999</v>
      </c>
    </row>
    <row r="78" spans="1:37" x14ac:dyDescent="0.25">
      <c r="A78" s="27">
        <f t="shared" si="17"/>
        <v>59</v>
      </c>
      <c r="B78" s="65" t="str">
        <f t="shared" si="10"/>
        <v/>
      </c>
      <c r="C78" s="65">
        <f t="shared" si="11"/>
        <v>0</v>
      </c>
      <c r="D78" s="30">
        <f>IF($A$13=$A$17,' на весь срок'!I64,'льготный период'!H65)</f>
        <v>0</v>
      </c>
      <c r="E78" s="30">
        <f>IF($A$13=$A$17,' на весь срок'!C64,'льготный период'!B65)</f>
        <v>0</v>
      </c>
      <c r="F78" s="30">
        <f>' на весь срок'!AA65</f>
        <v>0</v>
      </c>
      <c r="G78" s="30">
        <f>' на весь срок'!S64</f>
        <v>0.13099999999999995</v>
      </c>
      <c r="H78" s="30">
        <f>' на весь срок'!N64</f>
        <v>0.13099999999999995</v>
      </c>
      <c r="I78" s="30">
        <f>' на весь срок'!W64</f>
        <v>0.13199999999999995</v>
      </c>
      <c r="J78" s="65">
        <f t="shared" si="12"/>
        <v>0</v>
      </c>
      <c r="K78" s="30">
        <f>' на весь срок'!J64</f>
        <v>0</v>
      </c>
      <c r="L78" s="30">
        <f>' на весь срок'!D64</f>
        <v>0</v>
      </c>
      <c r="M78" s="30">
        <f>' на весь срок'!AB65</f>
        <v>0</v>
      </c>
      <c r="N78" s="30">
        <f>' на весь срок'!T64</f>
        <v>0.2349</v>
      </c>
      <c r="O78" s="30">
        <f>' на весь срок'!O64</f>
        <v>0.2417</v>
      </c>
      <c r="P78" s="30">
        <f>' на весь срок'!X64</f>
        <v>0.23519999999999999</v>
      </c>
      <c r="Q78" s="65">
        <f t="shared" si="13"/>
        <v>0</v>
      </c>
      <c r="R78" s="30">
        <f>'льготный период'!I65</f>
        <v>0</v>
      </c>
      <c r="S78" s="30">
        <f>'льготный период'!C65</f>
        <v>0</v>
      </c>
      <c r="T78" s="30">
        <f>' на весь срок'!AC65</f>
        <v>0</v>
      </c>
      <c r="U78" s="30">
        <f>'льготный период'!U65</f>
        <v>5.5399999999999998E-2</v>
      </c>
      <c r="V78" s="30">
        <f>'льготный период'!O65</f>
        <v>5.74E-2</v>
      </c>
      <c r="W78" s="30">
        <f>'льготный период'!AA65</f>
        <v>5.4800000000000001E-2</v>
      </c>
      <c r="X78" s="65">
        <f t="shared" si="14"/>
        <v>0</v>
      </c>
      <c r="Y78" s="30">
        <f>'льготный период'!J65</f>
        <v>0</v>
      </c>
      <c r="Z78" s="30">
        <f>'льготный период'!D65</f>
        <v>0</v>
      </c>
      <c r="AA78" s="30">
        <f>' на весь срок'!AD65</f>
        <v>0</v>
      </c>
      <c r="AB78" s="30">
        <f>'льготный период'!V65</f>
        <v>0.105</v>
      </c>
      <c r="AC78" s="30">
        <f>'льготный период'!P65</f>
        <v>0.1086</v>
      </c>
      <c r="AD78" s="30">
        <f>'льготный период'!AB65</f>
        <v>0.1045</v>
      </c>
      <c r="AE78" s="65">
        <f t="shared" si="15"/>
        <v>0</v>
      </c>
      <c r="AF78" s="30">
        <f>'льготный период'!K65</f>
        <v>0</v>
      </c>
      <c r="AG78" s="66">
        <f t="shared" si="7"/>
        <v>0</v>
      </c>
      <c r="AH78" s="66">
        <f>' на весь срок'!AE65</f>
        <v>0</v>
      </c>
      <c r="AI78" s="30">
        <f>'льготный период'!W65</f>
        <v>0.20979999999999999</v>
      </c>
      <c r="AJ78" s="30">
        <f>'льготный период'!Q65</f>
        <v>0.21709999999999999</v>
      </c>
      <c r="AK78" s="30">
        <f>'льготный период'!AC65</f>
        <v>0.20979999999999999</v>
      </c>
    </row>
    <row r="79" spans="1:37" x14ac:dyDescent="0.25">
      <c r="A79" s="27">
        <f t="shared" si="17"/>
        <v>60</v>
      </c>
      <c r="B79" s="65" t="str">
        <f t="shared" si="10"/>
        <v/>
      </c>
      <c r="C79" s="65">
        <f t="shared" si="11"/>
        <v>0</v>
      </c>
      <c r="D79" s="30">
        <f>IF($A$13=$A$17,' на весь срок'!I65,'льготный период'!H66)</f>
        <v>0</v>
      </c>
      <c r="E79" s="30">
        <f>IF($A$13=$A$17,' на весь срок'!C65,'льготный период'!B66)</f>
        <v>0</v>
      </c>
      <c r="F79" s="30">
        <f>' на весь срок'!AA66</f>
        <v>0</v>
      </c>
      <c r="G79" s="30">
        <f>' на весь срок'!S65</f>
        <v>0.12999999999999995</v>
      </c>
      <c r="H79" s="30">
        <f>' на весь срок'!N65</f>
        <v>0.12999999999999995</v>
      </c>
      <c r="I79" s="30">
        <f>' на весь срок'!W65</f>
        <v>0.13099999999999995</v>
      </c>
      <c r="J79" s="65">
        <f t="shared" si="12"/>
        <v>0</v>
      </c>
      <c r="K79" s="30">
        <f>' на весь срок'!J65</f>
        <v>0</v>
      </c>
      <c r="L79" s="30">
        <f>' на весь срок'!D65</f>
        <v>0</v>
      </c>
      <c r="M79" s="30">
        <f>' на весь срок'!AB66</f>
        <v>0</v>
      </c>
      <c r="N79" s="30">
        <f>' на весь срок'!T65</f>
        <v>0.2389</v>
      </c>
      <c r="O79" s="30">
        <f>' на весь срок'!O65</f>
        <v>0.2457</v>
      </c>
      <c r="P79" s="30">
        <f>' на весь срок'!X65</f>
        <v>0.23910000000000001</v>
      </c>
      <c r="Q79" s="65">
        <f t="shared" si="13"/>
        <v>0</v>
      </c>
      <c r="R79" s="30">
        <f>'льготный период'!I66</f>
        <v>0</v>
      </c>
      <c r="S79" s="30">
        <f>'льготный период'!C66</f>
        <v>0</v>
      </c>
      <c r="T79" s="30">
        <f>' на весь срок'!AC66</f>
        <v>0</v>
      </c>
      <c r="U79" s="30">
        <f>'льготный период'!U66</f>
        <v>5.6399999999999999E-2</v>
      </c>
      <c r="V79" s="30">
        <f>'льготный период'!O66</f>
        <v>5.8400000000000001E-2</v>
      </c>
      <c r="W79" s="30">
        <f>'льготный период'!AA66</f>
        <v>5.5800000000000002E-2</v>
      </c>
      <c r="X79" s="65">
        <f t="shared" si="14"/>
        <v>0</v>
      </c>
      <c r="Y79" s="30">
        <f>'льготный период'!J66</f>
        <v>0</v>
      </c>
      <c r="Z79" s="30">
        <f>'льготный период'!D66</f>
        <v>0</v>
      </c>
      <c r="AA79" s="30">
        <f>' на весь срок'!AD66</f>
        <v>0</v>
      </c>
      <c r="AB79" s="30">
        <f>'льготный период'!V66</f>
        <v>0.10680000000000001</v>
      </c>
      <c r="AC79" s="30">
        <f>'льготный период'!P66</f>
        <v>0.1105</v>
      </c>
      <c r="AD79" s="30">
        <f>'льготный период'!AB66</f>
        <v>0.10630000000000001</v>
      </c>
      <c r="AE79" s="65">
        <f t="shared" si="15"/>
        <v>0</v>
      </c>
      <c r="AF79" s="30">
        <f>'льготный период'!K66</f>
        <v>0</v>
      </c>
      <c r="AG79" s="66">
        <f t="shared" si="7"/>
        <v>0</v>
      </c>
      <c r="AH79" s="66">
        <f>' на весь срок'!AE66</f>
        <v>0</v>
      </c>
      <c r="AI79" s="30">
        <f>'льготный период'!W66</f>
        <v>0.21329999999999999</v>
      </c>
      <c r="AJ79" s="30">
        <f>'льготный период'!Q66</f>
        <v>0.22070000000000001</v>
      </c>
      <c r="AK79" s="30">
        <f>'льготный период'!AC66</f>
        <v>0.21329999999999999</v>
      </c>
    </row>
    <row r="80" spans="1:37" x14ac:dyDescent="0.25">
      <c r="A80" s="27">
        <f t="shared" si="17"/>
        <v>61</v>
      </c>
      <c r="B80" s="65" t="str">
        <f t="shared" si="10"/>
        <v/>
      </c>
      <c r="C80" s="65">
        <f t="shared" si="11"/>
        <v>0</v>
      </c>
      <c r="D80" s="30">
        <f>IF($A$13=$A$17,' на весь срок'!I66,'льготный период'!H67)</f>
        <v>0</v>
      </c>
      <c r="E80" s="30">
        <f>IF($A$13=$A$17,' на весь срок'!C66,'льготный период'!B67)</f>
        <v>0</v>
      </c>
      <c r="F80" s="30">
        <f>' на весь срок'!AA67</f>
        <v>0</v>
      </c>
      <c r="G80" s="30">
        <f>' на весь срок'!S66</f>
        <v>0.12899999999999995</v>
      </c>
      <c r="H80" s="30">
        <f>' на весь срок'!N66</f>
        <v>0.12899999999999995</v>
      </c>
      <c r="I80" s="30">
        <f>' на весь срок'!W66</f>
        <v>0.12999999999999995</v>
      </c>
      <c r="J80" s="65">
        <f t="shared" si="12"/>
        <v>0</v>
      </c>
      <c r="K80" s="30">
        <f>' на весь срок'!J66</f>
        <v>0</v>
      </c>
      <c r="L80" s="30">
        <f>' на весь срок'!D66</f>
        <v>0</v>
      </c>
      <c r="M80" s="30">
        <f>' на весь срок'!AB67</f>
        <v>0</v>
      </c>
      <c r="N80" s="30">
        <f>' на весь срок'!T66</f>
        <v>0.2429</v>
      </c>
      <c r="O80" s="30">
        <f>' на весь срок'!O66</f>
        <v>0.24959999999999999</v>
      </c>
      <c r="P80" s="30">
        <f>' на весь срок'!X66</f>
        <v>0.24310000000000001</v>
      </c>
      <c r="Q80" s="65">
        <f t="shared" si="13"/>
        <v>0</v>
      </c>
      <c r="R80" s="30">
        <f>'льготный период'!I67</f>
        <v>0</v>
      </c>
      <c r="S80" s="30">
        <f>'льготный период'!C67</f>
        <v>0</v>
      </c>
      <c r="T80" s="30">
        <f>' на весь срок'!AC67</f>
        <v>0</v>
      </c>
      <c r="U80" s="30">
        <f>'льготный период'!U67</f>
        <v>5.74E-2</v>
      </c>
      <c r="V80" s="30">
        <f>'льготный период'!O67</f>
        <v>5.9299999999999999E-2</v>
      </c>
      <c r="W80" s="30">
        <f>'льготный период'!AA67</f>
        <v>5.6800000000000003E-2</v>
      </c>
      <c r="X80" s="65">
        <f t="shared" si="14"/>
        <v>0</v>
      </c>
      <c r="Y80" s="30">
        <f>'льготный период'!J67</f>
        <v>0</v>
      </c>
      <c r="Z80" s="30">
        <f>'льготный период'!D67</f>
        <v>0</v>
      </c>
      <c r="AA80" s="30">
        <f>' на весь срок'!AD67</f>
        <v>0</v>
      </c>
      <c r="AB80" s="30">
        <f>'льготный период'!V67</f>
        <v>0.1086</v>
      </c>
      <c r="AC80" s="30">
        <f>'льготный период'!P67</f>
        <v>0.1123</v>
      </c>
      <c r="AD80" s="30">
        <f>'льготный период'!AB67</f>
        <v>0.1081</v>
      </c>
      <c r="AE80" s="65">
        <f t="shared" si="15"/>
        <v>0</v>
      </c>
      <c r="AF80" s="30">
        <f>'льготный период'!K67</f>
        <v>0</v>
      </c>
      <c r="AG80" s="66">
        <f t="shared" si="7"/>
        <v>0</v>
      </c>
      <c r="AH80" s="66">
        <f>' на весь срок'!AE67</f>
        <v>0</v>
      </c>
      <c r="AI80" s="30">
        <f>'льготный период'!W67</f>
        <v>0.21690000000000001</v>
      </c>
      <c r="AJ80" s="30">
        <f>'льготный период'!Q67</f>
        <v>0.2243</v>
      </c>
      <c r="AK80" s="30">
        <f>'льготный период'!AC67</f>
        <v>0.21690000000000001</v>
      </c>
    </row>
    <row r="81" spans="1:37" x14ac:dyDescent="0.25">
      <c r="A81" s="27">
        <f t="shared" si="17"/>
        <v>62</v>
      </c>
      <c r="B81" s="65" t="str">
        <f t="shared" si="10"/>
        <v/>
      </c>
      <c r="C81" s="65">
        <f t="shared" si="11"/>
        <v>0</v>
      </c>
      <c r="D81" s="30">
        <f>IF($A$13=$A$17,' на весь срок'!I67,'льготный период'!H68)</f>
        <v>0</v>
      </c>
      <c r="E81" s="30">
        <f>IF($A$13=$A$17,' на весь срок'!C67,'льготный период'!B68)</f>
        <v>0</v>
      </c>
      <c r="F81" s="30">
        <f>' на весь срок'!AA68</f>
        <v>0</v>
      </c>
      <c r="G81" s="30">
        <f>' на весь срок'!S67</f>
        <v>0.12799999999999995</v>
      </c>
      <c r="H81" s="30">
        <f>' на весь срок'!N67</f>
        <v>0.12799999999999995</v>
      </c>
      <c r="I81" s="30">
        <f>' на весь срок'!W67</f>
        <v>0.12899999999999995</v>
      </c>
      <c r="J81" s="65">
        <f t="shared" si="12"/>
        <v>0</v>
      </c>
      <c r="K81" s="30">
        <f>' на весь срок'!J67</f>
        <v>0</v>
      </c>
      <c r="L81" s="30">
        <f>' на весь срок'!D67</f>
        <v>0</v>
      </c>
      <c r="M81" s="30">
        <f>' на весь срок'!AB68</f>
        <v>0</v>
      </c>
      <c r="N81" s="30">
        <f>' на весь срок'!T67</f>
        <v>0.24679999999999999</v>
      </c>
      <c r="O81" s="30">
        <f>' на весь срок'!O67</f>
        <v>0.2535</v>
      </c>
      <c r="P81" s="30">
        <f>' на весь срок'!X67</f>
        <v>0.247</v>
      </c>
      <c r="Q81" s="65">
        <f t="shared" si="13"/>
        <v>0</v>
      </c>
      <c r="R81" s="30">
        <f>'льготный период'!I68</f>
        <v>0</v>
      </c>
      <c r="S81" s="30">
        <f>'льготный период'!C68</f>
        <v>0</v>
      </c>
      <c r="T81" s="30">
        <f>' на весь срок'!AC68</f>
        <v>0</v>
      </c>
      <c r="U81" s="30">
        <f>'льготный период'!U68</f>
        <v>5.8400000000000001E-2</v>
      </c>
      <c r="V81" s="30">
        <f>'льготный период'!O68</f>
        <v>6.0299999999999999E-2</v>
      </c>
      <c r="W81" s="30">
        <f>'льготный период'!AA68</f>
        <v>5.7700000000000001E-2</v>
      </c>
      <c r="X81" s="65">
        <f t="shared" si="14"/>
        <v>0</v>
      </c>
      <c r="Y81" s="30">
        <f>'льготный период'!J68</f>
        <v>0</v>
      </c>
      <c r="Z81" s="30">
        <f>'льготный период'!D68</f>
        <v>0</v>
      </c>
      <c r="AA81" s="30">
        <f>' на весь срок'!AD68</f>
        <v>0</v>
      </c>
      <c r="AB81" s="30">
        <f>'льготный период'!V68</f>
        <v>0.1105</v>
      </c>
      <c r="AC81" s="30">
        <f>'льготный период'!P68</f>
        <v>0.1142</v>
      </c>
      <c r="AD81" s="30">
        <f>'льготный период'!AB68</f>
        <v>0.11</v>
      </c>
      <c r="AE81" s="65">
        <f t="shared" si="15"/>
        <v>0</v>
      </c>
      <c r="AF81" s="30">
        <f>'льготный период'!K68</f>
        <v>0</v>
      </c>
      <c r="AG81" s="66">
        <f t="shared" si="7"/>
        <v>0</v>
      </c>
      <c r="AH81" s="66">
        <f>' на весь срок'!AE68</f>
        <v>0</v>
      </c>
      <c r="AI81" s="30">
        <f>'льготный период'!W68</f>
        <v>0.2205</v>
      </c>
      <c r="AJ81" s="30">
        <f>'льготный период'!Q68</f>
        <v>0.2278</v>
      </c>
      <c r="AK81" s="30">
        <f>'льготный период'!AC68</f>
        <v>0.2205</v>
      </c>
    </row>
    <row r="82" spans="1:37" x14ac:dyDescent="0.25">
      <c r="A82" s="27">
        <f t="shared" si="17"/>
        <v>63</v>
      </c>
      <c r="B82" s="65" t="str">
        <f t="shared" si="10"/>
        <v/>
      </c>
      <c r="C82" s="65">
        <f t="shared" si="11"/>
        <v>0</v>
      </c>
      <c r="D82" s="30">
        <f>IF($A$13=$A$17,' на весь срок'!I68,'льготный период'!H69)</f>
        <v>0</v>
      </c>
      <c r="E82" s="30">
        <f>IF($A$13=$A$17,' на весь срок'!C68,'льготный период'!B69)</f>
        <v>0</v>
      </c>
      <c r="F82" s="30">
        <f>' на весь срок'!AA69</f>
        <v>0</v>
      </c>
      <c r="G82" s="30">
        <f>' на весь срок'!S68</f>
        <v>0.12699999999999995</v>
      </c>
      <c r="H82" s="30">
        <f>' на весь срок'!N68</f>
        <v>0.12699999999999995</v>
      </c>
      <c r="I82" s="30">
        <f>' на весь срок'!W68</f>
        <v>0.12799999999999995</v>
      </c>
      <c r="J82" s="65">
        <f t="shared" si="12"/>
        <v>0</v>
      </c>
      <c r="K82" s="30">
        <f>' на весь срок'!J68</f>
        <v>0</v>
      </c>
      <c r="L82" s="30">
        <f>' на весь срок'!D68</f>
        <v>0</v>
      </c>
      <c r="M82" s="30">
        <f>' на весь срок'!AB69</f>
        <v>0</v>
      </c>
      <c r="N82" s="30">
        <f>' на весь срок'!T68</f>
        <v>0.25080000000000002</v>
      </c>
      <c r="O82" s="30">
        <f>' на весь срок'!O68</f>
        <v>0.25740000000000002</v>
      </c>
      <c r="P82" s="30">
        <f>' на весь срок'!X68</f>
        <v>0.251</v>
      </c>
      <c r="Q82" s="65">
        <f t="shared" si="13"/>
        <v>0</v>
      </c>
      <c r="R82" s="30">
        <f>'льготный период'!I69</f>
        <v>0</v>
      </c>
      <c r="S82" s="30">
        <f>'льготный период'!C69</f>
        <v>0</v>
      </c>
      <c r="T82" s="30">
        <f>' на весь срок'!AC69</f>
        <v>0</v>
      </c>
      <c r="U82" s="30">
        <f>'льготный период'!U69</f>
        <v>5.9400000000000001E-2</v>
      </c>
      <c r="V82" s="30">
        <f>'льготный период'!O69</f>
        <v>6.13E-2</v>
      </c>
      <c r="W82" s="30">
        <f>'льготный период'!AA69</f>
        <v>5.8700000000000002E-2</v>
      </c>
      <c r="X82" s="65">
        <f t="shared" si="14"/>
        <v>0</v>
      </c>
      <c r="Y82" s="30">
        <f>'льготный период'!J69</f>
        <v>0</v>
      </c>
      <c r="Z82" s="30">
        <f>'льготный период'!D69</f>
        <v>0</v>
      </c>
      <c r="AA82" s="30">
        <f>' на весь срок'!AD69</f>
        <v>0</v>
      </c>
      <c r="AB82" s="30">
        <f>'льготный период'!V69</f>
        <v>0.1123</v>
      </c>
      <c r="AC82" s="30">
        <f>'льготный период'!P69</f>
        <v>0.11600000000000001</v>
      </c>
      <c r="AD82" s="30">
        <f>'льготный период'!AB69</f>
        <v>0.1118</v>
      </c>
      <c r="AE82" s="65">
        <f t="shared" si="15"/>
        <v>0</v>
      </c>
      <c r="AF82" s="30">
        <f>'льготный период'!K69</f>
        <v>0</v>
      </c>
      <c r="AG82" s="66">
        <f t="shared" si="7"/>
        <v>0</v>
      </c>
      <c r="AH82" s="66">
        <f>' на весь срок'!AE69</f>
        <v>0</v>
      </c>
      <c r="AI82" s="30">
        <f>'льготный период'!W69</f>
        <v>0.224</v>
      </c>
      <c r="AJ82" s="30">
        <f>'льготный период'!Q69</f>
        <v>0.23139999999999999</v>
      </c>
      <c r="AK82" s="30">
        <f>'льготный период'!AC69</f>
        <v>0.224</v>
      </c>
    </row>
    <row r="83" spans="1:37" x14ac:dyDescent="0.25">
      <c r="A83" s="27">
        <f t="shared" si="17"/>
        <v>64</v>
      </c>
      <c r="B83" s="65" t="str">
        <f t="shared" si="10"/>
        <v/>
      </c>
      <c r="C83" s="65">
        <f t="shared" si="11"/>
        <v>0</v>
      </c>
      <c r="D83" s="30">
        <f>IF($A$13=$A$17,' на весь срок'!I69,'льготный период'!H70)</f>
        <v>0</v>
      </c>
      <c r="E83" s="30">
        <f>IF($A$13=$A$17,' на весь срок'!C69,'льготный период'!B70)</f>
        <v>0</v>
      </c>
      <c r="F83" s="30">
        <f>' на весь срок'!AA70</f>
        <v>0</v>
      </c>
      <c r="G83" s="30">
        <f>' на весь срок'!S69</f>
        <v>0.12599999999999995</v>
      </c>
      <c r="H83" s="30">
        <f>' на весь срок'!N69</f>
        <v>0.12599999999999995</v>
      </c>
      <c r="I83" s="30">
        <f>' на весь срок'!W69</f>
        <v>0.12699999999999995</v>
      </c>
      <c r="J83" s="65">
        <f t="shared" si="12"/>
        <v>0</v>
      </c>
      <c r="K83" s="30">
        <f>' на весь срок'!J69</f>
        <v>0</v>
      </c>
      <c r="L83" s="30">
        <f>' на весь срок'!D69</f>
        <v>0</v>
      </c>
      <c r="M83" s="30">
        <f>' на весь срок'!AB70</f>
        <v>0</v>
      </c>
      <c r="N83" s="30">
        <f>' на весь срок'!T69</f>
        <v>0.25469999999999998</v>
      </c>
      <c r="O83" s="30">
        <f>' на весь срок'!O69</f>
        <v>0.26129999999999998</v>
      </c>
      <c r="P83" s="30">
        <f>' на весь срок'!X69</f>
        <v>0.25490000000000002</v>
      </c>
      <c r="Q83" s="65">
        <f t="shared" si="13"/>
        <v>0</v>
      </c>
      <c r="R83" s="30">
        <f>'льготный период'!I70</f>
        <v>0</v>
      </c>
      <c r="S83" s="30">
        <f>'льготный период'!C70</f>
        <v>0</v>
      </c>
      <c r="T83" s="30">
        <f>' на весь срок'!AC70</f>
        <v>0</v>
      </c>
      <c r="U83" s="30">
        <f>'льготный период'!U70</f>
        <v>6.0400000000000002E-2</v>
      </c>
      <c r="V83" s="30">
        <f>'льготный период'!O70</f>
        <v>6.2300000000000001E-2</v>
      </c>
      <c r="W83" s="30">
        <f>'льготный период'!AA70</f>
        <v>5.9700000000000003E-2</v>
      </c>
      <c r="X83" s="65">
        <f t="shared" si="14"/>
        <v>0</v>
      </c>
      <c r="Y83" s="30">
        <f>'льготный период'!J70</f>
        <v>0</v>
      </c>
      <c r="Z83" s="30">
        <f>'льготный период'!D70</f>
        <v>0</v>
      </c>
      <c r="AA83" s="30">
        <f>' на весь срок'!AD70</f>
        <v>0</v>
      </c>
      <c r="AB83" s="30">
        <f>'льготный период'!V70</f>
        <v>0.1142</v>
      </c>
      <c r="AC83" s="30">
        <f>'льготный период'!P70</f>
        <v>0.1178</v>
      </c>
      <c r="AD83" s="30">
        <f>'льготный период'!AB70</f>
        <v>0.11360000000000001</v>
      </c>
      <c r="AE83" s="65">
        <f t="shared" si="15"/>
        <v>0</v>
      </c>
      <c r="AF83" s="30">
        <f>'льготный период'!K70</f>
        <v>0</v>
      </c>
      <c r="AG83" s="66">
        <f t="shared" si="7"/>
        <v>0</v>
      </c>
      <c r="AH83" s="66">
        <f>' на весь срок'!AE70</f>
        <v>0</v>
      </c>
      <c r="AI83" s="30">
        <f>'льготный период'!W70</f>
        <v>0.2276</v>
      </c>
      <c r="AJ83" s="30">
        <f>'льготный период'!Q70</f>
        <v>0.2349</v>
      </c>
      <c r="AK83" s="30">
        <f>'льготный период'!AC70</f>
        <v>0.2276</v>
      </c>
    </row>
    <row r="84" spans="1:37" x14ac:dyDescent="0.25">
      <c r="A84" s="27">
        <f t="shared" si="17"/>
        <v>65</v>
      </c>
      <c r="B84" s="65" t="str">
        <f t="shared" si="10"/>
        <v/>
      </c>
      <c r="C84" s="65">
        <f t="shared" si="11"/>
        <v>0</v>
      </c>
      <c r="D84" s="30">
        <f>IF($A$13=$A$17,' на весь срок'!I70,'льготный период'!H71)</f>
        <v>0</v>
      </c>
      <c r="E84" s="30">
        <f>IF($A$13=$A$17,' на весь срок'!C70,'льготный период'!B71)</f>
        <v>0</v>
      </c>
      <c r="F84" s="30">
        <f>' на весь срок'!AA71</f>
        <v>0</v>
      </c>
      <c r="G84" s="30">
        <f>' на весь срок'!S70</f>
        <v>0.12499999999999996</v>
      </c>
      <c r="H84" s="30">
        <f>' на весь срок'!N70</f>
        <v>0.12499999999999996</v>
      </c>
      <c r="I84" s="30">
        <f>' на весь срок'!W70</f>
        <v>0.12599999999999995</v>
      </c>
      <c r="J84" s="65">
        <f t="shared" si="12"/>
        <v>0</v>
      </c>
      <c r="K84" s="30">
        <f>' на весь срок'!J70</f>
        <v>0</v>
      </c>
      <c r="L84" s="30">
        <f>' на весь срок'!D70</f>
        <v>0</v>
      </c>
      <c r="M84" s="30">
        <f>' на весь срок'!AB71</f>
        <v>0</v>
      </c>
      <c r="N84" s="30">
        <f>' на весь срок'!T70</f>
        <v>0.25869999999999999</v>
      </c>
      <c r="O84" s="30">
        <f>' на весь срок'!O72</f>
        <v>0.27300000000000002</v>
      </c>
      <c r="P84" s="30">
        <f>' на весь срок'!X70</f>
        <v>0.25879999999999997</v>
      </c>
      <c r="Q84" s="65">
        <f t="shared" si="13"/>
        <v>0</v>
      </c>
      <c r="R84" s="30">
        <f>'льготный период'!I71</f>
        <v>0</v>
      </c>
      <c r="S84" s="30">
        <f>'льготный период'!C71</f>
        <v>0</v>
      </c>
      <c r="T84" s="30">
        <f>' на весь срок'!AC71</f>
        <v>0</v>
      </c>
      <c r="U84" s="30">
        <f>'льготный период'!U71</f>
        <v>6.13E-2</v>
      </c>
      <c r="V84" s="30">
        <f>'льготный период'!O71</f>
        <v>6.3299999999999995E-2</v>
      </c>
      <c r="W84" s="30">
        <f>'льготный период'!AA71</f>
        <v>6.0699999999999997E-2</v>
      </c>
      <c r="X84" s="65">
        <f t="shared" si="14"/>
        <v>0</v>
      </c>
      <c r="Y84" s="30">
        <f>'льготный период'!J71</f>
        <v>0</v>
      </c>
      <c r="Z84" s="30">
        <f>'льготный период'!D71</f>
        <v>0</v>
      </c>
      <c r="AA84" s="30">
        <f>' на весь срок'!AD71</f>
        <v>0</v>
      </c>
      <c r="AB84" s="30">
        <f>'льготный период'!V71</f>
        <v>0.11600000000000001</v>
      </c>
      <c r="AC84" s="30">
        <f>'льготный период'!P71</f>
        <v>0.1197</v>
      </c>
      <c r="AD84" s="30">
        <f>'льготный период'!AB71</f>
        <v>0.11550000000000001</v>
      </c>
      <c r="AE84" s="65">
        <f t="shared" si="15"/>
        <v>0</v>
      </c>
      <c r="AF84" s="30">
        <f>'льготный период'!K71</f>
        <v>0</v>
      </c>
      <c r="AG84" s="66">
        <f t="shared" si="7"/>
        <v>0</v>
      </c>
      <c r="AH84" s="66">
        <f>' на весь срок'!AE71</f>
        <v>0</v>
      </c>
      <c r="AI84" s="30">
        <f>'льготный период'!W71</f>
        <v>0.23119999999999999</v>
      </c>
      <c r="AJ84" s="30">
        <f>'льготный период'!Q71</f>
        <v>0.23849999999999999</v>
      </c>
      <c r="AK84" s="30">
        <f>'льготный период'!AC71</f>
        <v>0.2311</v>
      </c>
    </row>
    <row r="85" spans="1:37" x14ac:dyDescent="0.25">
      <c r="A85" s="27">
        <f>A84+1</f>
        <v>66</v>
      </c>
      <c r="B85" s="65" t="str">
        <f t="shared" ref="B85:B113" si="18">IF(HLOOKUP($A$6,$D$20:$I$113,A85,0)=0,"",HLOOKUP($A$6,$D$20:$I$113,A85,0))</f>
        <v/>
      </c>
      <c r="C85" s="65">
        <f t="shared" ref="C85:C113" si="19">IF($A$13=$J$20,J85,IF($A$13=$Q$20,Q85,IF($A$13=$X$20,X85,IF($A$13=$AE$20,AE85))))</f>
        <v>0</v>
      </c>
      <c r="D85" s="30">
        <f>IF($A$13=$A$17,' на весь срок'!I71,'льготный период'!H72)</f>
        <v>0</v>
      </c>
      <c r="E85" s="30">
        <f>IF($A$13=$A$17,' на весь срок'!C71,'льготный период'!B72)</f>
        <v>0</v>
      </c>
      <c r="F85" s="30">
        <f>' на весь срок'!AA72</f>
        <v>0</v>
      </c>
      <c r="G85" s="30">
        <f>' на весь срок'!S71</f>
        <v>0.12399999999999996</v>
      </c>
      <c r="H85" s="30">
        <f>' на весь срок'!N73</f>
        <v>0.12199999999999996</v>
      </c>
      <c r="I85" s="30">
        <f>' на весь срок'!W71</f>
        <v>0.12499999999999996</v>
      </c>
      <c r="J85" s="65">
        <f t="shared" ref="J85:J113" si="20">HLOOKUP($A$6,$K$20:$P$113,A85,0)</f>
        <v>0</v>
      </c>
      <c r="K85" s="30">
        <f>' на весь срок'!J71</f>
        <v>0</v>
      </c>
      <c r="L85" s="30">
        <f>' на весь срок'!D71</f>
        <v>0</v>
      </c>
      <c r="M85" s="30">
        <f>' на весь срок'!AB72</f>
        <v>0</v>
      </c>
      <c r="N85" s="30">
        <f>' на весь срок'!T71</f>
        <v>0.2626</v>
      </c>
      <c r="O85" s="30">
        <f>' на весь срок'!O73</f>
        <v>0.27689999999999998</v>
      </c>
      <c r="P85" s="30">
        <f>' на весь срок'!X71</f>
        <v>0.26269999999999999</v>
      </c>
      <c r="Q85" s="65">
        <f t="shared" ref="Q85:Q113" si="21">HLOOKUP($A$6,$R$20:$W$113,A85,0)</f>
        <v>0</v>
      </c>
      <c r="R85" s="30">
        <f>'льготный период'!I72</f>
        <v>0</v>
      </c>
      <c r="S85" s="30">
        <f>'льготный период'!C72</f>
        <v>0</v>
      </c>
      <c r="T85" s="30">
        <f>' на весь срок'!AC72</f>
        <v>0</v>
      </c>
      <c r="U85" s="30">
        <f>'льготный период'!U72</f>
        <v>6.2300000000000001E-2</v>
      </c>
      <c r="V85" s="30">
        <f>'льготный период'!O72</f>
        <v>6.4299999999999996E-2</v>
      </c>
      <c r="W85" s="30">
        <f>'льготный период'!AA72</f>
        <v>6.1600000000000002E-2</v>
      </c>
      <c r="X85" s="65">
        <f t="shared" ref="X85:X113" si="22">HLOOKUP($A$6,$Y$20:$AD$113,A85,0)</f>
        <v>0</v>
      </c>
      <c r="Y85" s="30">
        <f>'льготный период'!J72</f>
        <v>0</v>
      </c>
      <c r="Z85" s="30">
        <f>'льготный период'!D72</f>
        <v>0</v>
      </c>
      <c r="AA85" s="30">
        <f>' на весь срок'!AD72</f>
        <v>0</v>
      </c>
      <c r="AB85" s="30">
        <f>'льготный период'!V72</f>
        <v>0.1178</v>
      </c>
      <c r="AC85" s="30">
        <f>'льготный период'!P72</f>
        <v>0.1215</v>
      </c>
      <c r="AD85" s="30">
        <f>'льготный период'!AB72</f>
        <v>0.1173</v>
      </c>
      <c r="AE85" s="65">
        <f t="shared" ref="AE85:AE113" si="23">HLOOKUP($A$6,$AF$20:$AK$113,A85,0)</f>
        <v>0</v>
      </c>
      <c r="AF85" s="30">
        <f>'льготный период'!K72</f>
        <v>0</v>
      </c>
      <c r="AG85" s="66">
        <f t="shared" si="7"/>
        <v>0</v>
      </c>
      <c r="AH85" s="66">
        <f>' на весь срок'!AE72</f>
        <v>0</v>
      </c>
      <c r="AI85" s="30">
        <f>'льготный период'!W72</f>
        <v>0.23469999999999999</v>
      </c>
      <c r="AJ85" s="30">
        <f>'льготный период'!Q72</f>
        <v>0.24199999999999999</v>
      </c>
      <c r="AK85" s="30">
        <f>'льготный период'!AC72</f>
        <v>0.2346</v>
      </c>
    </row>
    <row r="86" spans="1:37" x14ac:dyDescent="0.25">
      <c r="A86" s="27">
        <f t="shared" ref="A86:A96" si="24">A85+1</f>
        <v>67</v>
      </c>
      <c r="B86" s="65" t="str">
        <f t="shared" si="18"/>
        <v/>
      </c>
      <c r="C86" s="65">
        <f t="shared" si="19"/>
        <v>0</v>
      </c>
      <c r="D86" s="30">
        <f>IF($A$13=$A$17,' на весь срок'!I72,'льготный период'!H73)</f>
        <v>0</v>
      </c>
      <c r="E86" s="30">
        <f>IF($A$13=$A$17,' на весь срок'!C72,'льготный период'!B73)</f>
        <v>0</v>
      </c>
      <c r="F86" s="30">
        <f>' на весь срок'!AA73</f>
        <v>0</v>
      </c>
      <c r="G86" s="30">
        <f>' на весь срок'!S72</f>
        <v>0.12299999999999996</v>
      </c>
      <c r="H86" s="30">
        <f>' на весь срок'!N74</f>
        <v>0.12099999999999995</v>
      </c>
      <c r="I86" s="30">
        <f>' на весь срок'!W72</f>
        <v>0.12399999999999996</v>
      </c>
      <c r="J86" s="65">
        <f t="shared" si="20"/>
        <v>0</v>
      </c>
      <c r="K86" s="30">
        <f>' на весь срок'!J72</f>
        <v>0</v>
      </c>
      <c r="L86" s="30">
        <f>' на весь срок'!D72</f>
        <v>0</v>
      </c>
      <c r="M86" s="30">
        <f>' на весь срок'!AB73</f>
        <v>0</v>
      </c>
      <c r="N86" s="30">
        <f>' на весь срок'!T72</f>
        <v>0.26650000000000001</v>
      </c>
      <c r="O86" s="30">
        <f>' на весь срок'!O74</f>
        <v>0.28070000000000001</v>
      </c>
      <c r="P86" s="30">
        <f>' на весь срок'!X72</f>
        <v>0.2666</v>
      </c>
      <c r="Q86" s="65">
        <f t="shared" si="21"/>
        <v>0</v>
      </c>
      <c r="R86" s="30">
        <f>'льготный период'!I73</f>
        <v>0</v>
      </c>
      <c r="S86" s="30">
        <f>'льготный период'!C73</f>
        <v>0</v>
      </c>
      <c r="T86" s="30">
        <f>' на весь срок'!AC73</f>
        <v>0</v>
      </c>
      <c r="U86" s="30">
        <f>'льготный период'!U73</f>
        <v>6.3299999999999995E-2</v>
      </c>
      <c r="V86" s="30">
        <f>'льготный период'!O73</f>
        <v>6.5199999999999994E-2</v>
      </c>
      <c r="W86" s="30">
        <f>'льготный период'!AA73</f>
        <v>6.2600000000000003E-2</v>
      </c>
      <c r="X86" s="65">
        <f t="shared" si="22"/>
        <v>0</v>
      </c>
      <c r="Y86" s="30">
        <f>'льготный период'!J73</f>
        <v>0</v>
      </c>
      <c r="Z86" s="30">
        <f>'льготный период'!D73</f>
        <v>0</v>
      </c>
      <c r="AA86" s="30">
        <f>' на весь срок'!AD73</f>
        <v>0</v>
      </c>
      <c r="AB86" s="30">
        <f>'льготный период'!V73</f>
        <v>0.1197</v>
      </c>
      <c r="AC86" s="30">
        <f>'льготный период'!P73</f>
        <v>0.12330000000000001</v>
      </c>
      <c r="AD86" s="30">
        <f>'льготный период'!AB73</f>
        <v>0.1191</v>
      </c>
      <c r="AE86" s="65">
        <f t="shared" si="23"/>
        <v>0</v>
      </c>
      <c r="AF86" s="30">
        <f>'льготный период'!K73</f>
        <v>0</v>
      </c>
      <c r="AG86" s="66">
        <f t="shared" ref="AG86:AG113" si="25">L86</f>
        <v>0</v>
      </c>
      <c r="AH86" s="66">
        <f>' на весь срок'!AE73</f>
        <v>0</v>
      </c>
      <c r="AI86" s="30">
        <f>'льготный период'!W73</f>
        <v>0.2382</v>
      </c>
      <c r="AJ86" s="30">
        <f>'льготный период'!Q73</f>
        <v>0.24560000000000001</v>
      </c>
      <c r="AK86" s="30">
        <f>'льготный период'!AC73</f>
        <v>0.2382</v>
      </c>
    </row>
    <row r="87" spans="1:37" x14ac:dyDescent="0.25">
      <c r="A87" s="27">
        <f t="shared" si="24"/>
        <v>68</v>
      </c>
      <c r="B87" s="65" t="str">
        <f t="shared" si="18"/>
        <v/>
      </c>
      <c r="C87" s="65">
        <f t="shared" si="19"/>
        <v>0</v>
      </c>
      <c r="D87" s="30">
        <f>IF($A$13=$A$17,' на весь срок'!I73,'льготный период'!H74)</f>
        <v>0</v>
      </c>
      <c r="E87" s="30">
        <f>IF($A$13=$A$17,' на весь срок'!C73,'льготный период'!B74)</f>
        <v>0</v>
      </c>
      <c r="F87" s="30">
        <f>' на весь срок'!AA74</f>
        <v>0</v>
      </c>
      <c r="G87" s="30">
        <f>' на весь срок'!S73</f>
        <v>0.12199999999999996</v>
      </c>
      <c r="H87" s="30">
        <f>' на весь срок'!N75</f>
        <v>0.11999999999999995</v>
      </c>
      <c r="I87" s="30">
        <f>' на весь срок'!W73</f>
        <v>0.12299999999999996</v>
      </c>
      <c r="J87" s="65">
        <f t="shared" si="20"/>
        <v>0</v>
      </c>
      <c r="K87" s="30">
        <f>' на весь срок'!J73</f>
        <v>0</v>
      </c>
      <c r="L87" s="30">
        <f>' на весь срок'!D73</f>
        <v>0</v>
      </c>
      <c r="M87" s="30">
        <f>' на весь срок'!AB74</f>
        <v>0</v>
      </c>
      <c r="N87" s="30">
        <f>' на весь срок'!T73</f>
        <v>0.27039999999999997</v>
      </c>
      <c r="O87" s="30">
        <f>' на весь срок'!O75</f>
        <v>0.28460000000000002</v>
      </c>
      <c r="P87" s="30">
        <f>' на весь срок'!X73</f>
        <v>0.27050000000000002</v>
      </c>
      <c r="Q87" s="65">
        <f t="shared" si="21"/>
        <v>0</v>
      </c>
      <c r="R87" s="30">
        <f>'льготный период'!I74</f>
        <v>0</v>
      </c>
      <c r="S87" s="30">
        <f>'льготный период'!C74</f>
        <v>0</v>
      </c>
      <c r="T87" s="30">
        <f>' на весь срок'!AC74</f>
        <v>0</v>
      </c>
      <c r="U87" s="30">
        <f>'льготный период'!U74</f>
        <v>6.4299999999999996E-2</v>
      </c>
      <c r="V87" s="30">
        <f>'льготный период'!O74</f>
        <v>6.6199999999999995E-2</v>
      </c>
      <c r="W87" s="30">
        <f>'льготный период'!AA74</f>
        <v>6.3600000000000004E-2</v>
      </c>
      <c r="X87" s="65">
        <f t="shared" si="22"/>
        <v>0</v>
      </c>
      <c r="Y87" s="30">
        <f>'льготный период'!J74</f>
        <v>0</v>
      </c>
      <c r="Z87" s="30">
        <f>'льготный период'!D74</f>
        <v>0</v>
      </c>
      <c r="AA87" s="30">
        <f>' на весь срок'!AD74</f>
        <v>0</v>
      </c>
      <c r="AB87" s="30">
        <f>'льготный период'!V74</f>
        <v>0.1215</v>
      </c>
      <c r="AC87" s="30">
        <f>'льготный период'!P74</f>
        <v>0.12520000000000001</v>
      </c>
      <c r="AD87" s="30">
        <f>'льготный период'!AB74</f>
        <v>0.12089999999999999</v>
      </c>
      <c r="AE87" s="65">
        <f t="shared" si="23"/>
        <v>0</v>
      </c>
      <c r="AF87" s="30">
        <f>'льготный период'!K74</f>
        <v>0</v>
      </c>
      <c r="AG87" s="66">
        <f t="shared" si="25"/>
        <v>0</v>
      </c>
      <c r="AH87" s="66">
        <f>' на весь срок'!AE74</f>
        <v>0</v>
      </c>
      <c r="AI87" s="30">
        <f>'льготный период'!W74</f>
        <v>0.24179999999999999</v>
      </c>
      <c r="AJ87" s="30">
        <f>'льготный период'!Q74</f>
        <v>0.24909999999999999</v>
      </c>
      <c r="AK87" s="30">
        <f>'льготный период'!AC74</f>
        <v>0.2417</v>
      </c>
    </row>
    <row r="88" spans="1:37" x14ac:dyDescent="0.25">
      <c r="A88" s="27">
        <f t="shared" si="24"/>
        <v>69</v>
      </c>
      <c r="B88" s="65" t="str">
        <f t="shared" si="18"/>
        <v/>
      </c>
      <c r="C88" s="65">
        <f t="shared" si="19"/>
        <v>0</v>
      </c>
      <c r="D88" s="30">
        <f>IF($A$13=$A$17,' на весь срок'!I74,'льготный период'!H75)</f>
        <v>0</v>
      </c>
      <c r="E88" s="30">
        <f>IF($A$13=$A$17,' на весь срок'!C74,'льготный период'!B75)</f>
        <v>0</v>
      </c>
      <c r="F88" s="30">
        <f>' на весь срок'!AA75</f>
        <v>0</v>
      </c>
      <c r="G88" s="30">
        <f>' на весь срок'!S74</f>
        <v>0.12099999999999995</v>
      </c>
      <c r="H88" s="30">
        <f>' на весь срок'!N76</f>
        <v>0</v>
      </c>
      <c r="I88" s="30">
        <f>' на весь срок'!W74</f>
        <v>0.12199999999999996</v>
      </c>
      <c r="J88" s="65">
        <f t="shared" si="20"/>
        <v>0</v>
      </c>
      <c r="K88" s="30">
        <f>' на весь срок'!J74</f>
        <v>0</v>
      </c>
      <c r="L88" s="30">
        <f>' на весь срок'!D74</f>
        <v>0</v>
      </c>
      <c r="M88" s="30">
        <f>' на весь срок'!AB75</f>
        <v>0</v>
      </c>
      <c r="N88" s="30">
        <f>' на весь срок'!T74</f>
        <v>0.27429999999999999</v>
      </c>
      <c r="O88" s="30">
        <f>' на весь срок'!O76</f>
        <v>0</v>
      </c>
      <c r="P88" s="30">
        <f>' на весь срок'!X74</f>
        <v>0.27439999999999998</v>
      </c>
      <c r="Q88" s="65">
        <f t="shared" si="21"/>
        <v>0</v>
      </c>
      <c r="R88" s="30">
        <f>'льготный период'!I75</f>
        <v>0</v>
      </c>
      <c r="S88" s="30">
        <f>'льготный период'!C75</f>
        <v>0</v>
      </c>
      <c r="T88" s="30">
        <f>' на весь срок'!AC75</f>
        <v>0</v>
      </c>
      <c r="U88" s="30">
        <f>'льготный период'!U75</f>
        <v>6.5299999999999997E-2</v>
      </c>
      <c r="V88" s="30">
        <f>'льготный период'!O75</f>
        <v>6.7199999999999996E-2</v>
      </c>
      <c r="W88" s="30">
        <f>'льготный период'!AA75</f>
        <v>6.4600000000000005E-2</v>
      </c>
      <c r="X88" s="65">
        <f t="shared" si="22"/>
        <v>0</v>
      </c>
      <c r="Y88" s="30">
        <f>'льготный период'!J75</f>
        <v>0</v>
      </c>
      <c r="Z88" s="30">
        <f>'льготный период'!D75</f>
        <v>0</v>
      </c>
      <c r="AA88" s="30">
        <f>' на весь срок'!AD75</f>
        <v>0</v>
      </c>
      <c r="AB88" s="30">
        <f>'льготный период'!V75</f>
        <v>0.12330000000000001</v>
      </c>
      <c r="AC88" s="30">
        <f>'льготный период'!P75</f>
        <v>0.127</v>
      </c>
      <c r="AD88" s="30">
        <f>'льготный период'!AB75</f>
        <v>0.12280000000000001</v>
      </c>
      <c r="AE88" s="65">
        <f t="shared" si="23"/>
        <v>0</v>
      </c>
      <c r="AF88" s="30">
        <f>'льготный период'!K75</f>
        <v>0</v>
      </c>
      <c r="AG88" s="66">
        <f t="shared" si="25"/>
        <v>0</v>
      </c>
      <c r="AH88" s="66">
        <f>' на весь срок'!AE75</f>
        <v>0</v>
      </c>
      <c r="AI88" s="30">
        <f>'льготный период'!W75</f>
        <v>0.24529999999999999</v>
      </c>
      <c r="AJ88" s="30">
        <f>'льготный период'!Q75</f>
        <v>0.25259999999999999</v>
      </c>
      <c r="AK88" s="30">
        <f>'льготный период'!AC75</f>
        <v>0.2452</v>
      </c>
    </row>
    <row r="89" spans="1:37" x14ac:dyDescent="0.25">
      <c r="A89" s="27">
        <f t="shared" si="24"/>
        <v>70</v>
      </c>
      <c r="B89" s="65" t="str">
        <f t="shared" si="18"/>
        <v/>
      </c>
      <c r="C89" s="65">
        <f t="shared" si="19"/>
        <v>0</v>
      </c>
      <c r="D89" s="30">
        <f>IF($A$13=$A$17,' на весь срок'!I75,'льготный период'!H76)</f>
        <v>0</v>
      </c>
      <c r="E89" s="30">
        <f>IF($A$13=$A$17,' на весь срок'!C75,'льготный период'!B76)</f>
        <v>0</v>
      </c>
      <c r="F89" s="30">
        <f>' на весь срок'!AA76</f>
        <v>0</v>
      </c>
      <c r="G89" s="30">
        <f>' на весь срок'!S75</f>
        <v>0.11999999999999995</v>
      </c>
      <c r="H89" s="30">
        <f>' на весь срок'!N77</f>
        <v>0</v>
      </c>
      <c r="I89" s="30">
        <f>' на весь срок'!W75</f>
        <v>0.12099999999999995</v>
      </c>
      <c r="J89" s="65">
        <f t="shared" si="20"/>
        <v>0</v>
      </c>
      <c r="K89" s="30">
        <f>' на весь срок'!J75</f>
        <v>0</v>
      </c>
      <c r="L89" s="30">
        <f>' на весь срок'!D75</f>
        <v>0</v>
      </c>
      <c r="M89" s="30">
        <f>' на весь срок'!AB76</f>
        <v>0</v>
      </c>
      <c r="N89" s="30">
        <f>' на весь срок'!T75</f>
        <v>0.2782</v>
      </c>
      <c r="O89" s="30">
        <f>' на весь срок'!O77</f>
        <v>0</v>
      </c>
      <c r="P89" s="30">
        <f>' на весь срок'!X75</f>
        <v>0.27829999999999999</v>
      </c>
      <c r="Q89" s="65">
        <f t="shared" si="21"/>
        <v>0</v>
      </c>
      <c r="R89" s="30">
        <f>'льготный период'!I76</f>
        <v>0</v>
      </c>
      <c r="S89" s="30">
        <f>'льготный период'!C76</f>
        <v>0</v>
      </c>
      <c r="T89" s="30">
        <f>' на весь срок'!AC76</f>
        <v>0</v>
      </c>
      <c r="U89" s="30">
        <f>'льготный период'!U76</f>
        <v>6.6299999999999998E-2</v>
      </c>
      <c r="V89" s="30">
        <f>'льготный период'!O76</f>
        <v>6.8199999999999997E-2</v>
      </c>
      <c r="W89" s="30">
        <f>'льготный период'!AA76</f>
        <v>6.5600000000000006E-2</v>
      </c>
      <c r="X89" s="65">
        <f t="shared" si="22"/>
        <v>0</v>
      </c>
      <c r="Y89" s="30">
        <f>'льготный период'!J76</f>
        <v>0</v>
      </c>
      <c r="Z89" s="30">
        <f>'льготный период'!D76</f>
        <v>0</v>
      </c>
      <c r="AA89" s="30">
        <f>' на весь срок'!AD76</f>
        <v>0</v>
      </c>
      <c r="AB89" s="30">
        <f>'льготный период'!V76</f>
        <v>0.12520000000000001</v>
      </c>
      <c r="AC89" s="30">
        <f>'льготный период'!P76</f>
        <v>0.1288</v>
      </c>
      <c r="AD89" s="30">
        <f>'льготный период'!AB76</f>
        <v>0.1246</v>
      </c>
      <c r="AE89" s="65">
        <f t="shared" si="23"/>
        <v>0</v>
      </c>
      <c r="AF89" s="30">
        <f>'льготный период'!K76</f>
        <v>0</v>
      </c>
      <c r="AG89" s="66">
        <f t="shared" si="25"/>
        <v>0</v>
      </c>
      <c r="AH89" s="66">
        <f>' на весь срок'!AE76</f>
        <v>0</v>
      </c>
      <c r="AI89" s="30">
        <f>'льготный период'!W76</f>
        <v>0.24879999999999999</v>
      </c>
      <c r="AJ89" s="30">
        <f>'льготный период'!Q76</f>
        <v>0.25609999999999999</v>
      </c>
      <c r="AK89" s="30">
        <f>'льготный период'!AC76</f>
        <v>0.2487</v>
      </c>
    </row>
    <row r="90" spans="1:37" x14ac:dyDescent="0.25">
      <c r="A90" s="27">
        <f t="shared" si="24"/>
        <v>71</v>
      </c>
      <c r="B90" s="65" t="str">
        <f t="shared" si="18"/>
        <v/>
      </c>
      <c r="C90" s="65">
        <f t="shared" si="19"/>
        <v>0</v>
      </c>
      <c r="D90" s="30">
        <f>IF($A$13=$A$17,' на весь срок'!I76,'льготный период'!H77)</f>
        <v>0</v>
      </c>
      <c r="E90" s="30">
        <f>IF($A$13=$A$17,' на весь срок'!C76,'льготный период'!B77)</f>
        <v>0</v>
      </c>
      <c r="F90" s="30">
        <f>' на весь срок'!AA77</f>
        <v>0</v>
      </c>
      <c r="G90" s="30">
        <f>' на весь срок'!S76</f>
        <v>0</v>
      </c>
      <c r="H90" s="30">
        <f>' на весь срок'!N78</f>
        <v>0</v>
      </c>
      <c r="I90" s="30">
        <f>' на весь срок'!W76</f>
        <v>0.11999999999999995</v>
      </c>
      <c r="J90" s="65">
        <f t="shared" si="20"/>
        <v>0</v>
      </c>
      <c r="K90" s="30">
        <f>' на весь срок'!J76</f>
        <v>0</v>
      </c>
      <c r="L90" s="30">
        <f>' на весь срок'!D76</f>
        <v>0</v>
      </c>
      <c r="M90" s="30">
        <f>' на весь срок'!AB77</f>
        <v>0</v>
      </c>
      <c r="N90" s="30">
        <f>' на весь срок'!T76</f>
        <v>0</v>
      </c>
      <c r="O90" s="30">
        <f>' на весь срок'!O78</f>
        <v>0</v>
      </c>
      <c r="P90" s="30">
        <f>' на весь срок'!X76</f>
        <v>0.28220000000000001</v>
      </c>
      <c r="Q90" s="65">
        <f t="shared" si="21"/>
        <v>0</v>
      </c>
      <c r="R90" s="30">
        <f>'льготный период'!I77</f>
        <v>0</v>
      </c>
      <c r="S90" s="30">
        <f>'льготный период'!C77</f>
        <v>0</v>
      </c>
      <c r="T90" s="30">
        <f>' на весь срок'!AC77</f>
        <v>0</v>
      </c>
      <c r="U90" s="30">
        <f>'льготный период'!U77</f>
        <v>0</v>
      </c>
      <c r="V90" s="30">
        <f>'льготный период'!O77</f>
        <v>0</v>
      </c>
      <c r="W90" s="30">
        <f>'льготный период'!AA77</f>
        <v>6.6500000000000004E-2</v>
      </c>
      <c r="X90" s="65">
        <f t="shared" si="22"/>
        <v>0</v>
      </c>
      <c r="Y90" s="30">
        <f>'льготный период'!J77</f>
        <v>0</v>
      </c>
      <c r="Z90" s="30">
        <f>'льготный период'!D77</f>
        <v>0</v>
      </c>
      <c r="AA90" s="30">
        <f>' на весь срок'!AD77</f>
        <v>0</v>
      </c>
      <c r="AB90" s="30">
        <f>'льготный период'!V77</f>
        <v>0</v>
      </c>
      <c r="AC90" s="30">
        <f>'льготный период'!P77</f>
        <v>0</v>
      </c>
      <c r="AD90" s="30">
        <f>'льготный период'!AB77</f>
        <v>0.12640000000000001</v>
      </c>
      <c r="AE90" s="65">
        <f t="shared" si="23"/>
        <v>0</v>
      </c>
      <c r="AF90" s="30">
        <f>'льготный период'!K77</f>
        <v>0</v>
      </c>
      <c r="AG90" s="66">
        <f t="shared" si="25"/>
        <v>0</v>
      </c>
      <c r="AH90" s="66">
        <f>' на весь срок'!AE77</f>
        <v>0</v>
      </c>
      <c r="AI90" s="30">
        <f>'льготный период'!W77</f>
        <v>0</v>
      </c>
      <c r="AJ90" s="30">
        <f>'льготный период'!Q77</f>
        <v>0</v>
      </c>
      <c r="AK90" s="30">
        <f>'льготный период'!AC77</f>
        <v>0.25219999999999998</v>
      </c>
    </row>
    <row r="91" spans="1:37" x14ac:dyDescent="0.25">
      <c r="A91" s="27">
        <f t="shared" si="24"/>
        <v>72</v>
      </c>
      <c r="B91" s="65" t="str">
        <f t="shared" si="18"/>
        <v/>
      </c>
      <c r="C91" s="65">
        <f t="shared" si="19"/>
        <v>0</v>
      </c>
      <c r="D91" s="30">
        <f>IF($A$13=$A$17,' на весь срок'!I77,'льготный период'!H78)</f>
        <v>0</v>
      </c>
      <c r="E91" s="30">
        <f>IF($A$13=$A$17,' на весь срок'!C77,'льготный период'!B78)</f>
        <v>0</v>
      </c>
      <c r="F91" s="30">
        <f>' на весь срок'!AA78</f>
        <v>0</v>
      </c>
      <c r="G91" s="30">
        <f>' на весь срок'!S77</f>
        <v>0</v>
      </c>
      <c r="H91" s="30">
        <f>' на весь срок'!N79</f>
        <v>0</v>
      </c>
      <c r="I91" s="30">
        <f>' на весь срок'!W77</f>
        <v>0</v>
      </c>
      <c r="J91" s="65">
        <f t="shared" si="20"/>
        <v>0</v>
      </c>
      <c r="K91" s="30">
        <f>' на весь срок'!J77</f>
        <v>0</v>
      </c>
      <c r="L91" s="30">
        <f>' на весь срок'!D77</f>
        <v>0</v>
      </c>
      <c r="M91" s="30">
        <f>' на весь срок'!AB78</f>
        <v>0</v>
      </c>
      <c r="N91" s="30">
        <f>' на весь срок'!T77</f>
        <v>0</v>
      </c>
      <c r="O91" s="30">
        <f>' на весь срок'!O79</f>
        <v>0</v>
      </c>
      <c r="P91" s="30">
        <f>' на весь срок'!X77</f>
        <v>0</v>
      </c>
      <c r="Q91" s="65">
        <f t="shared" si="21"/>
        <v>0</v>
      </c>
      <c r="R91" s="30">
        <f>'льготный период'!I78</f>
        <v>0</v>
      </c>
      <c r="S91" s="30">
        <f>'льготный период'!C78</f>
        <v>0</v>
      </c>
      <c r="T91" s="30">
        <f>' на весь срок'!AC78</f>
        <v>0</v>
      </c>
      <c r="U91" s="30">
        <f>'льготный период'!U78</f>
        <v>0</v>
      </c>
      <c r="V91" s="30">
        <f>'льготный период'!O78</f>
        <v>0</v>
      </c>
      <c r="W91" s="30">
        <f>'льготный период'!AA78</f>
        <v>0</v>
      </c>
      <c r="X91" s="65">
        <f t="shared" si="22"/>
        <v>0</v>
      </c>
      <c r="Y91" s="30">
        <f>'льготный период'!J78</f>
        <v>0</v>
      </c>
      <c r="Z91" s="30">
        <f>'льготный период'!D78</f>
        <v>0</v>
      </c>
      <c r="AA91" s="30">
        <f>' на весь срок'!AD78</f>
        <v>0</v>
      </c>
      <c r="AB91" s="30">
        <f>'льготный период'!V78</f>
        <v>0</v>
      </c>
      <c r="AC91" s="30">
        <f>'льготный период'!P78</f>
        <v>0</v>
      </c>
      <c r="AD91" s="30">
        <f>'льготный период'!AB78</f>
        <v>0</v>
      </c>
      <c r="AE91" s="65">
        <f t="shared" si="23"/>
        <v>0</v>
      </c>
      <c r="AF91" s="30">
        <f>'льготный период'!K78</f>
        <v>0</v>
      </c>
      <c r="AG91" s="66">
        <f t="shared" si="25"/>
        <v>0</v>
      </c>
      <c r="AH91" s="66">
        <f>' на весь срок'!AE78</f>
        <v>0</v>
      </c>
      <c r="AI91" s="30">
        <f>'льготный период'!W78</f>
        <v>0</v>
      </c>
      <c r="AJ91" s="30">
        <f>'льготный период'!Q78</f>
        <v>0</v>
      </c>
      <c r="AK91" s="30">
        <f>'льготный период'!AC78</f>
        <v>0</v>
      </c>
    </row>
    <row r="92" spans="1:37" x14ac:dyDescent="0.25">
      <c r="A92" s="27">
        <f t="shared" si="24"/>
        <v>73</v>
      </c>
      <c r="B92" s="65" t="str">
        <f t="shared" si="18"/>
        <v/>
      </c>
      <c r="C92" s="65">
        <f t="shared" si="19"/>
        <v>0</v>
      </c>
      <c r="D92" s="30">
        <f>IF($A$13=$A$17,' на весь срок'!I78,'льготный период'!H79)</f>
        <v>0</v>
      </c>
      <c r="E92" s="30">
        <f>IF($A$13=$A$17,' на весь срок'!C78,'льготный период'!B79)</f>
        <v>0</v>
      </c>
      <c r="F92" s="30">
        <f>' на весь срок'!AA79</f>
        <v>0</v>
      </c>
      <c r="G92" s="30">
        <f>' на весь срок'!S78</f>
        <v>0</v>
      </c>
      <c r="H92" s="30">
        <f>' на весь срок'!N80</f>
        <v>0</v>
      </c>
      <c r="I92" s="30">
        <f>' на весь срок'!W78</f>
        <v>0</v>
      </c>
      <c r="J92" s="65">
        <f t="shared" si="20"/>
        <v>0</v>
      </c>
      <c r="K92" s="30">
        <f>' на весь срок'!J78</f>
        <v>0</v>
      </c>
      <c r="L92" s="30">
        <f>' на весь срок'!D78</f>
        <v>0</v>
      </c>
      <c r="M92" s="30">
        <f>' на весь срок'!AB79</f>
        <v>0</v>
      </c>
      <c r="N92" s="30">
        <f>' на весь срок'!T78</f>
        <v>0</v>
      </c>
      <c r="O92" s="30">
        <f>' на весь срок'!O80</f>
        <v>0</v>
      </c>
      <c r="P92" s="30">
        <f>' на весь срок'!X78</f>
        <v>0</v>
      </c>
      <c r="Q92" s="65">
        <f t="shared" si="21"/>
        <v>0</v>
      </c>
      <c r="R92" s="30">
        <f>'льготный период'!I79</f>
        <v>0</v>
      </c>
      <c r="S92" s="30">
        <f>'льготный период'!C79</f>
        <v>0</v>
      </c>
      <c r="T92" s="30">
        <f>' на весь срок'!AC79</f>
        <v>0</v>
      </c>
      <c r="U92" s="30">
        <f>'льготный период'!U79</f>
        <v>0</v>
      </c>
      <c r="V92" s="30">
        <f>'льготный период'!O79</f>
        <v>0</v>
      </c>
      <c r="W92" s="30">
        <f>'льготный период'!AA79</f>
        <v>0</v>
      </c>
      <c r="X92" s="65">
        <f t="shared" si="22"/>
        <v>0</v>
      </c>
      <c r="Y92" s="30">
        <f>'льготный период'!J79</f>
        <v>0</v>
      </c>
      <c r="Z92" s="30">
        <f>'льготный период'!D79</f>
        <v>0</v>
      </c>
      <c r="AA92" s="30">
        <f>' на весь срок'!AD79</f>
        <v>0</v>
      </c>
      <c r="AB92" s="30">
        <f>'льготный период'!V79</f>
        <v>0</v>
      </c>
      <c r="AC92" s="30">
        <f>'льготный период'!P79</f>
        <v>0</v>
      </c>
      <c r="AD92" s="30">
        <f>'льготный период'!AB79</f>
        <v>0</v>
      </c>
      <c r="AE92" s="65">
        <f t="shared" si="23"/>
        <v>0</v>
      </c>
      <c r="AF92" s="30">
        <f>'льготный период'!K79</f>
        <v>0</v>
      </c>
      <c r="AG92" s="66">
        <f t="shared" si="25"/>
        <v>0</v>
      </c>
      <c r="AH92" s="66">
        <f>' на весь срок'!AE79</f>
        <v>0</v>
      </c>
      <c r="AI92" s="30">
        <f>'льготный период'!W79</f>
        <v>0</v>
      </c>
      <c r="AJ92" s="30">
        <f>'льготный период'!Q79</f>
        <v>0</v>
      </c>
      <c r="AK92" s="30">
        <f>'льготный период'!AC79</f>
        <v>0</v>
      </c>
    </row>
    <row r="93" spans="1:37" x14ac:dyDescent="0.25">
      <c r="A93" s="27">
        <f t="shared" si="24"/>
        <v>74</v>
      </c>
      <c r="B93" s="65" t="str">
        <f t="shared" si="18"/>
        <v/>
      </c>
      <c r="C93" s="65">
        <f t="shared" si="19"/>
        <v>0</v>
      </c>
      <c r="D93" s="30">
        <f>IF($A$13=$A$17,' на весь срок'!I79,'льготный период'!H80)</f>
        <v>0</v>
      </c>
      <c r="E93" s="30">
        <f>IF($A$13=$A$17,' на весь срок'!C79,'льготный период'!B80)</f>
        <v>0</v>
      </c>
      <c r="F93" s="30">
        <f>' на весь срок'!AA80</f>
        <v>0</v>
      </c>
      <c r="G93" s="30">
        <f>' на весь срок'!S79</f>
        <v>0</v>
      </c>
      <c r="H93" s="30">
        <f>' на весь срок'!N81</f>
        <v>0</v>
      </c>
      <c r="I93" s="30">
        <f>' на весь срок'!W79</f>
        <v>0</v>
      </c>
      <c r="J93" s="65">
        <f t="shared" si="20"/>
        <v>0</v>
      </c>
      <c r="K93" s="30">
        <f>' на весь срок'!J79</f>
        <v>0</v>
      </c>
      <c r="L93" s="30">
        <f>' на весь срок'!D79</f>
        <v>0</v>
      </c>
      <c r="M93" s="30">
        <f>' на весь срок'!AB80</f>
        <v>0</v>
      </c>
      <c r="N93" s="30">
        <f>' на весь срок'!T79</f>
        <v>0</v>
      </c>
      <c r="O93" s="30">
        <f>' на весь срок'!O81</f>
        <v>0</v>
      </c>
      <c r="P93" s="30">
        <f>' на весь срок'!X79</f>
        <v>0</v>
      </c>
      <c r="Q93" s="65">
        <f t="shared" si="21"/>
        <v>0</v>
      </c>
      <c r="R93" s="30">
        <f>'льготный период'!I80</f>
        <v>0</v>
      </c>
      <c r="S93" s="30">
        <f>'льготный период'!C80</f>
        <v>0</v>
      </c>
      <c r="T93" s="30">
        <f>' на весь срок'!AC80</f>
        <v>0</v>
      </c>
      <c r="U93" s="30">
        <f>'льготный период'!U80</f>
        <v>0</v>
      </c>
      <c r="V93" s="30">
        <f>'льготный период'!O80</f>
        <v>0</v>
      </c>
      <c r="W93" s="30">
        <f>'льготный период'!AA80</f>
        <v>0</v>
      </c>
      <c r="X93" s="65">
        <f t="shared" si="22"/>
        <v>0</v>
      </c>
      <c r="Y93" s="30">
        <f>'льготный период'!J80</f>
        <v>0</v>
      </c>
      <c r="Z93" s="30">
        <f>'льготный период'!D80</f>
        <v>0</v>
      </c>
      <c r="AA93" s="30">
        <f>' на весь срок'!AD80</f>
        <v>0</v>
      </c>
      <c r="AB93" s="30">
        <f>'льготный период'!V80</f>
        <v>0</v>
      </c>
      <c r="AC93" s="30">
        <f>'льготный период'!P80</f>
        <v>0</v>
      </c>
      <c r="AD93" s="30">
        <f>'льготный период'!AB80</f>
        <v>0</v>
      </c>
      <c r="AE93" s="65">
        <f t="shared" si="23"/>
        <v>0</v>
      </c>
      <c r="AF93" s="30">
        <f>'льготный период'!K80</f>
        <v>0</v>
      </c>
      <c r="AG93" s="66">
        <f t="shared" si="25"/>
        <v>0</v>
      </c>
      <c r="AH93" s="66">
        <f>' на весь срок'!AE80</f>
        <v>0</v>
      </c>
      <c r="AI93" s="30">
        <f>'льготный период'!W80</f>
        <v>0</v>
      </c>
      <c r="AJ93" s="30">
        <f>'льготный период'!Q80</f>
        <v>0</v>
      </c>
      <c r="AK93" s="30">
        <f>'льготный период'!AC80</f>
        <v>0</v>
      </c>
    </row>
    <row r="94" spans="1:37" x14ac:dyDescent="0.25">
      <c r="A94" s="27">
        <f t="shared" si="24"/>
        <v>75</v>
      </c>
      <c r="B94" s="65" t="str">
        <f t="shared" si="18"/>
        <v/>
      </c>
      <c r="C94" s="65">
        <f t="shared" si="19"/>
        <v>0</v>
      </c>
      <c r="D94" s="30">
        <f>IF($A$13=$A$17,' на весь срок'!I80,'льготный период'!H81)</f>
        <v>0</v>
      </c>
      <c r="E94" s="30">
        <f>IF($A$13=$A$17,' на весь срок'!C80,'льготный период'!B81)</f>
        <v>0</v>
      </c>
      <c r="F94" s="30">
        <f>' на весь срок'!AA81</f>
        <v>0</v>
      </c>
      <c r="G94" s="30">
        <f>' на весь срок'!S80</f>
        <v>0</v>
      </c>
      <c r="H94" s="30">
        <f>' на весь срок'!N82</f>
        <v>0</v>
      </c>
      <c r="I94" s="30">
        <f>' на весь срок'!W80</f>
        <v>0</v>
      </c>
      <c r="J94" s="65">
        <f t="shared" si="20"/>
        <v>0</v>
      </c>
      <c r="K94" s="30">
        <f>' на весь срок'!J80</f>
        <v>0</v>
      </c>
      <c r="L94" s="30">
        <f>' на весь срок'!D80</f>
        <v>0</v>
      </c>
      <c r="M94" s="30">
        <f>' на весь срок'!AB81</f>
        <v>0</v>
      </c>
      <c r="N94" s="30">
        <f>' на весь срок'!T80</f>
        <v>0</v>
      </c>
      <c r="O94" s="30">
        <f>' на весь срок'!O82</f>
        <v>0</v>
      </c>
      <c r="P94" s="30">
        <f>' на весь срок'!X80</f>
        <v>0</v>
      </c>
      <c r="Q94" s="65">
        <f t="shared" si="21"/>
        <v>0</v>
      </c>
      <c r="R94" s="30">
        <f>'льготный период'!I81</f>
        <v>0</v>
      </c>
      <c r="S94" s="30">
        <f>'льготный период'!C81</f>
        <v>0</v>
      </c>
      <c r="T94" s="30">
        <f>' на весь срок'!AC81</f>
        <v>0</v>
      </c>
      <c r="U94" s="30">
        <f>'льготный период'!U81</f>
        <v>0</v>
      </c>
      <c r="V94" s="30">
        <f>'льготный период'!O81</f>
        <v>0</v>
      </c>
      <c r="W94" s="30">
        <f>'льготный период'!AA81</f>
        <v>0</v>
      </c>
      <c r="X94" s="65">
        <f t="shared" si="22"/>
        <v>0</v>
      </c>
      <c r="Y94" s="30">
        <f>'льготный период'!J81</f>
        <v>0</v>
      </c>
      <c r="Z94" s="30">
        <f>'льготный период'!D81</f>
        <v>0</v>
      </c>
      <c r="AA94" s="30">
        <f>' на весь срок'!AD81</f>
        <v>0</v>
      </c>
      <c r="AB94" s="30">
        <f>'льготный период'!V81</f>
        <v>0</v>
      </c>
      <c r="AC94" s="30">
        <f>'льготный период'!P81</f>
        <v>0</v>
      </c>
      <c r="AD94" s="30">
        <f>'льготный период'!AB81</f>
        <v>0</v>
      </c>
      <c r="AE94" s="65">
        <f t="shared" si="23"/>
        <v>0</v>
      </c>
      <c r="AF94" s="30">
        <f>'льготный период'!K81</f>
        <v>0</v>
      </c>
      <c r="AG94" s="66">
        <f t="shared" si="25"/>
        <v>0</v>
      </c>
      <c r="AH94" s="66">
        <f>' на весь срок'!AE81</f>
        <v>0</v>
      </c>
      <c r="AI94" s="30">
        <f>'льготный период'!W81</f>
        <v>0</v>
      </c>
      <c r="AJ94" s="30">
        <f>'льготный период'!Q81</f>
        <v>0</v>
      </c>
      <c r="AK94" s="30">
        <f>'льготный период'!AC81</f>
        <v>0</v>
      </c>
    </row>
    <row r="95" spans="1:37" x14ac:dyDescent="0.25">
      <c r="A95" s="27">
        <f t="shared" si="24"/>
        <v>76</v>
      </c>
      <c r="B95" s="65" t="str">
        <f t="shared" si="18"/>
        <v/>
      </c>
      <c r="C95" s="65">
        <f t="shared" si="19"/>
        <v>0</v>
      </c>
      <c r="D95" s="30">
        <f>IF($A$13=$A$17,' на весь срок'!I81,'льготный период'!H82)</f>
        <v>0</v>
      </c>
      <c r="E95" s="30">
        <f>IF($A$13=$A$17,' на весь срок'!C81,'льготный период'!B82)</f>
        <v>0</v>
      </c>
      <c r="F95" s="30">
        <f>' на весь срок'!AA82</f>
        <v>0</v>
      </c>
      <c r="G95" s="30">
        <f>' на весь срок'!S81</f>
        <v>0</v>
      </c>
      <c r="H95" s="30">
        <f>' на весь срок'!N83</f>
        <v>0</v>
      </c>
      <c r="I95" s="30">
        <f>' на весь срок'!W81</f>
        <v>0</v>
      </c>
      <c r="J95" s="65">
        <f t="shared" si="20"/>
        <v>0</v>
      </c>
      <c r="K95" s="30">
        <f>' на весь срок'!J81</f>
        <v>0</v>
      </c>
      <c r="L95" s="30">
        <f>' на весь срок'!D81</f>
        <v>0</v>
      </c>
      <c r="M95" s="30">
        <f>' на весь срок'!AB82</f>
        <v>0</v>
      </c>
      <c r="N95" s="30">
        <f>' на весь срок'!T81</f>
        <v>0</v>
      </c>
      <c r="O95" s="30">
        <f>' на весь срок'!O83</f>
        <v>0</v>
      </c>
      <c r="P95" s="30">
        <f>' на весь срок'!X81</f>
        <v>0</v>
      </c>
      <c r="Q95" s="65">
        <f t="shared" si="21"/>
        <v>0</v>
      </c>
      <c r="R95" s="30">
        <f>'льготный период'!I82</f>
        <v>0</v>
      </c>
      <c r="S95" s="30">
        <f>'льготный период'!C82</f>
        <v>0</v>
      </c>
      <c r="T95" s="30">
        <f>' на весь срок'!AC82</f>
        <v>0</v>
      </c>
      <c r="U95" s="30">
        <f>'льготный период'!U82</f>
        <v>0</v>
      </c>
      <c r="V95" s="30">
        <f>'льготный период'!O82</f>
        <v>0</v>
      </c>
      <c r="W95" s="30">
        <f>'льготный период'!AA82</f>
        <v>0</v>
      </c>
      <c r="X95" s="65">
        <f t="shared" si="22"/>
        <v>0</v>
      </c>
      <c r="Y95" s="30">
        <f>'льготный период'!J82</f>
        <v>0</v>
      </c>
      <c r="Z95" s="30">
        <f>'льготный период'!D82</f>
        <v>0</v>
      </c>
      <c r="AA95" s="30">
        <f>' на весь срок'!AD82</f>
        <v>0</v>
      </c>
      <c r="AB95" s="30">
        <f>'льготный период'!V82</f>
        <v>0</v>
      </c>
      <c r="AC95" s="30">
        <f>'льготный период'!P82</f>
        <v>0</v>
      </c>
      <c r="AD95" s="30">
        <f>'льготный период'!AB82</f>
        <v>0</v>
      </c>
      <c r="AE95" s="65">
        <f t="shared" si="23"/>
        <v>0</v>
      </c>
      <c r="AF95" s="30">
        <f>'льготный период'!K82</f>
        <v>0</v>
      </c>
      <c r="AG95" s="66">
        <f t="shared" si="25"/>
        <v>0</v>
      </c>
      <c r="AH95" s="66">
        <f>' на весь срок'!AE82</f>
        <v>0</v>
      </c>
      <c r="AI95" s="30">
        <f>'льготный период'!W82</f>
        <v>0</v>
      </c>
      <c r="AJ95" s="30">
        <f>'льготный период'!Q82</f>
        <v>0</v>
      </c>
      <c r="AK95" s="30">
        <f>'льготный период'!AC82</f>
        <v>0</v>
      </c>
    </row>
    <row r="96" spans="1:37" x14ac:dyDescent="0.25">
      <c r="A96" s="27">
        <f t="shared" si="24"/>
        <v>77</v>
      </c>
      <c r="B96" s="65" t="str">
        <f t="shared" si="18"/>
        <v/>
      </c>
      <c r="C96" s="65">
        <f t="shared" si="19"/>
        <v>0</v>
      </c>
      <c r="D96" s="30">
        <f>IF($A$13=$A$17,' на весь срок'!I82,'льготный период'!H83)</f>
        <v>0</v>
      </c>
      <c r="E96" s="30">
        <f>IF($A$13=$A$17,' на весь срок'!C82,'льготный период'!B83)</f>
        <v>0</v>
      </c>
      <c r="F96" s="30">
        <f>' на весь срок'!AA83</f>
        <v>0</v>
      </c>
      <c r="G96" s="30">
        <f>' на весь срок'!S82</f>
        <v>0</v>
      </c>
      <c r="H96" s="30">
        <f>' на весь срок'!N84</f>
        <v>0</v>
      </c>
      <c r="I96" s="30">
        <f>' на весь срок'!W82</f>
        <v>0</v>
      </c>
      <c r="J96" s="65">
        <f t="shared" si="20"/>
        <v>0</v>
      </c>
      <c r="K96" s="30">
        <f>' на весь срок'!J82</f>
        <v>0</v>
      </c>
      <c r="L96" s="30">
        <f>' на весь срок'!D82</f>
        <v>0</v>
      </c>
      <c r="M96" s="30">
        <f>' на весь срок'!AB83</f>
        <v>0</v>
      </c>
      <c r="N96" s="30">
        <f>' на весь срок'!T82</f>
        <v>0</v>
      </c>
      <c r="O96" s="30">
        <f>' на весь срок'!O84</f>
        <v>0</v>
      </c>
      <c r="P96" s="30">
        <f>' на весь срок'!X82</f>
        <v>0</v>
      </c>
      <c r="Q96" s="65">
        <f t="shared" si="21"/>
        <v>0</v>
      </c>
      <c r="R96" s="30">
        <f>'льготный период'!I83</f>
        <v>0</v>
      </c>
      <c r="S96" s="30">
        <f>'льготный период'!C83</f>
        <v>0</v>
      </c>
      <c r="T96" s="30">
        <f>' на весь срок'!AC83</f>
        <v>0</v>
      </c>
      <c r="U96" s="30">
        <f>'льготный период'!U83</f>
        <v>0</v>
      </c>
      <c r="V96" s="30">
        <f>'льготный период'!O83</f>
        <v>0</v>
      </c>
      <c r="W96" s="30">
        <f>'льготный период'!AA83</f>
        <v>0</v>
      </c>
      <c r="X96" s="65">
        <f t="shared" si="22"/>
        <v>0</v>
      </c>
      <c r="Y96" s="30">
        <f>'льготный период'!J83</f>
        <v>0</v>
      </c>
      <c r="Z96" s="30">
        <f>'льготный период'!D83</f>
        <v>0</v>
      </c>
      <c r="AA96" s="30">
        <f>' на весь срок'!AD83</f>
        <v>0</v>
      </c>
      <c r="AB96" s="30">
        <f>'льготный период'!V83</f>
        <v>0</v>
      </c>
      <c r="AC96" s="30">
        <f>'льготный период'!P83</f>
        <v>0</v>
      </c>
      <c r="AD96" s="30">
        <f>'льготный период'!AB83</f>
        <v>0</v>
      </c>
      <c r="AE96" s="65">
        <f t="shared" si="23"/>
        <v>0</v>
      </c>
      <c r="AF96" s="30">
        <f>'льготный период'!K83</f>
        <v>0</v>
      </c>
      <c r="AG96" s="66">
        <f t="shared" si="25"/>
        <v>0</v>
      </c>
      <c r="AH96" s="66">
        <f>' на весь срок'!AE83</f>
        <v>0</v>
      </c>
      <c r="AI96" s="30">
        <f>'льготный период'!W83</f>
        <v>0</v>
      </c>
      <c r="AJ96" s="30">
        <f>'льготный период'!Q83</f>
        <v>0</v>
      </c>
      <c r="AK96" s="30">
        <f>'льготный период'!AC83</f>
        <v>0</v>
      </c>
    </row>
    <row r="97" spans="1:37" x14ac:dyDescent="0.25">
      <c r="A97" s="27">
        <f>A96+1</f>
        <v>78</v>
      </c>
      <c r="B97" s="65" t="str">
        <f t="shared" si="18"/>
        <v/>
      </c>
      <c r="C97" s="65">
        <f t="shared" si="19"/>
        <v>0</v>
      </c>
      <c r="D97" s="30">
        <f>IF($A$13=$A$17,' на весь срок'!I83,'льготный период'!H84)</f>
        <v>0</v>
      </c>
      <c r="E97" s="30">
        <f>IF($A$13=$A$17,' на весь срок'!C83,'льготный период'!B84)</f>
        <v>0</v>
      </c>
      <c r="F97" s="30">
        <f>' на весь срок'!AA84</f>
        <v>0</v>
      </c>
      <c r="G97" s="30">
        <f>' на весь срок'!S83</f>
        <v>0</v>
      </c>
      <c r="H97" s="30">
        <f>' на весь срок'!N85</f>
        <v>0</v>
      </c>
      <c r="I97" s="30">
        <f>' на весь срок'!W83</f>
        <v>0</v>
      </c>
      <c r="J97" s="65">
        <f t="shared" si="20"/>
        <v>0</v>
      </c>
      <c r="K97" s="30">
        <f>' на весь срок'!J83</f>
        <v>0</v>
      </c>
      <c r="L97" s="30">
        <f>' на весь срок'!D83</f>
        <v>0</v>
      </c>
      <c r="M97" s="30">
        <f>' на весь срок'!AB84</f>
        <v>0</v>
      </c>
      <c r="N97" s="30">
        <f>' на весь срок'!T83</f>
        <v>0</v>
      </c>
      <c r="O97" s="30">
        <f>' на весь срок'!O85</f>
        <v>0</v>
      </c>
      <c r="P97" s="30">
        <f>' на весь срок'!X83</f>
        <v>0</v>
      </c>
      <c r="Q97" s="65">
        <f t="shared" si="21"/>
        <v>0</v>
      </c>
      <c r="R97" s="30">
        <f>'льготный период'!I84</f>
        <v>0</v>
      </c>
      <c r="S97" s="30">
        <f>'льготный период'!C84</f>
        <v>0</v>
      </c>
      <c r="T97" s="30">
        <f>' на весь срок'!AC84</f>
        <v>0</v>
      </c>
      <c r="U97" s="30">
        <f>'льготный период'!U84</f>
        <v>0</v>
      </c>
      <c r="V97" s="30">
        <f>'льготный период'!O84</f>
        <v>0</v>
      </c>
      <c r="W97" s="30">
        <f>'льготный период'!AA84</f>
        <v>0</v>
      </c>
      <c r="X97" s="65">
        <f t="shared" si="22"/>
        <v>0</v>
      </c>
      <c r="Y97" s="30">
        <f>'льготный период'!J84</f>
        <v>0</v>
      </c>
      <c r="Z97" s="30">
        <f>'льготный период'!D84</f>
        <v>0</v>
      </c>
      <c r="AA97" s="30">
        <f>' на весь срок'!AD84</f>
        <v>0</v>
      </c>
      <c r="AB97" s="30">
        <f>'льготный период'!V84</f>
        <v>0</v>
      </c>
      <c r="AC97" s="30">
        <f>'льготный период'!P84</f>
        <v>0</v>
      </c>
      <c r="AD97" s="30">
        <f>'льготный период'!AB84</f>
        <v>0</v>
      </c>
      <c r="AE97" s="65">
        <f t="shared" si="23"/>
        <v>0</v>
      </c>
      <c r="AF97" s="30">
        <f>'льготный период'!K84</f>
        <v>0</v>
      </c>
      <c r="AG97" s="66">
        <f t="shared" si="25"/>
        <v>0</v>
      </c>
      <c r="AH97" s="66">
        <f>' на весь срок'!AE84</f>
        <v>0</v>
      </c>
      <c r="AI97" s="30">
        <f>'льготный период'!W84</f>
        <v>0</v>
      </c>
      <c r="AJ97" s="30">
        <f>'льготный период'!Q84</f>
        <v>0</v>
      </c>
      <c r="AK97" s="30">
        <f>'льготный период'!AC84</f>
        <v>0</v>
      </c>
    </row>
    <row r="98" spans="1:37" x14ac:dyDescent="0.25">
      <c r="A98" s="27">
        <f t="shared" ref="A98:A107" si="26">A97+1</f>
        <v>79</v>
      </c>
      <c r="B98" s="65" t="str">
        <f t="shared" si="18"/>
        <v/>
      </c>
      <c r="C98" s="65">
        <f t="shared" si="19"/>
        <v>0</v>
      </c>
      <c r="D98" s="30">
        <f>IF($A$13=$A$17,' на весь срок'!I84,'льготный период'!H85)</f>
        <v>0</v>
      </c>
      <c r="E98" s="30">
        <f>IF($A$13=$A$17,' на весь срок'!C84,'льготный период'!B85)</f>
        <v>0</v>
      </c>
      <c r="F98" s="30">
        <f>' на весь срок'!AA85</f>
        <v>0</v>
      </c>
      <c r="G98" s="30">
        <f>' на весь срок'!S84</f>
        <v>0</v>
      </c>
      <c r="H98" s="30">
        <f>' на весь срок'!N86</f>
        <v>0</v>
      </c>
      <c r="I98" s="30">
        <f>' на весь срок'!W84</f>
        <v>0</v>
      </c>
      <c r="J98" s="65">
        <f t="shared" si="20"/>
        <v>0</v>
      </c>
      <c r="K98" s="30">
        <f>' на весь срок'!J84</f>
        <v>0</v>
      </c>
      <c r="L98" s="30">
        <f>' на весь срок'!D84</f>
        <v>0</v>
      </c>
      <c r="M98" s="30">
        <f>' на весь срок'!AB85</f>
        <v>0</v>
      </c>
      <c r="N98" s="30">
        <f>' на весь срок'!T84</f>
        <v>0</v>
      </c>
      <c r="O98" s="30">
        <f>' на весь срок'!O86</f>
        <v>0</v>
      </c>
      <c r="P98" s="30">
        <f>' на весь срок'!X84</f>
        <v>0</v>
      </c>
      <c r="Q98" s="65">
        <f t="shared" si="21"/>
        <v>0</v>
      </c>
      <c r="R98" s="30">
        <f>'льготный период'!I85</f>
        <v>0</v>
      </c>
      <c r="S98" s="30">
        <f>'льготный период'!C85</f>
        <v>0</v>
      </c>
      <c r="T98" s="30">
        <f>' на весь срок'!AC85</f>
        <v>0</v>
      </c>
      <c r="U98" s="30">
        <f>'льготный период'!U85</f>
        <v>0</v>
      </c>
      <c r="V98" s="30">
        <f>'льготный период'!O85</f>
        <v>0</v>
      </c>
      <c r="W98" s="30">
        <f>'льготный период'!AA85</f>
        <v>0</v>
      </c>
      <c r="X98" s="65">
        <f t="shared" si="22"/>
        <v>0</v>
      </c>
      <c r="Y98" s="30">
        <f>'льготный период'!J85</f>
        <v>0</v>
      </c>
      <c r="Z98" s="30">
        <f>'льготный период'!D85</f>
        <v>0</v>
      </c>
      <c r="AA98" s="30">
        <f>' на весь срок'!AD85</f>
        <v>0</v>
      </c>
      <c r="AB98" s="30">
        <f>'льготный период'!V85</f>
        <v>0</v>
      </c>
      <c r="AC98" s="30">
        <f>'льготный период'!P85</f>
        <v>0</v>
      </c>
      <c r="AD98" s="30">
        <f>'льготный период'!AB85</f>
        <v>0</v>
      </c>
      <c r="AE98" s="65">
        <f t="shared" si="23"/>
        <v>0</v>
      </c>
      <c r="AF98" s="30">
        <f>'льготный период'!K85</f>
        <v>0</v>
      </c>
      <c r="AG98" s="66">
        <f t="shared" si="25"/>
        <v>0</v>
      </c>
      <c r="AH98" s="66">
        <f>' на весь срок'!AE85</f>
        <v>0</v>
      </c>
      <c r="AI98" s="30">
        <f>'льготный период'!W85</f>
        <v>0</v>
      </c>
      <c r="AJ98" s="30">
        <f>'льготный период'!Q85</f>
        <v>0</v>
      </c>
      <c r="AK98" s="30">
        <f>'льготный период'!AC85</f>
        <v>0</v>
      </c>
    </row>
    <row r="99" spans="1:37" x14ac:dyDescent="0.25">
      <c r="A99" s="27">
        <f t="shared" si="26"/>
        <v>80</v>
      </c>
      <c r="B99" s="65" t="str">
        <f t="shared" si="18"/>
        <v/>
      </c>
      <c r="C99" s="65">
        <f t="shared" si="19"/>
        <v>0</v>
      </c>
      <c r="D99" s="30">
        <f>IF($A$13=$A$17,' на весь срок'!I85,'льготный период'!H86)</f>
        <v>0</v>
      </c>
      <c r="E99" s="30">
        <f>IF($A$13=$A$17,' на весь срок'!C85,'льготный период'!B86)</f>
        <v>0</v>
      </c>
      <c r="F99" s="30">
        <f>' на весь срок'!AA86</f>
        <v>0</v>
      </c>
      <c r="G99" s="30">
        <f>' на весь срок'!S85</f>
        <v>0</v>
      </c>
      <c r="H99" s="30">
        <f>' на весь срок'!N87</f>
        <v>0</v>
      </c>
      <c r="I99" s="30">
        <f>' на весь срок'!W85</f>
        <v>0</v>
      </c>
      <c r="J99" s="65">
        <f t="shared" si="20"/>
        <v>0</v>
      </c>
      <c r="K99" s="30">
        <f>' на весь срок'!J85</f>
        <v>0</v>
      </c>
      <c r="L99" s="30">
        <f>' на весь срок'!D85</f>
        <v>0</v>
      </c>
      <c r="M99" s="30">
        <f>' на весь срок'!AB86</f>
        <v>0</v>
      </c>
      <c r="N99" s="30">
        <f>' на весь срок'!T85</f>
        <v>0</v>
      </c>
      <c r="O99" s="30">
        <f>' на весь срок'!O87</f>
        <v>0</v>
      </c>
      <c r="P99" s="30">
        <f>' на весь срок'!X85</f>
        <v>0</v>
      </c>
      <c r="Q99" s="65">
        <f t="shared" si="21"/>
        <v>0</v>
      </c>
      <c r="R99" s="30">
        <f>'льготный период'!I86</f>
        <v>0</v>
      </c>
      <c r="S99" s="30">
        <f>'льготный период'!C86</f>
        <v>0</v>
      </c>
      <c r="T99" s="30">
        <f>' на весь срок'!AC86</f>
        <v>0</v>
      </c>
      <c r="U99" s="30">
        <f>'льготный период'!U86</f>
        <v>0</v>
      </c>
      <c r="V99" s="30">
        <f>'льготный период'!O86</f>
        <v>0</v>
      </c>
      <c r="W99" s="30">
        <f>'льготный период'!AA86</f>
        <v>0</v>
      </c>
      <c r="X99" s="65">
        <f t="shared" si="22"/>
        <v>0</v>
      </c>
      <c r="Y99" s="30">
        <f>'льготный период'!J86</f>
        <v>0</v>
      </c>
      <c r="Z99" s="30">
        <f>'льготный период'!D86</f>
        <v>0</v>
      </c>
      <c r="AA99" s="30">
        <f>' на весь срок'!AD86</f>
        <v>0</v>
      </c>
      <c r="AB99" s="30">
        <f>'льготный период'!V86</f>
        <v>0</v>
      </c>
      <c r="AC99" s="30">
        <f>'льготный период'!P86</f>
        <v>0</v>
      </c>
      <c r="AD99" s="30">
        <f>'льготный период'!AB86</f>
        <v>0</v>
      </c>
      <c r="AE99" s="65">
        <f t="shared" si="23"/>
        <v>0</v>
      </c>
      <c r="AF99" s="30">
        <f>'льготный период'!K86</f>
        <v>0</v>
      </c>
      <c r="AG99" s="66">
        <f t="shared" si="25"/>
        <v>0</v>
      </c>
      <c r="AH99" s="66">
        <f>' на весь срок'!AE86</f>
        <v>0</v>
      </c>
      <c r="AI99" s="30">
        <f>'льготный период'!W86</f>
        <v>0</v>
      </c>
      <c r="AJ99" s="30">
        <f>'льготный период'!Q86</f>
        <v>0</v>
      </c>
      <c r="AK99" s="30">
        <f>'льготный период'!AC86</f>
        <v>0</v>
      </c>
    </row>
    <row r="100" spans="1:37" x14ac:dyDescent="0.25">
      <c r="A100" s="27">
        <f t="shared" si="26"/>
        <v>81</v>
      </c>
      <c r="B100" s="65" t="str">
        <f t="shared" si="18"/>
        <v/>
      </c>
      <c r="C100" s="65">
        <f t="shared" si="19"/>
        <v>0</v>
      </c>
      <c r="D100" s="30">
        <f>IF($A$13=$A$17,' на весь срок'!I86,'льготный период'!H87)</f>
        <v>0</v>
      </c>
      <c r="E100" s="30">
        <f>IF($A$13=$A$17,' на весь срок'!C86,'льготный период'!B87)</f>
        <v>0</v>
      </c>
      <c r="F100" s="30">
        <f>' на весь срок'!AA87</f>
        <v>0</v>
      </c>
      <c r="G100" s="30">
        <f>' на весь срок'!S86</f>
        <v>0</v>
      </c>
      <c r="H100" s="30">
        <f>' на весь срок'!N88</f>
        <v>0</v>
      </c>
      <c r="I100" s="30">
        <f>' на весь срок'!W86</f>
        <v>0</v>
      </c>
      <c r="J100" s="65">
        <f t="shared" si="20"/>
        <v>0</v>
      </c>
      <c r="K100" s="30">
        <f>' на весь срок'!J86</f>
        <v>0</v>
      </c>
      <c r="L100" s="30">
        <f>' на весь срок'!D86</f>
        <v>0</v>
      </c>
      <c r="M100" s="30">
        <f>' на весь срок'!AB87</f>
        <v>0</v>
      </c>
      <c r="N100" s="30">
        <f>' на весь срок'!T86</f>
        <v>0</v>
      </c>
      <c r="O100" s="30">
        <f>' на весь срок'!O88</f>
        <v>0</v>
      </c>
      <c r="P100" s="30">
        <f>' на весь срок'!X86</f>
        <v>0</v>
      </c>
      <c r="Q100" s="65">
        <f t="shared" si="21"/>
        <v>0</v>
      </c>
      <c r="R100" s="30">
        <f>'льготный период'!I87</f>
        <v>0</v>
      </c>
      <c r="S100" s="30">
        <f>'льготный период'!C87</f>
        <v>0</v>
      </c>
      <c r="T100" s="30">
        <f>' на весь срок'!AC87</f>
        <v>0</v>
      </c>
      <c r="U100" s="30">
        <f>'льготный период'!U87</f>
        <v>0</v>
      </c>
      <c r="V100" s="30">
        <f>'льготный период'!O87</f>
        <v>0</v>
      </c>
      <c r="W100" s="30">
        <f>'льготный период'!AA87</f>
        <v>0</v>
      </c>
      <c r="X100" s="65">
        <f t="shared" si="22"/>
        <v>0</v>
      </c>
      <c r="Y100" s="30">
        <f>'льготный период'!J87</f>
        <v>0</v>
      </c>
      <c r="Z100" s="30">
        <f>'льготный период'!D87</f>
        <v>0</v>
      </c>
      <c r="AA100" s="30">
        <f>' на весь срок'!AD87</f>
        <v>0</v>
      </c>
      <c r="AB100" s="30">
        <f>'льготный период'!V87</f>
        <v>0</v>
      </c>
      <c r="AC100" s="30">
        <f>'льготный период'!P87</f>
        <v>0</v>
      </c>
      <c r="AD100" s="30">
        <f>'льготный период'!AB87</f>
        <v>0</v>
      </c>
      <c r="AE100" s="65">
        <f t="shared" si="23"/>
        <v>0</v>
      </c>
      <c r="AF100" s="30">
        <f>'льготный период'!K87</f>
        <v>0</v>
      </c>
      <c r="AG100" s="66">
        <f t="shared" si="25"/>
        <v>0</v>
      </c>
      <c r="AH100" s="66">
        <f>' на весь срок'!AE87</f>
        <v>0</v>
      </c>
      <c r="AI100" s="30">
        <f>'льготный период'!W87</f>
        <v>0</v>
      </c>
      <c r="AJ100" s="30">
        <f>'льготный период'!Q87</f>
        <v>0</v>
      </c>
      <c r="AK100" s="30">
        <f>'льготный период'!AC87</f>
        <v>0</v>
      </c>
    </row>
    <row r="101" spans="1:37" x14ac:dyDescent="0.25">
      <c r="A101" s="27">
        <f t="shared" si="26"/>
        <v>82</v>
      </c>
      <c r="B101" s="65" t="str">
        <f t="shared" si="18"/>
        <v/>
      </c>
      <c r="C101" s="65">
        <f t="shared" si="19"/>
        <v>0</v>
      </c>
      <c r="D101" s="30">
        <f>IF($A$13=$A$17,' на весь срок'!I87,'льготный период'!H88)</f>
        <v>0</v>
      </c>
      <c r="E101" s="30">
        <f>IF($A$13=$A$17,' на весь срок'!C87,'льготный период'!B88)</f>
        <v>0</v>
      </c>
      <c r="F101" s="30">
        <f>' на весь срок'!AA88</f>
        <v>0</v>
      </c>
      <c r="G101" s="30">
        <f>' на весь срок'!S87</f>
        <v>0</v>
      </c>
      <c r="H101" s="30">
        <f>' на весь срок'!N89</f>
        <v>0</v>
      </c>
      <c r="I101" s="30">
        <f>' на весь срок'!W87</f>
        <v>0</v>
      </c>
      <c r="J101" s="65">
        <f t="shared" si="20"/>
        <v>0</v>
      </c>
      <c r="K101" s="30">
        <f>' на весь срок'!J87</f>
        <v>0</v>
      </c>
      <c r="L101" s="30">
        <f>' на весь срок'!D87</f>
        <v>0</v>
      </c>
      <c r="M101" s="30">
        <f>' на весь срок'!AB88</f>
        <v>0</v>
      </c>
      <c r="N101" s="30">
        <f>' на весь срок'!T87</f>
        <v>0</v>
      </c>
      <c r="O101" s="30">
        <f>' на весь срок'!O89</f>
        <v>0</v>
      </c>
      <c r="P101" s="30">
        <f>' на весь срок'!X87</f>
        <v>0</v>
      </c>
      <c r="Q101" s="65">
        <f t="shared" si="21"/>
        <v>0</v>
      </c>
      <c r="R101" s="30">
        <f>'льготный период'!I88</f>
        <v>0</v>
      </c>
      <c r="S101" s="30">
        <f>'льготный период'!C88</f>
        <v>0</v>
      </c>
      <c r="T101" s="30">
        <f>' на весь срок'!AC88</f>
        <v>0</v>
      </c>
      <c r="U101" s="30">
        <f>'льготный период'!U88</f>
        <v>0</v>
      </c>
      <c r="V101" s="30">
        <f>'льготный период'!O88</f>
        <v>0</v>
      </c>
      <c r="W101" s="30">
        <f>'льготный период'!AA88</f>
        <v>0</v>
      </c>
      <c r="X101" s="65">
        <f t="shared" si="22"/>
        <v>0</v>
      </c>
      <c r="Y101" s="30">
        <f>'льготный период'!J88</f>
        <v>0</v>
      </c>
      <c r="Z101" s="30">
        <f>'льготный период'!D88</f>
        <v>0</v>
      </c>
      <c r="AA101" s="30">
        <f>' на весь срок'!AD88</f>
        <v>0</v>
      </c>
      <c r="AB101" s="30">
        <f>'льготный период'!V88</f>
        <v>0</v>
      </c>
      <c r="AC101" s="30">
        <f>'льготный период'!P88</f>
        <v>0</v>
      </c>
      <c r="AD101" s="30">
        <f>'льготный период'!AB88</f>
        <v>0</v>
      </c>
      <c r="AE101" s="65">
        <f t="shared" si="23"/>
        <v>0</v>
      </c>
      <c r="AF101" s="30">
        <f>'льготный период'!K88</f>
        <v>0</v>
      </c>
      <c r="AG101" s="66">
        <f t="shared" si="25"/>
        <v>0</v>
      </c>
      <c r="AH101" s="66">
        <f>' на весь срок'!AE88</f>
        <v>0</v>
      </c>
      <c r="AI101" s="30">
        <f>'льготный период'!W88</f>
        <v>0</v>
      </c>
      <c r="AJ101" s="30">
        <f>'льготный период'!Q88</f>
        <v>0</v>
      </c>
      <c r="AK101" s="30">
        <f>'льготный период'!AC88</f>
        <v>0</v>
      </c>
    </row>
    <row r="102" spans="1:37" x14ac:dyDescent="0.25">
      <c r="A102" s="27">
        <f t="shared" si="26"/>
        <v>83</v>
      </c>
      <c r="B102" s="65" t="str">
        <f t="shared" si="18"/>
        <v/>
      </c>
      <c r="C102" s="65">
        <f t="shared" si="19"/>
        <v>0</v>
      </c>
      <c r="D102" s="30">
        <f>IF($A$13=$A$17,' на весь срок'!I88,'льготный период'!H89)</f>
        <v>0</v>
      </c>
      <c r="E102" s="30">
        <f>IF($A$13=$A$17,' на весь срок'!C88,'льготный период'!B89)</f>
        <v>0</v>
      </c>
      <c r="F102" s="30">
        <f>' на весь срок'!AA89</f>
        <v>0</v>
      </c>
      <c r="G102" s="30">
        <f>' на весь срок'!S88</f>
        <v>0</v>
      </c>
      <c r="H102" s="30">
        <f>' на весь срок'!N90</f>
        <v>0</v>
      </c>
      <c r="I102" s="30">
        <f>' на весь срок'!W88</f>
        <v>0</v>
      </c>
      <c r="J102" s="65">
        <f t="shared" si="20"/>
        <v>0</v>
      </c>
      <c r="K102" s="30">
        <f>' на весь срок'!J88</f>
        <v>0</v>
      </c>
      <c r="L102" s="30">
        <f>' на весь срок'!D88</f>
        <v>0</v>
      </c>
      <c r="M102" s="30">
        <f>' на весь срок'!AB89</f>
        <v>0</v>
      </c>
      <c r="N102" s="30">
        <f>' на весь срок'!T88</f>
        <v>0</v>
      </c>
      <c r="O102" s="30">
        <f>' на весь срок'!O90</f>
        <v>0</v>
      </c>
      <c r="P102" s="30">
        <f>' на весь срок'!X88</f>
        <v>0</v>
      </c>
      <c r="Q102" s="65">
        <f t="shared" si="21"/>
        <v>0</v>
      </c>
      <c r="R102" s="30">
        <f>'льготный период'!I89</f>
        <v>0</v>
      </c>
      <c r="S102" s="30">
        <f>'льготный период'!C89</f>
        <v>0</v>
      </c>
      <c r="T102" s="30">
        <f>' на весь срок'!AC89</f>
        <v>0</v>
      </c>
      <c r="U102" s="30">
        <f>'льготный период'!U89</f>
        <v>0</v>
      </c>
      <c r="V102" s="30">
        <f>'льготный период'!O89</f>
        <v>0</v>
      </c>
      <c r="W102" s="30">
        <f>'льготный период'!AA89</f>
        <v>0</v>
      </c>
      <c r="X102" s="65">
        <f t="shared" si="22"/>
        <v>0</v>
      </c>
      <c r="Y102" s="30">
        <f>'льготный период'!J89</f>
        <v>0</v>
      </c>
      <c r="Z102" s="30">
        <f>'льготный период'!D89</f>
        <v>0</v>
      </c>
      <c r="AA102" s="30">
        <f>' на весь срок'!AD89</f>
        <v>0</v>
      </c>
      <c r="AB102" s="30">
        <f>'льготный период'!V89</f>
        <v>0</v>
      </c>
      <c r="AC102" s="30">
        <f>'льготный период'!P90</f>
        <v>0</v>
      </c>
      <c r="AD102" s="30">
        <f>'льготный период'!AB89</f>
        <v>0</v>
      </c>
      <c r="AE102" s="65">
        <f t="shared" si="23"/>
        <v>0</v>
      </c>
      <c r="AF102" s="30">
        <f>'льготный период'!K89</f>
        <v>0</v>
      </c>
      <c r="AG102" s="66">
        <f t="shared" si="25"/>
        <v>0</v>
      </c>
      <c r="AH102" s="66">
        <f>' на весь срок'!AE89</f>
        <v>0</v>
      </c>
      <c r="AI102" s="30">
        <f>'льготный период'!W89</f>
        <v>0</v>
      </c>
      <c r="AJ102" s="30">
        <f>'льготный период'!Q89</f>
        <v>0</v>
      </c>
      <c r="AK102" s="30">
        <f>'льготный период'!AC89</f>
        <v>0</v>
      </c>
    </row>
    <row r="103" spans="1:37" x14ac:dyDescent="0.25">
      <c r="A103" s="27">
        <f t="shared" si="26"/>
        <v>84</v>
      </c>
      <c r="B103" s="65" t="str">
        <f t="shared" si="18"/>
        <v/>
      </c>
      <c r="C103" s="65">
        <f t="shared" si="19"/>
        <v>0</v>
      </c>
      <c r="D103" s="30">
        <f>IF($A$13=$A$17,' на весь срок'!I89,'льготный период'!H90)</f>
        <v>0</v>
      </c>
      <c r="E103" s="30">
        <f>IF($A$13=$A$17,' на весь срок'!C89,'льготный период'!B90)</f>
        <v>0</v>
      </c>
      <c r="F103" s="30">
        <f>' на весь срок'!AA90</f>
        <v>0</v>
      </c>
      <c r="G103" s="30">
        <f>' на весь срок'!S89</f>
        <v>0</v>
      </c>
      <c r="H103" s="30">
        <f>' на весь срок'!N91</f>
        <v>0</v>
      </c>
      <c r="I103" s="30">
        <f>' на весь срок'!W89</f>
        <v>0</v>
      </c>
      <c r="J103" s="65">
        <f t="shared" si="20"/>
        <v>0</v>
      </c>
      <c r="K103" s="30">
        <f>' на весь срок'!J89</f>
        <v>0</v>
      </c>
      <c r="L103" s="30">
        <f>' на весь срок'!D89</f>
        <v>0</v>
      </c>
      <c r="M103" s="30">
        <f>' на весь срок'!AB90</f>
        <v>0</v>
      </c>
      <c r="N103" s="30">
        <f>' на весь срок'!T89</f>
        <v>0</v>
      </c>
      <c r="O103" s="30">
        <f>' на весь срок'!O91</f>
        <v>0</v>
      </c>
      <c r="P103" s="30">
        <f>' на весь срок'!X89</f>
        <v>0</v>
      </c>
      <c r="Q103" s="65">
        <f t="shared" si="21"/>
        <v>0</v>
      </c>
      <c r="R103" s="30">
        <f>'льготный период'!I90</f>
        <v>0</v>
      </c>
      <c r="S103" s="30">
        <f>'льготный период'!C90</f>
        <v>0</v>
      </c>
      <c r="T103" s="30">
        <f>' на весь срок'!AC90</f>
        <v>0</v>
      </c>
      <c r="U103" s="30">
        <f>'льготный период'!U90</f>
        <v>0</v>
      </c>
      <c r="V103" s="30">
        <f>'льготный период'!O90</f>
        <v>0</v>
      </c>
      <c r="W103" s="30">
        <f>'льготный период'!AA90</f>
        <v>0</v>
      </c>
      <c r="X103" s="65">
        <f t="shared" si="22"/>
        <v>0</v>
      </c>
      <c r="Y103" s="30">
        <f>'льготный период'!J90</f>
        <v>0</v>
      </c>
      <c r="Z103" s="30">
        <f>'льготный период'!D90</f>
        <v>0</v>
      </c>
      <c r="AA103" s="30">
        <f>' на весь срок'!AD90</f>
        <v>0</v>
      </c>
      <c r="AB103" s="30">
        <f>'льготный период'!V90</f>
        <v>0</v>
      </c>
      <c r="AC103" s="30">
        <f>'льготный период'!P91</f>
        <v>0</v>
      </c>
      <c r="AD103" s="30">
        <f>'льготный период'!AB90</f>
        <v>0</v>
      </c>
      <c r="AE103" s="65">
        <f t="shared" si="23"/>
        <v>0</v>
      </c>
      <c r="AF103" s="30">
        <f>'льготный период'!K90</f>
        <v>0</v>
      </c>
      <c r="AG103" s="66">
        <f t="shared" si="25"/>
        <v>0</v>
      </c>
      <c r="AH103" s="66">
        <f>' на весь срок'!AE90</f>
        <v>0</v>
      </c>
      <c r="AI103" s="30">
        <f>'льготный период'!W90</f>
        <v>0</v>
      </c>
      <c r="AJ103" s="30">
        <f>'льготный период'!Q90</f>
        <v>0</v>
      </c>
      <c r="AK103" s="30">
        <f>'льготный период'!AC90</f>
        <v>0</v>
      </c>
    </row>
    <row r="104" spans="1:37" x14ac:dyDescent="0.25">
      <c r="A104" s="27">
        <f t="shared" si="26"/>
        <v>85</v>
      </c>
      <c r="B104" s="65" t="str">
        <f t="shared" si="18"/>
        <v/>
      </c>
      <c r="C104" s="65">
        <f t="shared" si="19"/>
        <v>0</v>
      </c>
      <c r="D104" s="30">
        <f>IF($A$13=$A$17,' на весь срок'!I90,'льготный период'!H91)</f>
        <v>0</v>
      </c>
      <c r="E104" s="30">
        <f>IF($A$13=$A$17,' на весь срок'!C90,'льготный период'!B91)</f>
        <v>0</v>
      </c>
      <c r="F104" s="30">
        <f>' на весь срок'!AA91</f>
        <v>0</v>
      </c>
      <c r="G104" s="30">
        <f>' на весь срок'!S90</f>
        <v>0</v>
      </c>
      <c r="H104" s="30">
        <f>' на весь срок'!N92</f>
        <v>0</v>
      </c>
      <c r="I104" s="30">
        <f>' на весь срок'!W90</f>
        <v>0</v>
      </c>
      <c r="J104" s="65">
        <f t="shared" si="20"/>
        <v>0</v>
      </c>
      <c r="K104" s="30">
        <f>' на весь срок'!J90</f>
        <v>0</v>
      </c>
      <c r="L104" s="30">
        <f>' на весь срок'!D90</f>
        <v>0</v>
      </c>
      <c r="M104" s="30">
        <f>' на весь срок'!AB91</f>
        <v>0</v>
      </c>
      <c r="N104" s="30">
        <f>' на весь срок'!T90</f>
        <v>0</v>
      </c>
      <c r="O104" s="30">
        <f>' на весь срок'!O92</f>
        <v>0</v>
      </c>
      <c r="P104" s="30">
        <f>' на весь срок'!X90</f>
        <v>0</v>
      </c>
      <c r="Q104" s="65">
        <f t="shared" si="21"/>
        <v>0</v>
      </c>
      <c r="R104" s="30">
        <f>'льготный период'!I91</f>
        <v>0</v>
      </c>
      <c r="S104" s="30">
        <f>'льготный период'!C91</f>
        <v>0</v>
      </c>
      <c r="T104" s="30">
        <f>' на весь срок'!AC91</f>
        <v>0</v>
      </c>
      <c r="U104" s="30">
        <f>'льготный период'!U91</f>
        <v>0</v>
      </c>
      <c r="V104" s="30">
        <f>'льготный период'!O92</f>
        <v>0</v>
      </c>
      <c r="W104" s="30">
        <f>'льготный период'!AA91</f>
        <v>0</v>
      </c>
      <c r="X104" s="65">
        <f t="shared" si="22"/>
        <v>0</v>
      </c>
      <c r="Y104" s="30">
        <f>'льготный период'!J91</f>
        <v>0</v>
      </c>
      <c r="Z104" s="30">
        <f>'льготный период'!D91</f>
        <v>0</v>
      </c>
      <c r="AA104" s="30">
        <f>' на весь срок'!AD91</f>
        <v>0</v>
      </c>
      <c r="AB104" s="30">
        <f>'льготный период'!V91</f>
        <v>0</v>
      </c>
      <c r="AC104" s="30">
        <f>'льготный период'!P92</f>
        <v>0</v>
      </c>
      <c r="AD104" s="30">
        <f>'льготный период'!AB91</f>
        <v>0</v>
      </c>
      <c r="AE104" s="65">
        <f t="shared" si="23"/>
        <v>0</v>
      </c>
      <c r="AF104" s="30">
        <f>'льготный период'!K91</f>
        <v>0</v>
      </c>
      <c r="AG104" s="66">
        <f t="shared" si="25"/>
        <v>0</v>
      </c>
      <c r="AH104" s="66">
        <f>' на весь срок'!AE91</f>
        <v>0</v>
      </c>
      <c r="AI104" s="30">
        <f>'льготный период'!W91</f>
        <v>0</v>
      </c>
      <c r="AJ104" s="30">
        <f>'льготный период'!Q91</f>
        <v>0</v>
      </c>
      <c r="AK104" s="30">
        <f>'льготный период'!AC91</f>
        <v>0</v>
      </c>
    </row>
    <row r="105" spans="1:37" x14ac:dyDescent="0.25">
      <c r="A105" s="27">
        <f t="shared" si="26"/>
        <v>86</v>
      </c>
      <c r="B105" s="65" t="str">
        <f t="shared" si="18"/>
        <v/>
      </c>
      <c r="C105" s="65">
        <f t="shared" si="19"/>
        <v>0</v>
      </c>
      <c r="D105" s="30">
        <f>IF($A$13=$A$17,' на весь срок'!I91,'льготный период'!H92)</f>
        <v>0</v>
      </c>
      <c r="E105" s="30">
        <f>IF($A$13=$A$17,' на весь срок'!C91,'льготный период'!B92)</f>
        <v>0</v>
      </c>
      <c r="F105" s="30">
        <f>' на весь срок'!AA92</f>
        <v>0</v>
      </c>
      <c r="G105" s="30">
        <f>' на весь срок'!S91</f>
        <v>0</v>
      </c>
      <c r="H105" s="30">
        <f>' на весь срок'!N93</f>
        <v>0</v>
      </c>
      <c r="I105" s="30">
        <f>' на весь срок'!W91</f>
        <v>0</v>
      </c>
      <c r="J105" s="65">
        <f t="shared" si="20"/>
        <v>0</v>
      </c>
      <c r="K105" s="30">
        <f>' на весь срок'!J91</f>
        <v>0</v>
      </c>
      <c r="L105" s="30">
        <f>' на весь срок'!D91</f>
        <v>0</v>
      </c>
      <c r="M105" s="30">
        <f>' на весь срок'!AB92</f>
        <v>0</v>
      </c>
      <c r="N105" s="30">
        <f>' на весь срок'!T91</f>
        <v>0</v>
      </c>
      <c r="O105" s="30">
        <f>' на весь срок'!O93</f>
        <v>0</v>
      </c>
      <c r="P105" s="30">
        <f>' на весь срок'!X91</f>
        <v>0</v>
      </c>
      <c r="Q105" s="65">
        <f t="shared" si="21"/>
        <v>0</v>
      </c>
      <c r="R105" s="30">
        <f>'льготный период'!I92</f>
        <v>0</v>
      </c>
      <c r="S105" s="30">
        <f>'льготный период'!C92</f>
        <v>0</v>
      </c>
      <c r="T105" s="30">
        <f>' на весь срок'!AC92</f>
        <v>0</v>
      </c>
      <c r="U105" s="30">
        <f>'льготный период'!U92</f>
        <v>0</v>
      </c>
      <c r="V105" s="30">
        <f>'льготный период'!O93</f>
        <v>0</v>
      </c>
      <c r="W105" s="30">
        <f>'льготный период'!AA92</f>
        <v>0</v>
      </c>
      <c r="X105" s="65">
        <f t="shared" si="22"/>
        <v>0</v>
      </c>
      <c r="Y105" s="30">
        <f>'льготный период'!J92</f>
        <v>0</v>
      </c>
      <c r="Z105" s="30">
        <f>'льготный период'!D92</f>
        <v>0</v>
      </c>
      <c r="AA105" s="30">
        <f>' на весь срок'!AD92</f>
        <v>0</v>
      </c>
      <c r="AB105" s="30">
        <f>'льготный период'!V92</f>
        <v>0</v>
      </c>
      <c r="AC105" s="30">
        <f>'льготный период'!P93</f>
        <v>0</v>
      </c>
      <c r="AD105" s="30">
        <f>'льготный период'!AB92</f>
        <v>0</v>
      </c>
      <c r="AE105" s="65">
        <f t="shared" si="23"/>
        <v>0</v>
      </c>
      <c r="AF105" s="30">
        <f>'льготный период'!K92</f>
        <v>0</v>
      </c>
      <c r="AG105" s="66">
        <f t="shared" si="25"/>
        <v>0</v>
      </c>
      <c r="AH105" s="66">
        <f>' на весь срок'!AE92</f>
        <v>0</v>
      </c>
      <c r="AI105" s="30">
        <f>'льготный период'!W92</f>
        <v>0</v>
      </c>
      <c r="AJ105" s="30">
        <f>'льготный период'!Q92</f>
        <v>0</v>
      </c>
      <c r="AK105" s="30">
        <f>'льготный период'!AC92</f>
        <v>0</v>
      </c>
    </row>
    <row r="106" spans="1:37" x14ac:dyDescent="0.25">
      <c r="A106" s="27">
        <f t="shared" si="26"/>
        <v>87</v>
      </c>
      <c r="B106" s="65" t="str">
        <f t="shared" si="18"/>
        <v/>
      </c>
      <c r="C106" s="65">
        <f t="shared" si="19"/>
        <v>0</v>
      </c>
      <c r="D106" s="30">
        <f>IF($A$13=$A$17,' на весь срок'!I92,'льготный период'!H93)</f>
        <v>0</v>
      </c>
      <c r="E106" s="30">
        <f>IF($A$13=$A$17,' на весь срок'!C92,'льготный период'!B93)</f>
        <v>0</v>
      </c>
      <c r="F106" s="30">
        <f>' на весь срок'!AA93</f>
        <v>0</v>
      </c>
      <c r="G106" s="30">
        <f>' на весь срок'!S92</f>
        <v>0</v>
      </c>
      <c r="H106" s="30">
        <f>' на весь срок'!N94</f>
        <v>0</v>
      </c>
      <c r="I106" s="30">
        <f>' на весь срок'!W92</f>
        <v>0</v>
      </c>
      <c r="J106" s="65">
        <f t="shared" si="20"/>
        <v>0</v>
      </c>
      <c r="K106" s="30">
        <f>' на весь срок'!J92</f>
        <v>0</v>
      </c>
      <c r="L106" s="30">
        <f>' на весь срок'!D92</f>
        <v>0</v>
      </c>
      <c r="M106" s="30">
        <f>' на весь срок'!AB93</f>
        <v>0</v>
      </c>
      <c r="N106" s="30">
        <f>' на весь срок'!T92</f>
        <v>0</v>
      </c>
      <c r="O106" s="30">
        <f>' на весь срок'!O94</f>
        <v>0</v>
      </c>
      <c r="P106" s="30">
        <f>' на весь срок'!X92</f>
        <v>0</v>
      </c>
      <c r="Q106" s="65">
        <f t="shared" si="21"/>
        <v>0</v>
      </c>
      <c r="R106" s="30">
        <f>'льготный период'!I93</f>
        <v>0</v>
      </c>
      <c r="S106" s="30">
        <f>'льготный период'!C93</f>
        <v>0</v>
      </c>
      <c r="T106" s="30">
        <f>' на весь срок'!AC93</f>
        <v>0</v>
      </c>
      <c r="U106" s="30">
        <f>'льготный период'!U93</f>
        <v>0</v>
      </c>
      <c r="V106" s="30">
        <f>'льготный период'!O94</f>
        <v>0</v>
      </c>
      <c r="W106" s="30">
        <f>'льготный период'!AA93</f>
        <v>0</v>
      </c>
      <c r="X106" s="65">
        <f t="shared" si="22"/>
        <v>0</v>
      </c>
      <c r="Y106" s="30">
        <f>'льготный период'!J93</f>
        <v>0</v>
      </c>
      <c r="Z106" s="30">
        <f>'льготный период'!D93</f>
        <v>0</v>
      </c>
      <c r="AA106" s="30">
        <f>' на весь срок'!AD93</f>
        <v>0</v>
      </c>
      <c r="AB106" s="30">
        <f>'льготный период'!V93</f>
        <v>0</v>
      </c>
      <c r="AC106" s="30">
        <f>'льготный период'!P94</f>
        <v>0</v>
      </c>
      <c r="AD106" s="30">
        <f>'льготный период'!AB93</f>
        <v>0</v>
      </c>
      <c r="AE106" s="65">
        <f t="shared" si="23"/>
        <v>0</v>
      </c>
      <c r="AF106" s="30">
        <f>'льготный период'!K93</f>
        <v>0</v>
      </c>
      <c r="AG106" s="66">
        <f t="shared" si="25"/>
        <v>0</v>
      </c>
      <c r="AH106" s="66">
        <f>' на весь срок'!AE93</f>
        <v>0</v>
      </c>
      <c r="AI106" s="30">
        <f>'льготный период'!W93</f>
        <v>0</v>
      </c>
      <c r="AJ106" s="30">
        <f>'льготный период'!Q93</f>
        <v>0</v>
      </c>
      <c r="AK106" s="30">
        <f>'льготный период'!AC93</f>
        <v>0</v>
      </c>
    </row>
    <row r="107" spans="1:37" x14ac:dyDescent="0.25">
      <c r="A107" s="27">
        <f t="shared" si="26"/>
        <v>88</v>
      </c>
      <c r="B107" s="65" t="str">
        <f t="shared" si="18"/>
        <v/>
      </c>
      <c r="C107" s="65">
        <f t="shared" si="19"/>
        <v>0</v>
      </c>
      <c r="D107" s="30">
        <f>IF($A$13=$A$17,' на весь срок'!I93,'льготный период'!H94)</f>
        <v>0</v>
      </c>
      <c r="E107" s="30">
        <f>IF($A$13=$A$17,' на весь срок'!C93,'льготный период'!B94)</f>
        <v>0</v>
      </c>
      <c r="F107" s="30">
        <f>' на весь срок'!AA94</f>
        <v>0</v>
      </c>
      <c r="G107" s="30">
        <f>' на весь срок'!S93</f>
        <v>0</v>
      </c>
      <c r="H107" s="30">
        <f>' на весь срок'!N95</f>
        <v>0</v>
      </c>
      <c r="I107" s="30">
        <f>' на весь срок'!W93</f>
        <v>0</v>
      </c>
      <c r="J107" s="65">
        <f t="shared" si="20"/>
        <v>0</v>
      </c>
      <c r="K107" s="30">
        <f>' на весь срок'!J93</f>
        <v>0</v>
      </c>
      <c r="L107" s="30">
        <f>' на весь срок'!D93</f>
        <v>0</v>
      </c>
      <c r="M107" s="30">
        <f>' на весь срок'!AB94</f>
        <v>0</v>
      </c>
      <c r="N107" s="30">
        <f>' на весь срок'!T93</f>
        <v>0</v>
      </c>
      <c r="O107" s="30">
        <f>' на весь срок'!O95</f>
        <v>0</v>
      </c>
      <c r="P107" s="30">
        <f>' на весь срок'!X93</f>
        <v>0</v>
      </c>
      <c r="Q107" s="65">
        <f t="shared" si="21"/>
        <v>0</v>
      </c>
      <c r="R107" s="30">
        <f>'льготный период'!I94</f>
        <v>0</v>
      </c>
      <c r="S107" s="30">
        <f>'льготный период'!C94</f>
        <v>0</v>
      </c>
      <c r="T107" s="30">
        <f>' на весь срок'!AC94</f>
        <v>0</v>
      </c>
      <c r="U107" s="30">
        <f>'льготный период'!U94</f>
        <v>0</v>
      </c>
      <c r="V107" s="30">
        <f>'льготный период'!O95</f>
        <v>0</v>
      </c>
      <c r="W107" s="30">
        <f>'льготный период'!AA94</f>
        <v>0</v>
      </c>
      <c r="X107" s="65">
        <f t="shared" si="22"/>
        <v>0</v>
      </c>
      <c r="Y107" s="30">
        <f>'льготный период'!J94</f>
        <v>0</v>
      </c>
      <c r="Z107" s="30">
        <f>'льготный период'!D94</f>
        <v>0</v>
      </c>
      <c r="AA107" s="30">
        <f>' на весь срок'!AD94</f>
        <v>0</v>
      </c>
      <c r="AB107" s="30">
        <f>'льготный период'!V94</f>
        <v>0</v>
      </c>
      <c r="AC107" s="30">
        <f>'льготный период'!P95</f>
        <v>0</v>
      </c>
      <c r="AD107" s="30">
        <f>'льготный период'!AB94</f>
        <v>0</v>
      </c>
      <c r="AE107" s="65">
        <f t="shared" si="23"/>
        <v>0</v>
      </c>
      <c r="AF107" s="30">
        <f>'льготный период'!K94</f>
        <v>0</v>
      </c>
      <c r="AG107" s="66">
        <f t="shared" si="25"/>
        <v>0</v>
      </c>
      <c r="AH107" s="66">
        <f>' на весь срок'!AE94</f>
        <v>0</v>
      </c>
      <c r="AI107" s="30">
        <f>'льготный период'!W94</f>
        <v>0</v>
      </c>
      <c r="AJ107" s="30">
        <f>'льготный период'!Q94</f>
        <v>0</v>
      </c>
      <c r="AK107" s="30">
        <f>'льготный период'!AC94</f>
        <v>0</v>
      </c>
    </row>
    <row r="108" spans="1:37" x14ac:dyDescent="0.25">
      <c r="A108" s="27">
        <f>A107+1</f>
        <v>89</v>
      </c>
      <c r="B108" s="65" t="str">
        <f t="shared" si="18"/>
        <v/>
      </c>
      <c r="C108" s="65">
        <f t="shared" si="19"/>
        <v>0</v>
      </c>
      <c r="D108" s="30">
        <f>IF($A$13=$A$17,' на весь срок'!I94,'льготный период'!H95)</f>
        <v>0</v>
      </c>
      <c r="E108" s="30">
        <f>IF($A$13=$A$17,' на весь срок'!C94,'льготный период'!B95)</f>
        <v>0</v>
      </c>
      <c r="F108" s="30">
        <f>' на весь срок'!AA95</f>
        <v>0</v>
      </c>
      <c r="G108" s="30">
        <f>' на весь срок'!S94</f>
        <v>0</v>
      </c>
      <c r="H108" s="30">
        <f>' на весь срок'!N96</f>
        <v>0</v>
      </c>
      <c r="I108" s="30">
        <f>' на весь срок'!W94</f>
        <v>0</v>
      </c>
      <c r="J108" s="65">
        <f t="shared" si="20"/>
        <v>0</v>
      </c>
      <c r="K108" s="30">
        <f>' на весь срок'!J94</f>
        <v>0</v>
      </c>
      <c r="L108" s="30">
        <f>' на весь срок'!D94</f>
        <v>0</v>
      </c>
      <c r="M108" s="30">
        <f>' на весь срок'!AB95</f>
        <v>0</v>
      </c>
      <c r="N108" s="30">
        <f>' на весь срок'!T94</f>
        <v>0</v>
      </c>
      <c r="O108" s="30">
        <f>' на весь срок'!O96</f>
        <v>0</v>
      </c>
      <c r="P108" s="30">
        <f>' на весь срок'!X94</f>
        <v>0</v>
      </c>
      <c r="Q108" s="65">
        <f t="shared" si="21"/>
        <v>0</v>
      </c>
      <c r="R108" s="30">
        <f>'льготный период'!I95</f>
        <v>0</v>
      </c>
      <c r="S108" s="30">
        <f>'льготный период'!C95</f>
        <v>0</v>
      </c>
      <c r="T108" s="30">
        <f>' на весь срок'!AC95</f>
        <v>0</v>
      </c>
      <c r="U108" s="30">
        <f>'льготный период'!U95</f>
        <v>0</v>
      </c>
      <c r="V108" s="30">
        <f>'льготный период'!O96</f>
        <v>0</v>
      </c>
      <c r="W108" s="30">
        <f>'льготный период'!AA95</f>
        <v>0</v>
      </c>
      <c r="X108" s="65">
        <f t="shared" si="22"/>
        <v>0</v>
      </c>
      <c r="Y108" s="30">
        <f>'льготный период'!J95</f>
        <v>0</v>
      </c>
      <c r="Z108" s="30">
        <f>'льготный период'!D95</f>
        <v>0</v>
      </c>
      <c r="AA108" s="30">
        <f>' на весь срок'!AD95</f>
        <v>0</v>
      </c>
      <c r="AB108" s="30">
        <f>'льготный период'!V95</f>
        <v>0</v>
      </c>
      <c r="AC108" s="30">
        <f>'льготный период'!P96</f>
        <v>0</v>
      </c>
      <c r="AD108" s="30">
        <f>'льготный период'!AB95</f>
        <v>0</v>
      </c>
      <c r="AE108" s="65">
        <f t="shared" si="23"/>
        <v>0</v>
      </c>
      <c r="AF108" s="30">
        <f>'льготный период'!K95</f>
        <v>0</v>
      </c>
      <c r="AG108" s="66">
        <f t="shared" si="25"/>
        <v>0</v>
      </c>
      <c r="AH108" s="66">
        <f>' на весь срок'!AE95</f>
        <v>0</v>
      </c>
      <c r="AI108" s="30">
        <f>'льготный период'!W95</f>
        <v>0</v>
      </c>
      <c r="AJ108" s="30">
        <f>'льготный период'!Q95</f>
        <v>0</v>
      </c>
      <c r="AK108" s="30">
        <f>'льготный период'!AC95</f>
        <v>0</v>
      </c>
    </row>
    <row r="109" spans="1:37" x14ac:dyDescent="0.25">
      <c r="A109" s="27">
        <f t="shared" ref="A109:A113" si="27">A108+1</f>
        <v>90</v>
      </c>
      <c r="B109" s="65" t="str">
        <f t="shared" si="18"/>
        <v/>
      </c>
      <c r="C109" s="65">
        <f t="shared" si="19"/>
        <v>0</v>
      </c>
      <c r="D109" s="30">
        <f>IF($A$13=$A$17,' на весь срок'!I95,'льготный период'!H96)</f>
        <v>0</v>
      </c>
      <c r="E109" s="30">
        <f>IF($A$13=$A$17,' на весь срок'!C95,'льготный период'!B96)</f>
        <v>0</v>
      </c>
      <c r="F109" s="30">
        <f>' на весь срок'!AA96</f>
        <v>0</v>
      </c>
      <c r="G109" s="30">
        <f>' на весь срок'!S95</f>
        <v>0</v>
      </c>
      <c r="H109" s="30">
        <f>' на весь срок'!N97</f>
        <v>0</v>
      </c>
      <c r="I109" s="30">
        <f>' на весь срок'!W95</f>
        <v>0</v>
      </c>
      <c r="J109" s="65">
        <f t="shared" si="20"/>
        <v>0</v>
      </c>
      <c r="K109" s="30">
        <f>' на весь срок'!J95</f>
        <v>0</v>
      </c>
      <c r="L109" s="30">
        <f>' на весь срок'!D95</f>
        <v>0</v>
      </c>
      <c r="M109" s="30">
        <f>' на весь срок'!AB96</f>
        <v>0</v>
      </c>
      <c r="N109" s="30">
        <f>' на весь срок'!T95</f>
        <v>0</v>
      </c>
      <c r="O109" s="30">
        <f>' на весь срок'!O97</f>
        <v>0</v>
      </c>
      <c r="P109" s="30">
        <f>' на весь срок'!X95</f>
        <v>0</v>
      </c>
      <c r="Q109" s="65">
        <f t="shared" si="21"/>
        <v>0</v>
      </c>
      <c r="R109" s="30">
        <f>'льготный период'!I96</f>
        <v>0</v>
      </c>
      <c r="S109" s="30">
        <f>'льготный период'!C96</f>
        <v>0</v>
      </c>
      <c r="T109" s="30">
        <f>' на весь срок'!AC96</f>
        <v>0</v>
      </c>
      <c r="U109" s="30">
        <f>'льготный период'!U96</f>
        <v>0</v>
      </c>
      <c r="V109" s="30">
        <f>'льготный период'!O97</f>
        <v>0</v>
      </c>
      <c r="W109" s="30">
        <f>'льготный период'!AA96</f>
        <v>0</v>
      </c>
      <c r="X109" s="65">
        <f t="shared" si="22"/>
        <v>0</v>
      </c>
      <c r="Y109" s="30">
        <f>'льготный период'!J96</f>
        <v>0</v>
      </c>
      <c r="Z109" s="30">
        <f>'льготный период'!D96</f>
        <v>0</v>
      </c>
      <c r="AA109" s="30">
        <f>' на весь срок'!AD96</f>
        <v>0</v>
      </c>
      <c r="AB109" s="30">
        <f>'льготный период'!V96</f>
        <v>0</v>
      </c>
      <c r="AC109" s="30">
        <f>'льготный период'!P97</f>
        <v>0</v>
      </c>
      <c r="AD109" s="30">
        <f>'льготный период'!AB96</f>
        <v>0</v>
      </c>
      <c r="AE109" s="65">
        <f t="shared" si="23"/>
        <v>0</v>
      </c>
      <c r="AF109" s="30">
        <f>'льготный период'!K96</f>
        <v>0</v>
      </c>
      <c r="AG109" s="66">
        <f t="shared" si="25"/>
        <v>0</v>
      </c>
      <c r="AH109" s="66">
        <f>' на весь срок'!AE96</f>
        <v>0</v>
      </c>
      <c r="AI109" s="30">
        <f>'льготный период'!W96</f>
        <v>0</v>
      </c>
      <c r="AJ109" s="30">
        <f>'льготный период'!Q96</f>
        <v>0</v>
      </c>
      <c r="AK109" s="30">
        <f>'льготный период'!AC96</f>
        <v>0</v>
      </c>
    </row>
    <row r="110" spans="1:37" x14ac:dyDescent="0.25">
      <c r="A110" s="27">
        <f t="shared" si="27"/>
        <v>91</v>
      </c>
      <c r="B110" s="65" t="str">
        <f t="shared" si="18"/>
        <v/>
      </c>
      <c r="C110" s="65">
        <f t="shared" si="19"/>
        <v>0</v>
      </c>
      <c r="D110" s="30">
        <f>IF($A$13=$A$17,' на весь срок'!I96,'льготный период'!H97)</f>
        <v>0</v>
      </c>
      <c r="E110" s="30">
        <f>IF($A$13=$A$17,' на весь срок'!C96,'льготный период'!B97)</f>
        <v>0</v>
      </c>
      <c r="F110" s="30">
        <f>' на весь срок'!AA97</f>
        <v>0</v>
      </c>
      <c r="G110" s="30">
        <f>' на весь срок'!S96</f>
        <v>0</v>
      </c>
      <c r="H110" s="30">
        <f>' на весь срок'!N98</f>
        <v>0</v>
      </c>
      <c r="I110" s="30">
        <f>' на весь срок'!W96</f>
        <v>0</v>
      </c>
      <c r="J110" s="65">
        <f t="shared" si="20"/>
        <v>0</v>
      </c>
      <c r="K110" s="30">
        <f>' на весь срок'!J96</f>
        <v>0</v>
      </c>
      <c r="L110" s="30">
        <f>' на весь срок'!D96</f>
        <v>0</v>
      </c>
      <c r="M110" s="30">
        <f>' на весь срок'!AB97</f>
        <v>0</v>
      </c>
      <c r="N110" s="30">
        <f>' на весь срок'!T96</f>
        <v>0</v>
      </c>
      <c r="O110" s="30">
        <f>' на весь срок'!O98</f>
        <v>0</v>
      </c>
      <c r="P110" s="30">
        <f>' на весь срок'!X96</f>
        <v>0</v>
      </c>
      <c r="Q110" s="65">
        <f t="shared" si="21"/>
        <v>0</v>
      </c>
      <c r="R110" s="30">
        <f>'льготный период'!I97</f>
        <v>0</v>
      </c>
      <c r="S110" s="30">
        <f>'льготный период'!C97</f>
        <v>0</v>
      </c>
      <c r="T110" s="30">
        <f>' на весь срок'!AC97</f>
        <v>0</v>
      </c>
      <c r="U110" s="30">
        <f>'льготный период'!U97</f>
        <v>0</v>
      </c>
      <c r="V110" s="30">
        <f>'льготный период'!O98</f>
        <v>0</v>
      </c>
      <c r="W110" s="30">
        <f>'льготный период'!AA97</f>
        <v>0</v>
      </c>
      <c r="X110" s="65">
        <f t="shared" si="22"/>
        <v>0</v>
      </c>
      <c r="Y110" s="30">
        <f>'льготный период'!J97</f>
        <v>0</v>
      </c>
      <c r="Z110" s="30">
        <f>'льготный период'!D97</f>
        <v>0</v>
      </c>
      <c r="AA110" s="30">
        <f>' на весь срок'!AD97</f>
        <v>0</v>
      </c>
      <c r="AB110" s="30">
        <f>'льготный период'!V97</f>
        <v>0</v>
      </c>
      <c r="AC110" s="30">
        <f>'льготный период'!P98</f>
        <v>0</v>
      </c>
      <c r="AD110" s="30">
        <f>'льготный период'!AB97</f>
        <v>0</v>
      </c>
      <c r="AE110" s="65">
        <f t="shared" si="23"/>
        <v>0</v>
      </c>
      <c r="AF110" s="30">
        <f>'льготный период'!K97</f>
        <v>0</v>
      </c>
      <c r="AG110" s="66">
        <f t="shared" si="25"/>
        <v>0</v>
      </c>
      <c r="AH110" s="66">
        <f>' на весь срок'!AE97</f>
        <v>0</v>
      </c>
      <c r="AI110" s="30">
        <f>'льготный период'!W97</f>
        <v>0</v>
      </c>
      <c r="AJ110" s="30">
        <f>'льготный период'!Q98</f>
        <v>0</v>
      </c>
      <c r="AK110" s="30">
        <f>'льготный период'!AC97</f>
        <v>0</v>
      </c>
    </row>
    <row r="111" spans="1:37" x14ac:dyDescent="0.25">
      <c r="A111" s="27">
        <f t="shared" si="27"/>
        <v>92</v>
      </c>
      <c r="B111" s="65" t="str">
        <f t="shared" si="18"/>
        <v/>
      </c>
      <c r="C111" s="65">
        <f t="shared" si="19"/>
        <v>0</v>
      </c>
      <c r="D111" s="30">
        <f>IF($A$13=$A$17,' на весь срок'!I97,'льготный период'!H98)</f>
        <v>0</v>
      </c>
      <c r="E111" s="30">
        <f>IF($A$13=$A$17,' на весь срок'!C97,'льготный период'!B98)</f>
        <v>0</v>
      </c>
      <c r="F111" s="30">
        <f>' на весь срок'!AA98</f>
        <v>0</v>
      </c>
      <c r="G111" s="30">
        <f>' на весь срок'!S97</f>
        <v>0</v>
      </c>
      <c r="H111" s="30">
        <f>' на весь срок'!N99</f>
        <v>0</v>
      </c>
      <c r="I111" s="30">
        <f>' на весь срок'!W97</f>
        <v>0</v>
      </c>
      <c r="J111" s="65">
        <f t="shared" si="20"/>
        <v>0</v>
      </c>
      <c r="K111" s="30">
        <f>' на весь срок'!J97</f>
        <v>0</v>
      </c>
      <c r="L111" s="30">
        <f>' на весь срок'!D97</f>
        <v>0</v>
      </c>
      <c r="M111" s="30">
        <f>' на весь срок'!AB98</f>
        <v>0</v>
      </c>
      <c r="N111" s="30">
        <f>' на весь срок'!T97</f>
        <v>0</v>
      </c>
      <c r="O111" s="30">
        <f>' на весь срок'!O99</f>
        <v>0</v>
      </c>
      <c r="P111" s="30">
        <f>' на весь срок'!X97</f>
        <v>0</v>
      </c>
      <c r="Q111" s="65">
        <f t="shared" si="21"/>
        <v>0</v>
      </c>
      <c r="R111" s="30">
        <f>'льготный период'!I98</f>
        <v>0</v>
      </c>
      <c r="S111" s="30">
        <f>'льготный период'!C98</f>
        <v>0</v>
      </c>
      <c r="T111" s="30">
        <f>' на весь срок'!AC98</f>
        <v>0</v>
      </c>
      <c r="U111" s="30">
        <f>'льготный период'!U98</f>
        <v>0</v>
      </c>
      <c r="V111" s="30">
        <f>'льготный период'!O99</f>
        <v>0</v>
      </c>
      <c r="W111" s="30">
        <f>'льготный период'!AA98</f>
        <v>0</v>
      </c>
      <c r="X111" s="65">
        <f t="shared" si="22"/>
        <v>0</v>
      </c>
      <c r="Y111" s="30">
        <f>'льготный период'!J98</f>
        <v>0</v>
      </c>
      <c r="Z111" s="30">
        <f>'льготный период'!D98</f>
        <v>0</v>
      </c>
      <c r="AA111" s="30">
        <f>' на весь срок'!AD98</f>
        <v>0</v>
      </c>
      <c r="AB111" s="30">
        <f>'льготный период'!V98</f>
        <v>0</v>
      </c>
      <c r="AC111" s="30">
        <f>'льготный период'!P99</f>
        <v>0</v>
      </c>
      <c r="AD111" s="30">
        <f>'льготный период'!AB98</f>
        <v>0</v>
      </c>
      <c r="AE111" s="65">
        <f t="shared" si="23"/>
        <v>0</v>
      </c>
      <c r="AF111" s="30">
        <f>'льготный период'!K98</f>
        <v>0</v>
      </c>
      <c r="AG111" s="66">
        <f t="shared" si="25"/>
        <v>0</v>
      </c>
      <c r="AH111" s="66">
        <f>' на весь срок'!AE98</f>
        <v>0</v>
      </c>
      <c r="AI111" s="30">
        <f>'льготный период'!W98</f>
        <v>0</v>
      </c>
      <c r="AJ111" s="30">
        <f>'льготный период'!Q99</f>
        <v>0</v>
      </c>
      <c r="AK111" s="30">
        <f>'льготный период'!AC98</f>
        <v>0</v>
      </c>
    </row>
    <row r="112" spans="1:37" x14ac:dyDescent="0.25">
      <c r="A112" s="27">
        <f t="shared" si="27"/>
        <v>93</v>
      </c>
      <c r="B112" s="65" t="str">
        <f t="shared" si="18"/>
        <v/>
      </c>
      <c r="C112" s="65">
        <f t="shared" si="19"/>
        <v>0</v>
      </c>
      <c r="D112" s="30">
        <f>IF($A$13=$A$17,' на весь срок'!I98,'льготный период'!H99)</f>
        <v>0</v>
      </c>
      <c r="E112" s="30">
        <f>IF($A$13=$A$17,' на весь срок'!C98,'льготный период'!B99)</f>
        <v>0</v>
      </c>
      <c r="F112" s="30">
        <f>' на весь срок'!AA99</f>
        <v>0</v>
      </c>
      <c r="G112" s="30">
        <f>' на весь срок'!S98</f>
        <v>0</v>
      </c>
      <c r="H112" s="30">
        <f>' на весь срок'!N100</f>
        <v>0</v>
      </c>
      <c r="I112" s="30">
        <f>' на весь срок'!W98</f>
        <v>0</v>
      </c>
      <c r="J112" s="65">
        <f t="shared" si="20"/>
        <v>0</v>
      </c>
      <c r="K112" s="30">
        <f>' на весь срок'!J98</f>
        <v>0</v>
      </c>
      <c r="L112" s="30">
        <f>' на весь срок'!D98</f>
        <v>0</v>
      </c>
      <c r="M112" s="30">
        <f>' на весь срок'!AB99</f>
        <v>0</v>
      </c>
      <c r="N112" s="30">
        <f>' на весь срок'!T98</f>
        <v>0</v>
      </c>
      <c r="O112" s="30">
        <f>' на весь срок'!O100</f>
        <v>0</v>
      </c>
      <c r="P112" s="30">
        <f>' на весь срок'!X98</f>
        <v>0</v>
      </c>
      <c r="Q112" s="65">
        <f t="shared" si="21"/>
        <v>0</v>
      </c>
      <c r="R112" s="30">
        <f>'льготный период'!I99</f>
        <v>0</v>
      </c>
      <c r="S112" s="30">
        <f>'льготный период'!C99</f>
        <v>0</v>
      </c>
      <c r="T112" s="30">
        <f>' на весь срок'!AC99</f>
        <v>0</v>
      </c>
      <c r="U112" s="30">
        <f>'льготный период'!U99</f>
        <v>0</v>
      </c>
      <c r="V112" s="30">
        <f>'льготный период'!O100</f>
        <v>0</v>
      </c>
      <c r="W112" s="30">
        <f>'льготный период'!AA99</f>
        <v>0</v>
      </c>
      <c r="X112" s="65">
        <f t="shared" si="22"/>
        <v>0</v>
      </c>
      <c r="Y112" s="30">
        <f>'льготный период'!J99</f>
        <v>0</v>
      </c>
      <c r="Z112" s="30">
        <f>'льготный период'!D99</f>
        <v>0</v>
      </c>
      <c r="AA112" s="30">
        <f>' на весь срок'!AD99</f>
        <v>0</v>
      </c>
      <c r="AB112" s="30">
        <f>'льготный период'!V99</f>
        <v>0</v>
      </c>
      <c r="AC112" s="30">
        <f>'льготный период'!P100</f>
        <v>0</v>
      </c>
      <c r="AD112" s="30">
        <f>'льготный период'!AB99</f>
        <v>0</v>
      </c>
      <c r="AE112" s="65">
        <f t="shared" si="23"/>
        <v>0</v>
      </c>
      <c r="AF112" s="30">
        <f>'льготный период'!K99</f>
        <v>0</v>
      </c>
      <c r="AG112" s="66">
        <f t="shared" si="25"/>
        <v>0</v>
      </c>
      <c r="AH112" s="66">
        <f>' на весь срок'!AE99</f>
        <v>0</v>
      </c>
      <c r="AI112" s="30">
        <f>'льготный период'!W99</f>
        <v>0</v>
      </c>
      <c r="AJ112" s="30">
        <f>'льготный период'!Q100</f>
        <v>0</v>
      </c>
      <c r="AK112" s="30">
        <f>'льготный период'!AC99</f>
        <v>0</v>
      </c>
    </row>
    <row r="113" spans="1:37" x14ac:dyDescent="0.25">
      <c r="A113" s="27">
        <f t="shared" si="27"/>
        <v>94</v>
      </c>
      <c r="B113" s="65" t="str">
        <f t="shared" si="18"/>
        <v/>
      </c>
      <c r="C113" s="65">
        <f t="shared" si="19"/>
        <v>0</v>
      </c>
      <c r="D113" s="30">
        <f>IF($A$13=$A$17,' на весь срок'!I99,'льготный период'!H100)</f>
        <v>0</v>
      </c>
      <c r="E113" s="30">
        <f>IF($A$13=$A$17,' на весь срок'!C99,'льготный период'!B100)</f>
        <v>0</v>
      </c>
      <c r="F113" s="30">
        <f>' на весь срок'!AA100</f>
        <v>0</v>
      </c>
      <c r="G113" s="30">
        <f>' на весь срок'!S99</f>
        <v>0</v>
      </c>
      <c r="H113" s="30">
        <f>' на весь срок'!N101</f>
        <v>0</v>
      </c>
      <c r="I113" s="30">
        <f>' на весь срок'!W99</f>
        <v>0</v>
      </c>
      <c r="J113" s="65">
        <f t="shared" si="20"/>
        <v>0</v>
      </c>
      <c r="K113" s="30">
        <f>' на весь срок'!J99</f>
        <v>0</v>
      </c>
      <c r="L113" s="30">
        <f>' на весь срок'!D99</f>
        <v>0</v>
      </c>
      <c r="M113" s="30">
        <f>' на весь срок'!AB100</f>
        <v>0</v>
      </c>
      <c r="N113" s="30">
        <f>' на весь срок'!T99</f>
        <v>0</v>
      </c>
      <c r="O113" s="30">
        <f>' на весь срок'!O101</f>
        <v>0</v>
      </c>
      <c r="P113" s="30">
        <f>' на весь срок'!X99</f>
        <v>0</v>
      </c>
      <c r="Q113" s="65">
        <f t="shared" si="21"/>
        <v>0</v>
      </c>
      <c r="R113" s="30">
        <f>'льготный период'!I100</f>
        <v>0</v>
      </c>
      <c r="S113" s="30">
        <f>'льготный период'!C100</f>
        <v>0</v>
      </c>
      <c r="T113" s="30">
        <f>' на весь срок'!AC100</f>
        <v>0</v>
      </c>
      <c r="U113" s="30">
        <f>'льготный период'!U100</f>
        <v>0</v>
      </c>
      <c r="V113" s="30">
        <f>'льготный период'!O101</f>
        <v>0</v>
      </c>
      <c r="W113" s="30">
        <f>'льготный период'!AA100</f>
        <v>0</v>
      </c>
      <c r="X113" s="65">
        <f t="shared" si="22"/>
        <v>0</v>
      </c>
      <c r="Y113" s="30">
        <f>'льготный период'!J100</f>
        <v>0</v>
      </c>
      <c r="Z113" s="30">
        <f>'льготный период'!D100</f>
        <v>0</v>
      </c>
      <c r="AA113" s="30">
        <f>' на весь срок'!AD100</f>
        <v>0</v>
      </c>
      <c r="AB113" s="30">
        <f>'льготный период'!V100</f>
        <v>0</v>
      </c>
      <c r="AC113" s="30">
        <f>'льготный период'!P101</f>
        <v>0</v>
      </c>
      <c r="AD113" s="30">
        <f>'льготный период'!AB100</f>
        <v>0</v>
      </c>
      <c r="AE113" s="65">
        <f t="shared" si="23"/>
        <v>0</v>
      </c>
      <c r="AF113" s="30">
        <f>'льготный период'!K100</f>
        <v>0</v>
      </c>
      <c r="AG113" s="66">
        <f t="shared" si="25"/>
        <v>0</v>
      </c>
      <c r="AH113" s="66">
        <f>' на весь срок'!AE100</f>
        <v>0</v>
      </c>
      <c r="AI113" s="30">
        <f>'льготный период'!W100</f>
        <v>0</v>
      </c>
      <c r="AJ113" s="30">
        <f>'льготный период'!Q101</f>
        <v>0</v>
      </c>
      <c r="AK113" s="30">
        <f>'льготный период'!AC100</f>
        <v>0</v>
      </c>
    </row>
    <row r="114" spans="1:37" x14ac:dyDescent="0.25">
      <c r="C114" s="43"/>
      <c r="D114" s="43"/>
      <c r="E114" s="43"/>
      <c r="F114" s="43"/>
      <c r="G114" s="43"/>
      <c r="H114" s="43"/>
    </row>
    <row r="115" spans="1:37" x14ac:dyDescent="0.25">
      <c r="C115" s="43"/>
      <c r="D115" s="43"/>
      <c r="E115" s="43"/>
      <c r="F115" s="43"/>
      <c r="G115" s="43"/>
    </row>
    <row r="116" spans="1:37" x14ac:dyDescent="0.25">
      <c r="C116" s="43"/>
      <c r="D116" s="43"/>
      <c r="E116" s="43"/>
      <c r="F116" s="43"/>
      <c r="G116" s="43"/>
    </row>
    <row r="117" spans="1:37" x14ac:dyDescent="0.25">
      <c r="C117" s="43"/>
      <c r="D117" s="43"/>
      <c r="E117" s="43"/>
      <c r="F117" s="43"/>
      <c r="G117" s="43"/>
    </row>
    <row r="118" spans="1:37" x14ac:dyDescent="0.25">
      <c r="C118" s="43"/>
      <c r="D118" s="43"/>
      <c r="E118" s="43"/>
      <c r="F118" s="43"/>
      <c r="G118" s="43"/>
    </row>
    <row r="119" spans="1:37" x14ac:dyDescent="0.25">
      <c r="C119" s="43"/>
      <c r="D119" s="43"/>
      <c r="E119" s="43"/>
      <c r="F119" s="43"/>
      <c r="G119" s="43"/>
    </row>
    <row r="120" spans="1:37" x14ac:dyDescent="0.25">
      <c r="C120" s="43"/>
      <c r="D120" s="43"/>
      <c r="E120" s="43"/>
      <c r="F120" s="43"/>
      <c r="G120" s="43"/>
    </row>
    <row r="121" spans="1:37" x14ac:dyDescent="0.25">
      <c r="C121" s="43"/>
      <c r="D121" s="43"/>
      <c r="E121" s="43"/>
      <c r="F121" s="43"/>
      <c r="G121" s="43"/>
    </row>
  </sheetData>
  <sheetProtection password="CC5F" sheet="1" objects="1" scenarios="1"/>
  <mergeCells count="1">
    <mergeCell ref="D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B1" workbookViewId="0">
      <selection activeCell="G17" sqref="G17"/>
    </sheetView>
  </sheetViews>
  <sheetFormatPr defaultRowHeight="15" x14ac:dyDescent="0.25"/>
  <cols>
    <col min="1" max="1" width="76.7109375" customWidth="1"/>
    <col min="2" max="2" width="23.42578125" customWidth="1"/>
    <col min="3" max="3" width="12.140625" customWidth="1"/>
    <col min="4" max="5" width="16.85546875" customWidth="1"/>
    <col min="6" max="6" width="18.42578125" customWidth="1"/>
    <col min="7" max="7" width="17.140625" customWidth="1"/>
    <col min="9" max="9" width="12.28515625" customWidth="1"/>
    <col min="11" max="11" width="12" bestFit="1" customWidth="1"/>
  </cols>
  <sheetData>
    <row r="1" spans="1:12" x14ac:dyDescent="0.25">
      <c r="B1" s="108" t="s">
        <v>79</v>
      </c>
      <c r="C1" s="108" t="s">
        <v>81</v>
      </c>
      <c r="D1" s="108" t="s">
        <v>80</v>
      </c>
      <c r="E1" s="5">
        <f>'Комбо (с субсидир от Застройщ)'!D7</f>
        <v>0.2030681874782089</v>
      </c>
      <c r="F1" t="str">
        <f>IF(E1&gt;D2,"По условиям программы первоначальный взнос не может быть более "&amp;D2*100&amp;"%",IF(E1&lt;C2,"По условиям программы первоначальный взнос не может быть менее "&amp;C2*100&amp;"%",""))</f>
        <v/>
      </c>
      <c r="G1" s="27">
        <v>30</v>
      </c>
      <c r="H1" s="27" t="s">
        <v>53</v>
      </c>
      <c r="L1" t="s">
        <v>92</v>
      </c>
    </row>
    <row r="2" spans="1:12" x14ac:dyDescent="0.25">
      <c r="B2" s="106" t="s">
        <v>79</v>
      </c>
      <c r="C2" s="5">
        <v>0.2001</v>
      </c>
      <c r="D2" s="105">
        <v>0.85</v>
      </c>
      <c r="E2">
        <f>'Комбо (с субсидир от Застройщ)'!D8</f>
        <v>180</v>
      </c>
      <c r="F2" t="str">
        <f>IF(E2/12&lt;G2,L2,IF(E2/12&gt;G1,L1,""))</f>
        <v/>
      </c>
      <c r="G2" s="27">
        <v>4</v>
      </c>
      <c r="H2" s="27" t="s">
        <v>161</v>
      </c>
      <c r="L2" t="s">
        <v>160</v>
      </c>
    </row>
    <row r="3" spans="1:12" ht="15.75" thickBot="1" x14ac:dyDescent="0.3"/>
    <row r="4" spans="1:12" ht="26.25" thickBot="1" x14ac:dyDescent="0.3">
      <c r="A4" s="271" t="str">
        <f>'Комбо (с субсидир от Застройщ)'!D4</f>
        <v>Господдержка Семейная</v>
      </c>
      <c r="B4" s="107"/>
      <c r="C4" s="110" t="s">
        <v>82</v>
      </c>
      <c r="D4" s="110"/>
      <c r="E4" s="110" t="s">
        <v>83</v>
      </c>
      <c r="F4" s="110" t="s">
        <v>85</v>
      </c>
      <c r="G4" s="110" t="s">
        <v>86</v>
      </c>
      <c r="H4" s="110" t="s">
        <v>87</v>
      </c>
      <c r="I4" s="110" t="s">
        <v>88</v>
      </c>
    </row>
    <row r="5" spans="1:12" x14ac:dyDescent="0.25">
      <c r="A5" s="116" t="str">
        <f>B5&amp;E5</f>
        <v>Господдержка СемейнаяМосква, Моск.обл., Санкт-Петербург, Лен.обл.</v>
      </c>
      <c r="B5" s="27" t="s">
        <v>37</v>
      </c>
      <c r="C5" s="114">
        <v>0.06</v>
      </c>
      <c r="D5" s="146"/>
      <c r="E5" s="111" t="s">
        <v>124</v>
      </c>
      <c r="F5" s="126">
        <v>12000000</v>
      </c>
      <c r="G5" s="113">
        <v>30000000</v>
      </c>
      <c r="H5" s="114">
        <v>0</v>
      </c>
      <c r="I5" s="114">
        <v>0</v>
      </c>
      <c r="L5" s="272" t="str">
        <f>IF($A$4=B5,E5,E7)</f>
        <v>Москва, Моск.обл., Санкт-Петербург, Лен.обл.</v>
      </c>
    </row>
    <row r="6" spans="1:12" x14ac:dyDescent="0.25">
      <c r="A6" s="116" t="str">
        <f>B6&amp;E6</f>
        <v>Господдержка Семейнаядр.города</v>
      </c>
      <c r="B6" s="27" t="s">
        <v>37</v>
      </c>
      <c r="C6" s="109">
        <f>C5</f>
        <v>0.06</v>
      </c>
      <c r="D6" s="146"/>
      <c r="E6" s="111" t="s">
        <v>125</v>
      </c>
      <c r="F6" s="126">
        <v>6000000</v>
      </c>
      <c r="G6" s="113">
        <v>15000000</v>
      </c>
      <c r="H6" s="127">
        <f>H5</f>
        <v>0</v>
      </c>
      <c r="I6" s="127">
        <f>I5</f>
        <v>0</v>
      </c>
      <c r="L6" s="272" t="str">
        <f>IF($A$4=B6,E6,E8)</f>
        <v>др.города</v>
      </c>
    </row>
    <row r="7" spans="1:12" x14ac:dyDescent="0.25">
      <c r="A7" s="116" t="str">
        <f t="shared" ref="A7:A10" si="0">B7&amp;E7</f>
        <v>IT-ипотекасубъект РФ, с численностью населения 1 млн. человек или более</v>
      </c>
      <c r="B7" s="27" t="s">
        <v>147</v>
      </c>
      <c r="C7" s="114">
        <v>0.05</v>
      </c>
      <c r="D7" s="146"/>
      <c r="E7" s="111" t="s">
        <v>153</v>
      </c>
      <c r="F7" s="126">
        <v>18000000</v>
      </c>
      <c r="G7" s="113">
        <v>30000000</v>
      </c>
      <c r="H7" s="127">
        <v>0</v>
      </c>
      <c r="I7" s="127">
        <v>0</v>
      </c>
    </row>
    <row r="8" spans="1:12" x14ac:dyDescent="0.25">
      <c r="A8" s="116" t="str">
        <f t="shared" si="0"/>
        <v>IT-ипотекасубъект РФ с численностью населения до 1 млн. человек</v>
      </c>
      <c r="B8" s="27" t="s">
        <v>147</v>
      </c>
      <c r="C8" s="109">
        <f>C7</f>
        <v>0.05</v>
      </c>
      <c r="D8" s="146"/>
      <c r="E8" s="111" t="s">
        <v>154</v>
      </c>
      <c r="F8" s="126">
        <v>9000000</v>
      </c>
      <c r="G8" s="113">
        <v>15000000</v>
      </c>
      <c r="H8" s="127">
        <v>0</v>
      </c>
      <c r="I8" s="127">
        <v>0</v>
      </c>
    </row>
    <row r="9" spans="1:12" x14ac:dyDescent="0.25">
      <c r="A9" s="116" t="str">
        <f>B9&amp;E9</f>
        <v>Москва, Моск.обл., Санкт-Петербург, Лен.обл.</v>
      </c>
      <c r="B9" s="27"/>
      <c r="C9" s="114">
        <v>0.08</v>
      </c>
      <c r="D9" s="146"/>
      <c r="E9" s="111" t="s">
        <v>124</v>
      </c>
      <c r="F9" s="115">
        <v>6000000</v>
      </c>
      <c r="G9" s="115">
        <v>6000000</v>
      </c>
      <c r="H9" s="127">
        <f>H6</f>
        <v>0</v>
      </c>
      <c r="I9" s="114">
        <v>0.01</v>
      </c>
    </row>
    <row r="10" spans="1:12" x14ac:dyDescent="0.25">
      <c r="A10" s="116" t="str">
        <f t="shared" si="0"/>
        <v>др.города</v>
      </c>
      <c r="B10" s="27"/>
      <c r="C10" s="109">
        <f>C9</f>
        <v>0.08</v>
      </c>
      <c r="D10" s="146"/>
      <c r="E10" s="111" t="s">
        <v>125</v>
      </c>
      <c r="F10" s="115">
        <f>F6</f>
        <v>6000000</v>
      </c>
      <c r="G10" s="115">
        <v>6000000</v>
      </c>
      <c r="H10" s="127">
        <f t="shared" ref="H10" si="1">H9</f>
        <v>0</v>
      </c>
      <c r="I10" s="127">
        <f>I9</f>
        <v>0.01</v>
      </c>
    </row>
    <row r="12" spans="1:12" x14ac:dyDescent="0.25">
      <c r="B12" s="118" t="str">
        <f>'Комбо (с субсидир от Застройщ)'!C13</f>
        <v>Господдержка Семейная</v>
      </c>
      <c r="C12" s="119" t="str">
        <f>'Комбо (с субсидир от Застройщ)'!D5</f>
        <v>Москва, Моск.обл., Санкт-Петербург, Лен.обл.</v>
      </c>
      <c r="D12" s="119" t="str">
        <f>"ЭРС "&amp;'Комбо (с субсидир от Застройщ)'!D9</f>
        <v>ЭРС нет</v>
      </c>
      <c r="E12" s="128">
        <f>IF('Комбо (с субсидир от Застройщ)'!D9="да",IFERROR(VLOOKUP(B12&amp;C12,$A$5:$H$10,8,0),0),0)</f>
        <v>0</v>
      </c>
      <c r="F12" s="119" t="str">
        <f>'Комбо (с субсидир от Застройщ)'!D10</f>
        <v>Со страхованием</v>
      </c>
      <c r="G12" s="128">
        <f>IF(F12="Без страхования",IFERROR(VLOOKUP(B12&amp;C12,$A$5:$I$10,9,0),0),0)</f>
        <v>0</v>
      </c>
    </row>
    <row r="13" spans="1:12" x14ac:dyDescent="0.25">
      <c r="B13" s="118" t="str">
        <f>'Комбо (с субсидир от Застройщ)'!C15</f>
        <v>Комбо + Господдержка Семейная</v>
      </c>
      <c r="C13" s="118" t="str">
        <f>IF(C17&gt;E17,"По Комбо-ипотеке сумма кредита не может превышать "&amp;E17/1000/1000&amp;" млн.р.","")</f>
        <v/>
      </c>
      <c r="D13" s="129"/>
    </row>
    <row r="14" spans="1:12" x14ac:dyDescent="0.25">
      <c r="B14" s="122" t="s">
        <v>55</v>
      </c>
      <c r="C14" s="120">
        <f>IF(C17&gt;=E17,0,IFERROR(VLOOKUP(B12&amp;C12,$A$5:$F$10,3,0),0)+E12+G12)</f>
        <v>0.06</v>
      </c>
    </row>
    <row r="15" spans="1:12" x14ac:dyDescent="0.25">
      <c r="B15" s="122" t="s">
        <v>84</v>
      </c>
      <c r="C15" s="120">
        <f>IFERROR(VLOOKUP(B12&amp;C12&amp;F17,A23:F46,6,0),0)*D15</f>
        <v>0.32050000000000001</v>
      </c>
      <c r="D15">
        <f>IF(ROUND('Комбо (с субсидир от Застройщ)'!D3-'Комбо (с субсидир от Застройщ)'!D6,2)&gt;D17,1,0)</f>
        <v>1</v>
      </c>
      <c r="E15">
        <f>VLOOKUP(B12&amp;C12&amp;F17,A23:F46,6,0)</f>
        <v>0.32050000000000001</v>
      </c>
    </row>
    <row r="16" spans="1:12" x14ac:dyDescent="0.25">
      <c r="B16" s="124" t="s">
        <v>52</v>
      </c>
      <c r="C16" s="121">
        <f>'Комбо (с субсидир от Застройщ)'!D8</f>
        <v>180</v>
      </c>
    </row>
    <row r="17" spans="1:11" x14ac:dyDescent="0.25">
      <c r="B17" s="124" t="s">
        <v>69</v>
      </c>
      <c r="C17" s="117">
        <f>'Комбо (с субсидир от Застройщ)'!F15</f>
        <v>23546725.533480499</v>
      </c>
      <c r="D17" s="117">
        <f>IFERROR(VLOOKUP(B12&amp;C12,$A$5:$F$10,6,0),0)</f>
        <v>12000000</v>
      </c>
      <c r="E17" s="131">
        <f>IFERROR(VLOOKUP(B12&amp;C12,$A$5:$G$10,7,0),0)</f>
        <v>30000000</v>
      </c>
      <c r="F17" s="47">
        <f>VLOOKUP(C12,I19:J22,2,0)</f>
        <v>6</v>
      </c>
      <c r="G17" s="131">
        <f>'Комбо (с субсидир от Застройщ)'!D3-'Комбо (с субсидир от Застройщ)'!D6</f>
        <v>16000000</v>
      </c>
    </row>
    <row r="18" spans="1:11" x14ac:dyDescent="0.25">
      <c r="B18" s="124" t="s">
        <v>70</v>
      </c>
      <c r="C18" s="123">
        <f>C14</f>
        <v>0.06</v>
      </c>
      <c r="D18" s="44"/>
      <c r="E18" s="44"/>
      <c r="G18" s="44"/>
    </row>
    <row r="19" spans="1:11" x14ac:dyDescent="0.25">
      <c r="B19" s="124" t="s">
        <v>67</v>
      </c>
      <c r="C19" s="117">
        <f>PMT(C14/12,C16,-C17)</f>
        <v>198700.65119610328</v>
      </c>
      <c r="D19" s="44"/>
      <c r="E19" s="44"/>
      <c r="F19" s="44"/>
      <c r="G19" s="44"/>
      <c r="I19" s="265" t="s">
        <v>124</v>
      </c>
      <c r="J19" s="116">
        <f>IF(G17&lt;=K32,G32,IF(G17&lt;=K33,G33,IF(G17&lt;=K34,G34,IF(G17&lt;=K35,G35,IF(G17&lt;=K36,G36,IF(G17&lt;=K37,G37,4))))))</f>
        <v>6</v>
      </c>
    </row>
    <row r="20" spans="1:11" x14ac:dyDescent="0.25">
      <c r="D20" s="44"/>
      <c r="E20" s="44"/>
      <c r="F20" s="44"/>
      <c r="G20" s="44"/>
      <c r="I20" s="265" t="s">
        <v>125</v>
      </c>
      <c r="J20" s="116">
        <f>IF(G17&lt;=K38,G38,IF(G17&lt;=K39,G39,IF(G17&lt;=K40,G40,3)))</f>
        <v>3</v>
      </c>
    </row>
    <row r="21" spans="1:11" x14ac:dyDescent="0.25">
      <c r="B21" s="44"/>
      <c r="C21" s="47"/>
      <c r="D21" s="44"/>
      <c r="E21" s="44"/>
      <c r="F21" s="44"/>
      <c r="G21" s="44"/>
      <c r="I21" s="274" t="s">
        <v>153</v>
      </c>
      <c r="J21" s="116">
        <f>IF(G17&lt;=K41,G41,IF(G17&lt;=K42,G42,IF(G17&lt;=K43,G43,IF(G17&lt;=K44,G44,G44))))</f>
        <v>5</v>
      </c>
    </row>
    <row r="22" spans="1:11" ht="24.75" customHeight="1" x14ac:dyDescent="0.25">
      <c r="B22" s="169" t="s">
        <v>159</v>
      </c>
      <c r="C22" s="170" t="s">
        <v>119</v>
      </c>
      <c r="D22" s="170" t="s">
        <v>121</v>
      </c>
      <c r="E22" s="171" t="s">
        <v>120</v>
      </c>
      <c r="F22" s="172" t="s">
        <v>122</v>
      </c>
      <c r="I22" s="274" t="s">
        <v>154</v>
      </c>
      <c r="J22" s="275">
        <f>IF(G17&lt;=K45,G45,IF(G17&lt;=K46,G46,3))</f>
        <v>3</v>
      </c>
    </row>
    <row r="23" spans="1:11" ht="15" customHeight="1" x14ac:dyDescent="0.25">
      <c r="A23" s="116" t="e">
        <f>B23&amp;C23&amp;G23</f>
        <v>#N/A</v>
      </c>
      <c r="B23" s="27"/>
      <c r="C23" s="166" t="s">
        <v>124</v>
      </c>
      <c r="D23" s="163"/>
      <c r="E23" s="167">
        <v>0.08</v>
      </c>
      <c r="F23" s="164"/>
      <c r="G23" s="116" t="e">
        <f>VLOOKUP(D23,$I$23:$J$47,2,0)</f>
        <v>#N/A</v>
      </c>
      <c r="I23" s="163">
        <v>6000000</v>
      </c>
      <c r="J23">
        <v>1</v>
      </c>
    </row>
    <row r="24" spans="1:11" x14ac:dyDescent="0.25">
      <c r="A24" s="116" t="e">
        <f t="shared" ref="A24:A46" si="2">B24&amp;C24&amp;G24</f>
        <v>#N/A</v>
      </c>
      <c r="B24" s="27"/>
      <c r="C24" s="166" t="s">
        <v>124</v>
      </c>
      <c r="D24" s="163"/>
      <c r="E24" s="168">
        <f>E23</f>
        <v>0.08</v>
      </c>
      <c r="F24" s="164"/>
      <c r="G24" s="116" t="e">
        <f t="shared" ref="G24:G46" si="3">VLOOKUP(D24,$I$23:$J$47,2,0)</f>
        <v>#N/A</v>
      </c>
      <c r="I24" s="163">
        <v>7000000</v>
      </c>
      <c r="J24">
        <v>1</v>
      </c>
    </row>
    <row r="25" spans="1:11" x14ac:dyDescent="0.25">
      <c r="A25" s="116" t="e">
        <f t="shared" si="2"/>
        <v>#N/A</v>
      </c>
      <c r="B25" s="27"/>
      <c r="C25" s="166" t="s">
        <v>124</v>
      </c>
      <c r="D25" s="163"/>
      <c r="E25" s="168">
        <f t="shared" ref="E25:E31" si="4">E24</f>
        <v>0.08</v>
      </c>
      <c r="F25" s="164"/>
      <c r="G25" s="116" t="e">
        <f t="shared" si="3"/>
        <v>#N/A</v>
      </c>
      <c r="I25" s="163">
        <v>8000000</v>
      </c>
      <c r="J25">
        <v>1</v>
      </c>
    </row>
    <row r="26" spans="1:11" x14ac:dyDescent="0.25">
      <c r="A26" s="116" t="e">
        <f t="shared" si="2"/>
        <v>#N/A</v>
      </c>
      <c r="B26" s="27"/>
      <c r="C26" s="166" t="s">
        <v>124</v>
      </c>
      <c r="D26" s="163"/>
      <c r="E26" s="168">
        <f t="shared" si="4"/>
        <v>0.08</v>
      </c>
      <c r="F26" s="164"/>
      <c r="G26" s="116" t="e">
        <f t="shared" si="3"/>
        <v>#N/A</v>
      </c>
      <c r="I26" s="173">
        <v>9000000</v>
      </c>
      <c r="J26">
        <v>1</v>
      </c>
    </row>
    <row r="27" spans="1:11" x14ac:dyDescent="0.25">
      <c r="A27" s="116" t="e">
        <f t="shared" si="2"/>
        <v>#N/A</v>
      </c>
      <c r="B27" s="27"/>
      <c r="C27" s="166" t="s">
        <v>124</v>
      </c>
      <c r="D27" s="163"/>
      <c r="E27" s="168">
        <f t="shared" si="4"/>
        <v>0.08</v>
      </c>
      <c r="F27" s="164"/>
      <c r="G27" s="116" t="e">
        <f t="shared" si="3"/>
        <v>#N/A</v>
      </c>
      <c r="I27" s="163">
        <v>10000000</v>
      </c>
      <c r="J27">
        <v>1</v>
      </c>
    </row>
    <row r="28" spans="1:11" x14ac:dyDescent="0.25">
      <c r="A28" s="116" t="e">
        <f t="shared" si="2"/>
        <v>#N/A</v>
      </c>
      <c r="B28" s="27"/>
      <c r="C28" s="166" t="s">
        <v>124</v>
      </c>
      <c r="D28" s="163"/>
      <c r="E28" s="168">
        <f t="shared" si="4"/>
        <v>0.08</v>
      </c>
      <c r="F28" s="164"/>
      <c r="G28" s="116" t="e">
        <f t="shared" si="3"/>
        <v>#N/A</v>
      </c>
      <c r="I28" s="163">
        <v>11000000</v>
      </c>
      <c r="J28">
        <v>2</v>
      </c>
    </row>
    <row r="29" spans="1:11" x14ac:dyDescent="0.25">
      <c r="A29" s="116" t="e">
        <f t="shared" si="2"/>
        <v>#N/A</v>
      </c>
      <c r="B29" s="27"/>
      <c r="C29" s="165" t="s">
        <v>125</v>
      </c>
      <c r="D29" s="163"/>
      <c r="E29" s="168">
        <f t="shared" si="4"/>
        <v>0.08</v>
      </c>
      <c r="F29" s="164"/>
      <c r="G29" s="116" t="e">
        <f t="shared" si="3"/>
        <v>#N/A</v>
      </c>
      <c r="I29" s="173">
        <v>12000000</v>
      </c>
      <c r="J29">
        <v>2</v>
      </c>
    </row>
    <row r="30" spans="1:11" x14ac:dyDescent="0.25">
      <c r="A30" s="116" t="e">
        <f t="shared" si="2"/>
        <v>#N/A</v>
      </c>
      <c r="B30" s="27"/>
      <c r="C30" s="165" t="s">
        <v>125</v>
      </c>
      <c r="D30" s="163"/>
      <c r="E30" s="168">
        <f t="shared" si="4"/>
        <v>0.08</v>
      </c>
      <c r="F30" s="164"/>
      <c r="G30" s="116" t="e">
        <f t="shared" si="3"/>
        <v>#N/A</v>
      </c>
      <c r="I30" s="163">
        <v>13000000</v>
      </c>
      <c r="J30">
        <v>2</v>
      </c>
    </row>
    <row r="31" spans="1:11" x14ac:dyDescent="0.25">
      <c r="A31" s="116" t="e">
        <f t="shared" si="2"/>
        <v>#N/A</v>
      </c>
      <c r="B31" s="27"/>
      <c r="C31" s="165" t="s">
        <v>125</v>
      </c>
      <c r="D31" s="163"/>
      <c r="E31" s="168">
        <f t="shared" si="4"/>
        <v>0.08</v>
      </c>
      <c r="F31" s="164"/>
      <c r="G31" s="116" t="e">
        <f t="shared" si="3"/>
        <v>#N/A</v>
      </c>
      <c r="I31" s="163">
        <v>14000000</v>
      </c>
      <c r="J31">
        <v>3</v>
      </c>
    </row>
    <row r="32" spans="1:11" x14ac:dyDescent="0.25">
      <c r="A32" s="116" t="str">
        <f>B32&amp;C32&amp;G32</f>
        <v>Господдержка СемейнаяМосква, Моск.обл., Санкт-Петербург, Лен.обл.3</v>
      </c>
      <c r="B32" s="27" t="s">
        <v>37</v>
      </c>
      <c r="C32" s="166" t="s">
        <v>124</v>
      </c>
      <c r="D32" s="163">
        <v>15000000</v>
      </c>
      <c r="E32" s="167">
        <v>0.06</v>
      </c>
      <c r="F32" s="164">
        <v>0.13600000000000001</v>
      </c>
      <c r="G32" s="116">
        <f>VLOOKUP(D32,$I$23:$J$47,2,0)</f>
        <v>3</v>
      </c>
      <c r="I32" s="173">
        <v>15000000</v>
      </c>
      <c r="J32">
        <v>3</v>
      </c>
      <c r="K32" s="163">
        <f>D32-D32*F32</f>
        <v>12960000</v>
      </c>
    </row>
    <row r="33" spans="1:11" x14ac:dyDescent="0.25">
      <c r="A33" s="116" t="str">
        <f t="shared" si="2"/>
        <v>Господдержка СемейнаяМосква, Моск.обл., Санкт-Петербург, Лен.обл.4</v>
      </c>
      <c r="B33" s="27" t="s">
        <v>37</v>
      </c>
      <c r="C33" s="166" t="s">
        <v>124</v>
      </c>
      <c r="D33" s="163">
        <v>18000000</v>
      </c>
      <c r="E33" s="168">
        <f>E32</f>
        <v>0.06</v>
      </c>
      <c r="F33" s="164">
        <v>0.218</v>
      </c>
      <c r="G33" s="116">
        <f t="shared" si="3"/>
        <v>4</v>
      </c>
      <c r="I33" s="163">
        <v>16000000</v>
      </c>
      <c r="J33" s="174">
        <v>3</v>
      </c>
      <c r="K33" s="163">
        <f t="shared" ref="K33:K47" si="5">D33-D33*F33</f>
        <v>14076000</v>
      </c>
    </row>
    <row r="34" spans="1:11" x14ac:dyDescent="0.25">
      <c r="A34" s="116" t="str">
        <f t="shared" si="2"/>
        <v>Господдержка СемейнаяМосква, Моск.обл., Санкт-Петербург, Лен.обл.5</v>
      </c>
      <c r="B34" s="27" t="s">
        <v>37</v>
      </c>
      <c r="C34" s="166" t="s">
        <v>124</v>
      </c>
      <c r="D34" s="163">
        <v>21000000</v>
      </c>
      <c r="E34" s="168">
        <f t="shared" ref="E34:E46" si="6">E33</f>
        <v>0.06</v>
      </c>
      <c r="F34" s="164">
        <v>0.27650000000000002</v>
      </c>
      <c r="G34" s="116">
        <f t="shared" si="3"/>
        <v>5</v>
      </c>
      <c r="I34" s="163">
        <v>17000000</v>
      </c>
      <c r="J34" s="174">
        <v>3</v>
      </c>
      <c r="K34" s="163">
        <f>D34-D34*F34</f>
        <v>15193500</v>
      </c>
    </row>
    <row r="35" spans="1:11" x14ac:dyDescent="0.25">
      <c r="A35" s="116" t="str">
        <f t="shared" si="2"/>
        <v>Господдержка СемейнаяМосква, Моск.обл., Санкт-Петербург, Лен.обл.6</v>
      </c>
      <c r="B35" s="27" t="s">
        <v>37</v>
      </c>
      <c r="C35" s="166" t="s">
        <v>124</v>
      </c>
      <c r="D35" s="163">
        <v>24000000</v>
      </c>
      <c r="E35" s="168">
        <f t="shared" si="6"/>
        <v>0.06</v>
      </c>
      <c r="F35" s="164">
        <v>0.32050000000000001</v>
      </c>
      <c r="G35" s="116">
        <f t="shared" si="3"/>
        <v>6</v>
      </c>
      <c r="I35" s="173">
        <v>18000000</v>
      </c>
      <c r="J35">
        <v>4</v>
      </c>
      <c r="K35" s="163">
        <f t="shared" si="5"/>
        <v>16308000</v>
      </c>
    </row>
    <row r="36" spans="1:11" x14ac:dyDescent="0.25">
      <c r="A36" s="116" t="str">
        <f t="shared" si="2"/>
        <v>Господдержка СемейнаяМосква, Моск.обл., Санкт-Петербург, Лен.обл.7</v>
      </c>
      <c r="B36" s="27" t="s">
        <v>37</v>
      </c>
      <c r="C36" s="166" t="s">
        <v>124</v>
      </c>
      <c r="D36" s="163">
        <v>27000000</v>
      </c>
      <c r="E36" s="168">
        <f t="shared" si="6"/>
        <v>0.06</v>
      </c>
      <c r="F36" s="164">
        <v>0.35449999999999998</v>
      </c>
      <c r="G36" s="116">
        <f t="shared" si="3"/>
        <v>7</v>
      </c>
      <c r="I36" s="163">
        <v>19000000</v>
      </c>
      <c r="J36" s="174">
        <v>4</v>
      </c>
      <c r="K36" s="163">
        <f t="shared" si="5"/>
        <v>17428500</v>
      </c>
    </row>
    <row r="37" spans="1:11" x14ac:dyDescent="0.25">
      <c r="A37" s="116" t="str">
        <f>B37&amp;C37&amp;G37</f>
        <v>Господдержка СемейнаяМосква, Моск.обл., Санкт-Петербург, Лен.обл.8</v>
      </c>
      <c r="B37" s="27" t="s">
        <v>37</v>
      </c>
      <c r="C37" s="166" t="s">
        <v>124</v>
      </c>
      <c r="D37" s="163">
        <v>30000000</v>
      </c>
      <c r="E37" s="168">
        <f t="shared" si="6"/>
        <v>0.06</v>
      </c>
      <c r="F37" s="164">
        <v>0.38200000000000001</v>
      </c>
      <c r="G37" s="116">
        <f>VLOOKUP(D37,$I$23:$J$47,2,0)</f>
        <v>8</v>
      </c>
      <c r="I37" s="163">
        <v>20000000</v>
      </c>
      <c r="J37" s="174">
        <v>4</v>
      </c>
      <c r="K37" s="163">
        <f t="shared" si="5"/>
        <v>18540000</v>
      </c>
    </row>
    <row r="38" spans="1:11" x14ac:dyDescent="0.25">
      <c r="A38" s="256" t="str">
        <f t="shared" si="2"/>
        <v>Господдержка Семейнаядр.города1</v>
      </c>
      <c r="B38" s="150" t="s">
        <v>37</v>
      </c>
      <c r="C38" s="257" t="s">
        <v>125</v>
      </c>
      <c r="D38" s="258">
        <v>9000000</v>
      </c>
      <c r="E38" s="259">
        <f t="shared" si="6"/>
        <v>0.06</v>
      </c>
      <c r="F38" s="260">
        <v>0.22</v>
      </c>
      <c r="G38" s="256">
        <f>VLOOKUP(D38,$I$23:$J$47,2,0)</f>
        <v>1</v>
      </c>
      <c r="H38" s="261"/>
      <c r="I38" s="262">
        <v>21000000</v>
      </c>
      <c r="J38" s="261">
        <v>5</v>
      </c>
      <c r="K38" s="258">
        <f t="shared" si="5"/>
        <v>7020000</v>
      </c>
    </row>
    <row r="39" spans="1:11" x14ac:dyDescent="0.25">
      <c r="A39" s="256" t="str">
        <f t="shared" si="2"/>
        <v>Господдержка Семейнаядр.города2</v>
      </c>
      <c r="B39" s="150" t="s">
        <v>37</v>
      </c>
      <c r="C39" s="257" t="s">
        <v>125</v>
      </c>
      <c r="D39" s="258">
        <v>12000000</v>
      </c>
      <c r="E39" s="259">
        <f t="shared" si="6"/>
        <v>0.06</v>
      </c>
      <c r="F39" s="260">
        <v>0.32200000000000001</v>
      </c>
      <c r="G39" s="256">
        <f t="shared" si="3"/>
        <v>2</v>
      </c>
      <c r="H39" s="261"/>
      <c r="I39" s="258">
        <v>22000000</v>
      </c>
      <c r="J39" s="263">
        <v>5</v>
      </c>
      <c r="K39" s="258">
        <f t="shared" si="5"/>
        <v>8136000</v>
      </c>
    </row>
    <row r="40" spans="1:11" ht="30" x14ac:dyDescent="0.25">
      <c r="A40" s="256" t="str">
        <f t="shared" si="2"/>
        <v>Господдержка Семейнаядр.города3</v>
      </c>
      <c r="B40" s="264" t="s">
        <v>37</v>
      </c>
      <c r="C40" s="257" t="s">
        <v>125</v>
      </c>
      <c r="D40" s="258">
        <v>15000000</v>
      </c>
      <c r="E40" s="259">
        <f t="shared" si="6"/>
        <v>0.06</v>
      </c>
      <c r="F40" s="260">
        <v>0.38300000000000001</v>
      </c>
      <c r="G40" s="256">
        <f t="shared" si="3"/>
        <v>3</v>
      </c>
      <c r="H40" s="261"/>
      <c r="I40" s="258">
        <v>23000000</v>
      </c>
      <c r="J40" s="263">
        <v>5</v>
      </c>
      <c r="K40" s="258">
        <f t="shared" si="5"/>
        <v>9255000</v>
      </c>
    </row>
    <row r="41" spans="1:11" x14ac:dyDescent="0.25">
      <c r="A41" s="270" t="str">
        <f t="shared" si="2"/>
        <v>IT-ипотекасубъект РФ, с численностью населения 1 млн. человек или более5</v>
      </c>
      <c r="B41" s="27" t="s">
        <v>147</v>
      </c>
      <c r="C41" t="s">
        <v>153</v>
      </c>
      <c r="D41" s="269">
        <v>21000000</v>
      </c>
      <c r="E41" s="167">
        <v>0.05</v>
      </c>
      <c r="F41" s="260">
        <v>0.10299999999999999</v>
      </c>
      <c r="G41" s="256">
        <f>VLOOKUP(D41,$I$23:$J$47,2,0)</f>
        <v>5</v>
      </c>
      <c r="I41" s="173">
        <v>24000000</v>
      </c>
      <c r="J41">
        <v>6</v>
      </c>
      <c r="K41" s="258">
        <f t="shared" si="5"/>
        <v>18837000</v>
      </c>
    </row>
    <row r="42" spans="1:11" x14ac:dyDescent="0.25">
      <c r="A42" s="270" t="str">
        <f t="shared" si="2"/>
        <v>IT-ипотекасубъект РФ, с численностью населения 1 млн. человек или более6</v>
      </c>
      <c r="B42" s="27" t="s">
        <v>147</v>
      </c>
      <c r="C42" t="s">
        <v>153</v>
      </c>
      <c r="D42" s="269">
        <v>24000000</v>
      </c>
      <c r="E42" s="168">
        <f t="shared" si="6"/>
        <v>0.05</v>
      </c>
      <c r="F42" s="260">
        <v>0.17399999999999999</v>
      </c>
      <c r="G42" s="256">
        <f t="shared" si="3"/>
        <v>6</v>
      </c>
      <c r="I42" s="163">
        <v>25000000</v>
      </c>
      <c r="J42" s="174">
        <v>6</v>
      </c>
      <c r="K42" s="258">
        <f>D42-D42*F42</f>
        <v>19824000</v>
      </c>
    </row>
    <row r="43" spans="1:11" x14ac:dyDescent="0.25">
      <c r="A43" s="270" t="str">
        <f t="shared" si="2"/>
        <v>IT-ипотекасубъект РФ, с численностью населения 1 млн. человек или более7</v>
      </c>
      <c r="B43" s="27" t="s">
        <v>147</v>
      </c>
      <c r="C43" t="s">
        <v>153</v>
      </c>
      <c r="D43" s="269">
        <v>27000000</v>
      </c>
      <c r="E43" s="168">
        <f t="shared" si="6"/>
        <v>0.05</v>
      </c>
      <c r="F43" s="260">
        <v>0.23</v>
      </c>
      <c r="G43" s="256">
        <f t="shared" si="3"/>
        <v>7</v>
      </c>
      <c r="I43" s="163">
        <v>26000000</v>
      </c>
      <c r="J43" s="174">
        <v>6</v>
      </c>
      <c r="K43" s="258">
        <f>D43-D43*F43</f>
        <v>20790000</v>
      </c>
    </row>
    <row r="44" spans="1:11" x14ac:dyDescent="0.25">
      <c r="A44" s="270" t="str">
        <f t="shared" si="2"/>
        <v>IT-ипотекасубъект РФ, с численностью населения 1 млн. человек или более8</v>
      </c>
      <c r="B44" s="27" t="s">
        <v>147</v>
      </c>
      <c r="C44" t="s">
        <v>153</v>
      </c>
      <c r="D44" s="269">
        <v>30000000</v>
      </c>
      <c r="E44" s="168">
        <f t="shared" si="6"/>
        <v>0.05</v>
      </c>
      <c r="F44" s="260">
        <v>0.27400000000000002</v>
      </c>
      <c r="G44" s="256">
        <f t="shared" si="3"/>
        <v>8</v>
      </c>
      <c r="I44" s="173">
        <v>27000000</v>
      </c>
      <c r="J44">
        <v>7</v>
      </c>
      <c r="K44" s="258">
        <f t="shared" si="5"/>
        <v>21780000</v>
      </c>
    </row>
    <row r="45" spans="1:11" x14ac:dyDescent="0.25">
      <c r="A45" s="256" t="str">
        <f t="shared" si="2"/>
        <v>IT-ипотекасубъект РФ с численностью населения до 1 млн. человек2</v>
      </c>
      <c r="B45" s="150" t="s">
        <v>147</v>
      </c>
      <c r="C45" s="261" t="s">
        <v>154</v>
      </c>
      <c r="D45" s="258">
        <v>12000000</v>
      </c>
      <c r="E45" s="259">
        <f t="shared" si="6"/>
        <v>0.05</v>
      </c>
      <c r="F45" s="260">
        <v>0.17599999999999999</v>
      </c>
      <c r="G45" s="256">
        <f t="shared" si="3"/>
        <v>2</v>
      </c>
      <c r="H45" s="261"/>
      <c r="I45" s="258">
        <v>28000000</v>
      </c>
      <c r="J45" s="263">
        <v>7</v>
      </c>
      <c r="K45" s="258">
        <f t="shared" si="5"/>
        <v>9888000</v>
      </c>
    </row>
    <row r="46" spans="1:11" x14ac:dyDescent="0.25">
      <c r="A46" s="256" t="str">
        <f t="shared" si="2"/>
        <v>IT-ипотекасубъект РФ с численностью населения до 1 млн. человек3</v>
      </c>
      <c r="B46" s="150" t="s">
        <v>147</v>
      </c>
      <c r="C46" s="261" t="s">
        <v>154</v>
      </c>
      <c r="D46" s="258">
        <v>15000000</v>
      </c>
      <c r="E46" s="259">
        <f t="shared" si="6"/>
        <v>0.05</v>
      </c>
      <c r="F46" s="260">
        <v>0.27550000000000002</v>
      </c>
      <c r="G46" s="256">
        <f t="shared" si="3"/>
        <v>3</v>
      </c>
      <c r="H46" s="261"/>
      <c r="I46" s="258">
        <v>29000000</v>
      </c>
      <c r="J46" s="263">
        <v>7</v>
      </c>
      <c r="K46" s="258">
        <f>D46-D46*F46</f>
        <v>10867500</v>
      </c>
    </row>
    <row r="47" spans="1:11" x14ac:dyDescent="0.25">
      <c r="I47" s="173">
        <v>30000000</v>
      </c>
      <c r="J47">
        <v>8</v>
      </c>
      <c r="K47" s="258">
        <f t="shared" si="5"/>
        <v>0</v>
      </c>
    </row>
    <row r="48" spans="1:11" x14ac:dyDescent="0.25">
      <c r="I48" s="163"/>
    </row>
    <row r="49" spans="9:9" x14ac:dyDescent="0.25">
      <c r="I49" s="163"/>
    </row>
    <row r="50" spans="9:9" x14ac:dyDescent="0.25">
      <c r="I50" s="163"/>
    </row>
    <row r="51" spans="9:9" x14ac:dyDescent="0.25">
      <c r="I51" s="163"/>
    </row>
    <row r="52" spans="9:9" x14ac:dyDescent="0.25">
      <c r="I52" s="163"/>
    </row>
    <row r="53" spans="9:9" x14ac:dyDescent="0.25">
      <c r="I53" s="163"/>
    </row>
    <row r="54" spans="9:9" x14ac:dyDescent="0.25">
      <c r="I54" s="163"/>
    </row>
    <row r="55" spans="9:9" x14ac:dyDescent="0.25">
      <c r="I55" s="163"/>
    </row>
    <row r="56" spans="9:9" x14ac:dyDescent="0.25">
      <c r="I56" s="163"/>
    </row>
  </sheetData>
  <sheetProtection algorithmName="SHA-512" hashValue="tJkK1WSN4/XmO+tlyT+Y5FBtvxVdTQmjOUfjQOYR4eDBReYI4xkrKjCktHd1oe7t+agIPXfbNggx5L3hOmsIFQ==" saltValue="e7D7AvAAxuNbYB7uuK57vQ==" spinCount="100000" sheet="1" objects="1" scenarios="1"/>
  <sortState ref="I21:I38">
    <sortCondition ref="I2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A4" zoomScale="90" zoomScaleNormal="90" workbookViewId="0">
      <selection activeCell="D18" sqref="D18"/>
    </sheetView>
  </sheetViews>
  <sheetFormatPr defaultRowHeight="15" x14ac:dyDescent="0.25"/>
  <cols>
    <col min="1" max="1" width="3.42578125" style="22" customWidth="1"/>
    <col min="2" max="2" width="3.85546875" style="22" customWidth="1"/>
    <col min="3" max="3" width="43" style="22" customWidth="1"/>
    <col min="4" max="6" width="12.7109375" style="22" customWidth="1"/>
    <col min="7" max="9" width="18.140625" style="22" customWidth="1"/>
    <col min="10" max="10" width="17.28515625" style="22" customWidth="1"/>
    <col min="11" max="11" width="12.7109375" style="22" customWidth="1"/>
    <col min="12" max="13" width="14.28515625" style="22" customWidth="1"/>
    <col min="14" max="14" width="16.42578125" style="22" customWidth="1"/>
    <col min="15" max="15" width="14.85546875" style="22" customWidth="1"/>
    <col min="16" max="16" width="19.85546875" style="22" customWidth="1"/>
    <col min="17" max="17" width="18.85546875" style="22" customWidth="1"/>
    <col min="18" max="18" width="4.7109375" style="22" customWidth="1"/>
    <col min="19" max="16384" width="9.140625" style="22"/>
  </cols>
  <sheetData>
    <row r="1" spans="2:18" ht="15.75" thickBot="1" x14ac:dyDescent="0.3"/>
    <row r="2" spans="2:18" x14ac:dyDescent="0.25"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2:18" x14ac:dyDescent="0.25">
      <c r="B3" s="70"/>
      <c r="C3" s="20"/>
      <c r="D3" s="175" t="s">
        <v>8</v>
      </c>
      <c r="E3" s="384">
        <v>20000000</v>
      </c>
      <c r="F3" s="385"/>
      <c r="G3" s="23"/>
      <c r="H3" s="24"/>
      <c r="I3" s="195" t="s">
        <v>9</v>
      </c>
      <c r="J3" s="21"/>
      <c r="K3" s="21"/>
      <c r="L3" s="21"/>
      <c r="M3" s="21"/>
      <c r="N3" s="21"/>
      <c r="O3" s="21"/>
      <c r="P3" s="21"/>
      <c r="Q3" s="21"/>
      <c r="R3" s="40"/>
    </row>
    <row r="4" spans="2:18" x14ac:dyDescent="0.25">
      <c r="B4" s="70"/>
      <c r="C4" s="20"/>
      <c r="D4" s="175" t="s">
        <v>11</v>
      </c>
      <c r="E4" s="388" t="s">
        <v>37</v>
      </c>
      <c r="F4" s="389"/>
      <c r="G4" s="23"/>
      <c r="H4" s="23"/>
      <c r="I4" s="195"/>
      <c r="J4" s="21"/>
      <c r="K4" s="21"/>
      <c r="L4" s="21"/>
      <c r="M4" s="21"/>
      <c r="N4" s="21"/>
      <c r="O4" s="21"/>
      <c r="P4" s="21"/>
      <c r="Q4" s="21"/>
      <c r="R4" s="40"/>
    </row>
    <row r="5" spans="2:18" ht="51.75" customHeight="1" x14ac:dyDescent="0.25">
      <c r="B5" s="70"/>
      <c r="C5" s="20"/>
      <c r="D5" s="227" t="s">
        <v>10</v>
      </c>
      <c r="E5" s="386" t="s">
        <v>124</v>
      </c>
      <c r="F5" s="387"/>
      <c r="G5" s="268" t="s">
        <v>155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40"/>
    </row>
    <row r="6" spans="2:18" x14ac:dyDescent="0.25">
      <c r="B6" s="70"/>
      <c r="C6" s="20"/>
      <c r="D6" s="175" t="s">
        <v>45</v>
      </c>
      <c r="E6" s="384">
        <v>5000000</v>
      </c>
      <c r="F6" s="385"/>
      <c r="G6" s="74" t="str">
        <f>справочники!I5</f>
        <v/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40"/>
    </row>
    <row r="7" spans="2:18" ht="16.5" x14ac:dyDescent="0.3">
      <c r="B7" s="70"/>
      <c r="C7" s="20"/>
      <c r="D7" s="175" t="s">
        <v>156</v>
      </c>
      <c r="E7" s="390">
        <f>E6/E3</f>
        <v>0.25</v>
      </c>
      <c r="F7" s="391"/>
      <c r="G7" s="74" t="str">
        <f>справочники!J6&amp;'Комбо-ипотека'!F1&amp;справочники!M6</f>
        <v/>
      </c>
      <c r="H7" s="21"/>
      <c r="I7" s="77"/>
      <c r="J7" s="21"/>
      <c r="K7" s="21"/>
      <c r="L7" s="21"/>
      <c r="M7" s="21"/>
      <c r="N7" s="21"/>
      <c r="O7" s="21"/>
      <c r="P7" s="21"/>
      <c r="Q7" s="21"/>
      <c r="R7" s="40"/>
    </row>
    <row r="8" spans="2:18" ht="16.5" x14ac:dyDescent="0.3">
      <c r="B8" s="70"/>
      <c r="C8" s="20"/>
      <c r="D8" s="175" t="s">
        <v>157</v>
      </c>
      <c r="E8" s="390">
        <f>E6/I18</f>
        <v>0.24876045475033803</v>
      </c>
      <c r="F8" s="391"/>
      <c r="G8" s="74"/>
      <c r="H8" s="21"/>
      <c r="I8" s="77"/>
      <c r="J8" s="21"/>
      <c r="K8" s="21"/>
      <c r="L8" s="21"/>
      <c r="M8" s="21"/>
      <c r="N8" s="21"/>
      <c r="O8" s="21"/>
      <c r="P8" s="21"/>
      <c r="Q8" s="21"/>
      <c r="R8" s="40"/>
    </row>
    <row r="9" spans="2:18" x14ac:dyDescent="0.25">
      <c r="B9" s="70"/>
      <c r="C9" s="20"/>
      <c r="D9" s="175" t="s">
        <v>52</v>
      </c>
      <c r="E9" s="392">
        <v>180</v>
      </c>
      <c r="F9" s="393"/>
      <c r="G9" s="74" t="str">
        <f>справочники!F1&amp;справочники!G1</f>
        <v/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40"/>
    </row>
    <row r="10" spans="2:18" x14ac:dyDescent="0.25">
      <c r="B10" s="70"/>
      <c r="C10" s="20"/>
      <c r="D10" s="175" t="s">
        <v>13</v>
      </c>
      <c r="E10" s="394" t="s">
        <v>14</v>
      </c>
      <c r="F10" s="395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40"/>
    </row>
    <row r="11" spans="2:18" x14ac:dyDescent="0.25">
      <c r="B11" s="70"/>
      <c r="C11" s="20"/>
      <c r="D11" s="175" t="s">
        <v>60</v>
      </c>
      <c r="E11" s="400">
        <v>5.5999999999999994E-2</v>
      </c>
      <c r="F11" s="401"/>
      <c r="G11" s="190" t="s">
        <v>145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40"/>
    </row>
    <row r="12" spans="2:18" x14ac:dyDescent="0.25">
      <c r="B12" s="70"/>
      <c r="C12" s="20"/>
      <c r="D12" s="175" t="s">
        <v>15</v>
      </c>
      <c r="E12" s="396" t="s">
        <v>16</v>
      </c>
      <c r="F12" s="397"/>
      <c r="G12" s="23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40"/>
    </row>
    <row r="13" spans="2:18" x14ac:dyDescent="0.25">
      <c r="B13" s="70"/>
      <c r="C13" s="20"/>
      <c r="D13" s="175" t="s">
        <v>17</v>
      </c>
      <c r="E13" s="396" t="s">
        <v>16</v>
      </c>
      <c r="F13" s="397"/>
      <c r="G13" s="23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40"/>
    </row>
    <row r="14" spans="2:18" x14ac:dyDescent="0.25">
      <c r="B14" s="70"/>
      <c r="C14" s="20"/>
      <c r="D14" s="175" t="s">
        <v>18</v>
      </c>
      <c r="E14" s="398" t="s">
        <v>58</v>
      </c>
      <c r="F14" s="399"/>
      <c r="G14" s="23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40"/>
    </row>
    <row r="15" spans="2:18" x14ac:dyDescent="0.25">
      <c r="B15" s="70"/>
      <c r="C15" s="21"/>
      <c r="D15" s="21"/>
      <c r="E15" s="21"/>
      <c r="F15" s="21"/>
      <c r="G15" s="75" t="str">
        <f>справочники!F4</f>
        <v>По программам с господдержкой сумма кредита для выдранного региона не может быть больше 12 млн. руб.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0"/>
    </row>
    <row r="16" spans="2:18" s="180" customFormat="1" ht="108" x14ac:dyDescent="0.3">
      <c r="B16" s="176"/>
      <c r="C16" s="191"/>
      <c r="D16" s="178" t="s">
        <v>20</v>
      </c>
      <c r="E16" s="178" t="s">
        <v>21</v>
      </c>
      <c r="F16" s="178" t="s">
        <v>22</v>
      </c>
      <c r="G16" s="178" t="s">
        <v>23</v>
      </c>
      <c r="H16" s="178" t="s">
        <v>24</v>
      </c>
      <c r="I16" s="178" t="s">
        <v>25</v>
      </c>
      <c r="J16" s="178" t="s">
        <v>26</v>
      </c>
      <c r="K16" s="178" t="s">
        <v>27</v>
      </c>
      <c r="L16" s="178" t="s">
        <v>28</v>
      </c>
      <c r="M16" s="178" t="s">
        <v>29</v>
      </c>
      <c r="N16" s="178" t="s">
        <v>30</v>
      </c>
      <c r="O16" s="178" t="s">
        <v>31</v>
      </c>
      <c r="P16" s="178" t="s">
        <v>32</v>
      </c>
      <c r="Q16" s="178" t="s">
        <v>33</v>
      </c>
      <c r="R16" s="179"/>
    </row>
    <row r="17" spans="2:18" s="180" customFormat="1" ht="16.5" x14ac:dyDescent="0.3">
      <c r="B17" s="176"/>
      <c r="C17" s="192" t="str">
        <f>E4</f>
        <v>Господдержка Семейная</v>
      </c>
      <c r="D17" s="182">
        <f>справочники!K7</f>
        <v>0.06</v>
      </c>
      <c r="E17" s="182">
        <f>D17</f>
        <v>0.06</v>
      </c>
      <c r="F17" s="182">
        <f>справочники!L7</f>
        <v>2.29E-2</v>
      </c>
      <c r="G17" s="183">
        <f>I17-H17</f>
        <v>15351550.50660117</v>
      </c>
      <c r="H17" s="183">
        <f>E6</f>
        <v>5000000</v>
      </c>
      <c r="I17" s="183">
        <f>(E3-E6)/(1-F17)+E6</f>
        <v>20351550.50660117</v>
      </c>
      <c r="J17" s="183">
        <f>G17*F17</f>
        <v>351550.5066011668</v>
      </c>
      <c r="K17" s="182">
        <f>J17/E3</f>
        <v>1.7577525330058338E-2</v>
      </c>
      <c r="L17" s="183">
        <f>G17*D17/12/(1-(1+D17/12)^(-E9))</f>
        <v>129545.10716126299</v>
      </c>
      <c r="M17" s="183">
        <f>L17</f>
        <v>129545.10716126299</v>
      </c>
      <c r="N17" s="183">
        <v>0</v>
      </c>
      <c r="O17" s="183">
        <v>0</v>
      </c>
      <c r="P17" s="183">
        <f>ROUND(L17*E9-G17,2)</f>
        <v>7966568.7800000003</v>
      </c>
      <c r="Q17" s="183">
        <v>0</v>
      </c>
      <c r="R17" s="179"/>
    </row>
    <row r="18" spans="2:18" s="180" customFormat="1" ht="16.5" x14ac:dyDescent="0.3">
      <c r="B18" s="176"/>
      <c r="C18" s="192" t="str">
        <f>"Ставка мечты + "&amp;C17</f>
        <v>Ставка мечты + Господдержка Семейная</v>
      </c>
      <c r="D18" s="182">
        <f>E11+справочники!J11</f>
        <v>5.5999999999999994E-2</v>
      </c>
      <c r="E18" s="182">
        <f>IF(E10="весь срок кредита",D18,справочники!J12)</f>
        <v>0.06</v>
      </c>
      <c r="F18" s="182">
        <f>VLOOKUP(E11,справочники!$B$21:$C$113,2,0)</f>
        <v>6.6E-3</v>
      </c>
      <c r="G18" s="183">
        <f>I18-H18</f>
        <v>15099657.741091203</v>
      </c>
      <c r="H18" s="183">
        <f>E6</f>
        <v>5000000</v>
      </c>
      <c r="I18" s="183">
        <f>(E3-E6)/(1-F18)+E6</f>
        <v>20099657.741091203</v>
      </c>
      <c r="J18" s="183">
        <f>G18*F18</f>
        <v>99657.74109120194</v>
      </c>
      <c r="K18" s="182">
        <f>J18/E3</f>
        <v>4.982887054560097E-3</v>
      </c>
      <c r="L18" s="183">
        <f>график!F2</f>
        <v>124179.53146662304</v>
      </c>
      <c r="M18" s="183">
        <f>график!F3</f>
        <v>127235.31084624644</v>
      </c>
      <c r="N18" s="183">
        <f>L17-L18</f>
        <v>5365.5756946399488</v>
      </c>
      <c r="O18" s="183">
        <f>M17-M18</f>
        <v>2309.7963150165451</v>
      </c>
      <c r="P18" s="183">
        <f>график!F9</f>
        <v>7766028.8600000003</v>
      </c>
      <c r="Q18" s="183">
        <f>P17-P18</f>
        <v>200539.91999999993</v>
      </c>
      <c r="R18" s="179"/>
    </row>
    <row r="19" spans="2:18" s="180" customFormat="1" ht="16.5" x14ac:dyDescent="0.3">
      <c r="B19" s="176"/>
      <c r="C19" s="184"/>
      <c r="D19" s="184"/>
      <c r="E19" s="184"/>
      <c r="F19" s="184"/>
      <c r="G19" s="193" t="str">
        <f>'Комбо-ипотека'!C13</f>
        <v/>
      </c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79"/>
    </row>
    <row r="20" spans="2:18" s="180" customFormat="1" ht="16.5" x14ac:dyDescent="0.3">
      <c r="B20" s="176"/>
      <c r="C20" s="194" t="s">
        <v>76</v>
      </c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79"/>
    </row>
    <row r="21" spans="2:18" s="180" customFormat="1" ht="17.25" thickBot="1" x14ac:dyDescent="0.35"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9"/>
    </row>
    <row r="24" spans="2:18" x14ac:dyDescent="0.25">
      <c r="G24" s="96"/>
    </row>
  </sheetData>
  <sheetProtection password="CC5F" sheet="1" objects="1" scenarios="1"/>
  <mergeCells count="12">
    <mergeCell ref="E10:F10"/>
    <mergeCell ref="E12:F12"/>
    <mergeCell ref="E13:F13"/>
    <mergeCell ref="E14:F14"/>
    <mergeCell ref="E6:F6"/>
    <mergeCell ref="E11:F11"/>
    <mergeCell ref="E3:F3"/>
    <mergeCell ref="E5:F5"/>
    <mergeCell ref="E4:F4"/>
    <mergeCell ref="E7:F7"/>
    <mergeCell ref="E9:F9"/>
    <mergeCell ref="E8:F8"/>
  </mergeCells>
  <conditionalFormatting sqref="C17:Q18">
    <cfRule type="expression" dxfId="8" priority="8">
      <formula>#REF!&gt;0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справочники!$M$2:$M$3</xm:f>
          </x14:formula1>
          <xm:sqref>E13:F13</xm:sqref>
        </x14:dataValidation>
        <x14:dataValidation type="list" allowBlank="1" showInputMessage="1" showErrorMessage="1">
          <x14:formula1>
            <xm:f>справочники!$A$2:$A$3</xm:f>
          </x14:formula1>
          <xm:sqref>E5:F5</xm:sqref>
        </x14:dataValidation>
        <x14:dataValidation type="list" allowBlank="1" showInputMessage="1" showErrorMessage="1">
          <x14:formula1>
            <xm:f>справочники!$A$7:$A$12</xm:f>
          </x14:formula1>
          <xm:sqref>E4:F4</xm:sqref>
        </x14:dataValidation>
        <x14:dataValidation type="list" allowBlank="1" showInputMessage="1" showErrorMessage="1">
          <x14:formula1>
            <xm:f>справочники!$A$14:$A$17</xm:f>
          </x14:formula1>
          <xm:sqref>E10:F10</xm:sqref>
        </x14:dataValidation>
        <x14:dataValidation type="list" allowBlank="1" showInputMessage="1" showErrorMessage="1">
          <x14:formula1>
            <xm:f>справочники!$J$2:$J$3</xm:f>
          </x14:formula1>
          <xm:sqref>E12:F12</xm:sqref>
        </x14:dataValidation>
        <x14:dataValidation type="list" allowBlank="1" showInputMessage="1" showErrorMessage="1">
          <x14:formula1>
            <xm:f>справочники!$P$2:$P$3</xm:f>
          </x14:formula1>
          <xm:sqref>E14:F14</xm:sqref>
        </x14:dataValidation>
        <x14:dataValidation type="list" allowBlank="1" showInputMessage="1" showErrorMessage="1">
          <x14:formula1>
            <xm:f>справочники!$B$21:$B$90</xm:f>
          </x14:formula1>
          <xm:sqref>E11:F11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D3" sqref="D3:E3"/>
    </sheetView>
  </sheetViews>
  <sheetFormatPr defaultRowHeight="15" x14ac:dyDescent="0.25"/>
  <cols>
    <col min="1" max="1" width="3.42578125" style="22" customWidth="1"/>
    <col min="2" max="2" width="3.7109375" style="22" customWidth="1"/>
    <col min="3" max="3" width="45.42578125" style="22" customWidth="1"/>
    <col min="4" max="4" width="12.7109375" style="22" customWidth="1"/>
    <col min="5" max="5" width="13.42578125" style="22" customWidth="1"/>
    <col min="6" max="6" width="17.28515625" style="22" customWidth="1"/>
    <col min="7" max="7" width="17.140625" style="22" customWidth="1"/>
    <col min="8" max="8" width="18" style="22" customWidth="1"/>
    <col min="9" max="9" width="20.28515625" style="22" customWidth="1"/>
    <col min="10" max="10" width="12.85546875" style="22" customWidth="1"/>
    <col min="11" max="11" width="19.42578125" style="22" customWidth="1"/>
    <col min="12" max="12" width="19" style="22" customWidth="1"/>
    <col min="13" max="13" width="3.7109375" style="22" customWidth="1"/>
    <col min="14" max="15" width="8.7109375" style="22" customWidth="1"/>
    <col min="16" max="16384" width="9.140625" style="22"/>
  </cols>
  <sheetData>
    <row r="1" spans="2:13" ht="15.75" thickBot="1" x14ac:dyDescent="0.3"/>
    <row r="2" spans="2:13" ht="16.5" x14ac:dyDescent="0.3">
      <c r="B2" s="67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69"/>
    </row>
    <row r="3" spans="2:13" ht="16.5" x14ac:dyDescent="0.3">
      <c r="B3" s="130"/>
      <c r="C3" s="175" t="s">
        <v>8</v>
      </c>
      <c r="D3" s="384">
        <v>22000000</v>
      </c>
      <c r="E3" s="385"/>
      <c r="F3" s="197"/>
      <c r="G3" s="198"/>
      <c r="H3" s="195" t="s">
        <v>9</v>
      </c>
      <c r="I3" s="184"/>
      <c r="J3" s="205" t="s">
        <v>89</v>
      </c>
      <c r="K3" s="199" t="s">
        <v>90</v>
      </c>
      <c r="L3" s="206">
        <f>'Комбо-ипотека'!C2</f>
        <v>0.2001</v>
      </c>
      <c r="M3" s="40"/>
    </row>
    <row r="4" spans="2:13" ht="15" customHeight="1" x14ac:dyDescent="0.3">
      <c r="B4" s="130"/>
      <c r="C4" s="175" t="s">
        <v>11</v>
      </c>
      <c r="D4" s="388" t="s">
        <v>37</v>
      </c>
      <c r="E4" s="389"/>
      <c r="F4" s="197"/>
      <c r="G4" s="184"/>
      <c r="H4" s="184"/>
      <c r="I4" s="184"/>
      <c r="J4" s="204"/>
      <c r="K4" s="402" t="str">
        <f>"Максимальная сумма кредита для месторасположения объекта:  "&amp;D5</f>
        <v>Максимальная сумма кредита для месторасположения объекта:  Москва, Моск.обл., Санкт-Петербург, Лен.обл.</v>
      </c>
      <c r="L4" s="207"/>
      <c r="M4" s="40"/>
    </row>
    <row r="5" spans="2:13" ht="42" customHeight="1" x14ac:dyDescent="0.3">
      <c r="B5" s="130"/>
      <c r="C5" s="227" t="s">
        <v>10</v>
      </c>
      <c r="D5" s="386" t="s">
        <v>124</v>
      </c>
      <c r="E5" s="387"/>
      <c r="F5" s="276" t="s">
        <v>155</v>
      </c>
      <c r="G5" s="197"/>
      <c r="H5" s="197"/>
      <c r="I5" s="197"/>
      <c r="J5" s="204"/>
      <c r="K5" s="402"/>
      <c r="L5" s="208" t="str">
        <f>'Комбо-ипотека'!E17/1000/1000&amp;" млн.руб."</f>
        <v>30 млн.руб.</v>
      </c>
      <c r="M5" s="40"/>
    </row>
    <row r="6" spans="2:13" ht="15" customHeight="1" x14ac:dyDescent="0.25">
      <c r="B6" s="130"/>
      <c r="C6" s="175" t="s">
        <v>45</v>
      </c>
      <c r="D6" s="384">
        <v>6000000</v>
      </c>
      <c r="E6" s="385"/>
      <c r="F6" s="200" t="str">
        <f>справочники!I5</f>
        <v/>
      </c>
      <c r="G6" s="200"/>
      <c r="H6" s="200"/>
      <c r="I6" s="200"/>
      <c r="J6" s="204"/>
      <c r="K6" s="402"/>
      <c r="L6" s="203"/>
      <c r="M6" s="40"/>
    </row>
    <row r="7" spans="2:13" ht="16.5" x14ac:dyDescent="0.3">
      <c r="B7" s="130"/>
      <c r="C7" s="175" t="s">
        <v>158</v>
      </c>
      <c r="D7" s="390">
        <f>D6/H15</f>
        <v>0.2030681874782089</v>
      </c>
      <c r="E7" s="391"/>
      <c r="F7" s="201" t="str">
        <f>'Комбо-ипотека'!F1</f>
        <v/>
      </c>
      <c r="G7" s="200"/>
      <c r="H7" s="200"/>
      <c r="I7" s="200"/>
      <c r="J7" s="209"/>
      <c r="K7" s="402"/>
      <c r="L7" s="203"/>
      <c r="M7" s="40"/>
    </row>
    <row r="8" spans="2:13" x14ac:dyDescent="0.25">
      <c r="B8" s="130"/>
      <c r="C8" s="175" t="s">
        <v>52</v>
      </c>
      <c r="D8" s="392">
        <v>180</v>
      </c>
      <c r="E8" s="393"/>
      <c r="F8" s="200" t="str">
        <f>'Комбо-ипотека'!F2</f>
        <v/>
      </c>
      <c r="G8" s="200"/>
      <c r="H8" s="200"/>
      <c r="I8" s="200"/>
      <c r="J8" s="204"/>
      <c r="K8" s="402"/>
      <c r="L8" s="203"/>
      <c r="M8" s="40"/>
    </row>
    <row r="9" spans="2:13" ht="16.5" x14ac:dyDescent="0.3">
      <c r="B9" s="130"/>
      <c r="C9" s="175" t="s">
        <v>15</v>
      </c>
      <c r="D9" s="396" t="s">
        <v>16</v>
      </c>
      <c r="E9" s="397"/>
      <c r="F9" s="197"/>
      <c r="G9" s="197"/>
      <c r="H9" s="197"/>
      <c r="I9" s="197"/>
      <c r="J9" s="204"/>
      <c r="K9" s="402"/>
      <c r="L9" s="203"/>
      <c r="M9" s="40"/>
    </row>
    <row r="10" spans="2:13" ht="16.5" x14ac:dyDescent="0.3">
      <c r="B10" s="130"/>
      <c r="C10" s="175" t="s">
        <v>18</v>
      </c>
      <c r="D10" s="398" t="s">
        <v>58</v>
      </c>
      <c r="E10" s="399"/>
      <c r="F10" s="197"/>
      <c r="G10" s="197"/>
      <c r="H10" s="197"/>
      <c r="I10" s="197"/>
      <c r="J10" s="204"/>
      <c r="K10" s="402"/>
      <c r="L10" s="203"/>
      <c r="M10" s="40"/>
    </row>
    <row r="11" spans="2:13" ht="16.5" x14ac:dyDescent="0.3">
      <c r="B11" s="70"/>
      <c r="C11" s="184"/>
      <c r="D11" s="184"/>
      <c r="E11" s="184"/>
      <c r="F11" s="185" t="str">
        <f>справочники!F4</f>
        <v>По программам с господдержкой сумма кредита для выдранного региона не может быть больше 12 млн. руб.</v>
      </c>
      <c r="G11" s="185"/>
      <c r="H11" s="185"/>
      <c r="I11" s="185"/>
      <c r="J11" s="184"/>
      <c r="K11" s="202"/>
      <c r="L11" s="197"/>
      <c r="M11" s="40"/>
    </row>
    <row r="12" spans="2:13" ht="94.5" x14ac:dyDescent="0.3">
      <c r="B12" s="70"/>
      <c r="C12" s="177"/>
      <c r="D12" s="178" t="s">
        <v>20</v>
      </c>
      <c r="E12" s="178" t="s">
        <v>22</v>
      </c>
      <c r="F12" s="178" t="s">
        <v>23</v>
      </c>
      <c r="G12" s="178" t="s">
        <v>24</v>
      </c>
      <c r="H12" s="178" t="s">
        <v>25</v>
      </c>
      <c r="I12" s="178" t="s">
        <v>26</v>
      </c>
      <c r="J12" s="178" t="s">
        <v>27</v>
      </c>
      <c r="K12" s="178" t="s">
        <v>91</v>
      </c>
      <c r="L12" s="178" t="s">
        <v>32</v>
      </c>
      <c r="M12" s="40"/>
    </row>
    <row r="13" spans="2:13" ht="16.5" hidden="1" x14ac:dyDescent="0.3">
      <c r="B13" s="70"/>
      <c r="C13" s="181" t="str">
        <f>D4</f>
        <v>Господдержка Семейная</v>
      </c>
      <c r="D13" s="182">
        <f>справочники!J12</f>
        <v>0.06</v>
      </c>
      <c r="E13" s="183">
        <v>0</v>
      </c>
      <c r="F13" s="183">
        <f>D3-D6</f>
        <v>16000000</v>
      </c>
      <c r="G13" s="183">
        <f>D6</f>
        <v>6000000</v>
      </c>
      <c r="H13" s="183">
        <f>D3</f>
        <v>22000000</v>
      </c>
      <c r="I13" s="183">
        <f>F13*E13</f>
        <v>0</v>
      </c>
      <c r="J13" s="183">
        <f>I13/D3</f>
        <v>0</v>
      </c>
      <c r="K13" s="183">
        <f>F13*D13/12/(1-(1+D13/12)^(-D8))</f>
        <v>135017.09248775474</v>
      </c>
      <c r="L13" s="183">
        <f>K13*D8-F13</f>
        <v>8303076.6477958523</v>
      </c>
      <c r="M13" s="40"/>
    </row>
    <row r="14" spans="2:13" ht="16.5" hidden="1" x14ac:dyDescent="0.3">
      <c r="B14" s="70"/>
      <c r="C14" s="181" t="str">
        <f>"Ставка мечты + "&amp;C13</f>
        <v>Ставка мечты + Господдержка Семейная</v>
      </c>
      <c r="D14" s="182" t="e">
        <f>#REF!</f>
        <v>#REF!</v>
      </c>
      <c r="E14" s="182" t="e">
        <f>VLOOKUP(D14,справочники!$B$21:$C$113,2,0)</f>
        <v>#REF!</v>
      </c>
      <c r="F14" s="183" t="e">
        <f>H14-G14</f>
        <v>#REF!</v>
      </c>
      <c r="G14" s="183">
        <f>D6</f>
        <v>6000000</v>
      </c>
      <c r="H14" s="183" t="e">
        <f>(D3-D6)/(1-E14)+D6</f>
        <v>#REF!</v>
      </c>
      <c r="I14" s="183" t="e">
        <f>F14*E14</f>
        <v>#REF!</v>
      </c>
      <c r="J14" s="182" t="e">
        <f>I14/D3</f>
        <v>#REF!</v>
      </c>
      <c r="K14" s="183">
        <f>график!F2</f>
        <v>124179.53146662304</v>
      </c>
      <c r="L14" s="183">
        <f>график!F9</f>
        <v>7766028.8600000003</v>
      </c>
      <c r="M14" s="40"/>
    </row>
    <row r="15" spans="2:13" s="215" customFormat="1" ht="16.5" x14ac:dyDescent="0.3">
      <c r="B15" s="210"/>
      <c r="C15" s="211" t="str">
        <f>"Комбо + "&amp;D4</f>
        <v>Комбо + Господдержка Семейная</v>
      </c>
      <c r="D15" s="212">
        <f>'Комбо-ипотека'!C14</f>
        <v>0.06</v>
      </c>
      <c r="E15" s="212">
        <f>'Комбо-ипотека'!C15</f>
        <v>0.32050000000000001</v>
      </c>
      <c r="F15" s="213">
        <f>H15-G15</f>
        <v>23546725.533480499</v>
      </c>
      <c r="G15" s="213">
        <f>D6</f>
        <v>6000000</v>
      </c>
      <c r="H15" s="213">
        <f>(D3-D6)/(1-E15)+D6</f>
        <v>29546725.533480499</v>
      </c>
      <c r="I15" s="213">
        <f>F15*E15</f>
        <v>7546725.5334804999</v>
      </c>
      <c r="J15" s="212">
        <f>I15/D3</f>
        <v>0.34303297879456818</v>
      </c>
      <c r="K15" s="213">
        <f>'Комбо-ипотека'!C19</f>
        <v>198700.65119610328</v>
      </c>
      <c r="L15" s="213">
        <f>K15*D8-F15</f>
        <v>12219391.681818094</v>
      </c>
      <c r="M15" s="214"/>
    </row>
    <row r="16" spans="2:13" ht="16.5" x14ac:dyDescent="0.3">
      <c r="B16" s="70"/>
      <c r="C16" s="184"/>
      <c r="D16" s="184"/>
      <c r="E16" s="184"/>
      <c r="F16" s="193" t="str">
        <f>'Комбо-ипотека'!C13</f>
        <v/>
      </c>
      <c r="G16" s="184"/>
      <c r="H16" s="184"/>
      <c r="I16" s="184"/>
      <c r="J16" s="184"/>
      <c r="K16" s="184"/>
      <c r="L16" s="186"/>
      <c r="M16" s="40"/>
    </row>
    <row r="17" spans="2:13" ht="16.5" x14ac:dyDescent="0.3">
      <c r="B17" s="70"/>
      <c r="C17" s="194" t="s">
        <v>76</v>
      </c>
      <c r="D17" s="184"/>
      <c r="E17" s="184"/>
      <c r="F17" s="184"/>
      <c r="G17" s="184"/>
      <c r="H17" s="184"/>
      <c r="I17" s="184"/>
      <c r="J17" s="184"/>
      <c r="K17" s="184"/>
      <c r="L17" s="184"/>
      <c r="M17" s="40"/>
    </row>
    <row r="18" spans="2:13" ht="17.25" thickBot="1" x14ac:dyDescent="0.35">
      <c r="B18" s="71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73"/>
    </row>
    <row r="20" spans="2:13" x14ac:dyDescent="0.25">
      <c r="F20" s="273"/>
    </row>
    <row r="21" spans="2:13" x14ac:dyDescent="0.25">
      <c r="G21" s="96"/>
    </row>
    <row r="22" spans="2:13" x14ac:dyDescent="0.25">
      <c r="C22" s="96"/>
    </row>
  </sheetData>
  <sheetProtection algorithmName="SHA-512" hashValue="wNCL2xu858KjFBIpeMBCIPsGSTHoYJIBKkEOh0cViIA20W3WTZOcxq8hI19+fzxIZPw+erNculhZFHmTpe5V5g==" saltValue="8CqAGLlGH+SlqhLrJvRSzA==" spinCount="100000" sheet="1" objects="1" scenarios="1"/>
  <mergeCells count="9">
    <mergeCell ref="K4:K10"/>
    <mergeCell ref="D9:E9"/>
    <mergeCell ref="D10:E10"/>
    <mergeCell ref="D3:E3"/>
    <mergeCell ref="D5:E5"/>
    <mergeCell ref="D4:E4"/>
    <mergeCell ref="D6:E6"/>
    <mergeCell ref="D7:E7"/>
    <mergeCell ref="D8:E8"/>
  </mergeCells>
  <conditionalFormatting sqref="C15:L15">
    <cfRule type="expression" dxfId="7" priority="7">
      <formula>$D$15=0</formula>
    </cfRule>
  </conditionalFormatting>
  <conditionalFormatting sqref="C13 D13:L14">
    <cfRule type="expression" dxfId="6" priority="5">
      <formula>$D$15&gt;0</formula>
    </cfRule>
  </conditionalFormatting>
  <conditionalFormatting sqref="C14">
    <cfRule type="expression" dxfId="5" priority="3">
      <formula>$D$15&gt;0</formula>
    </cfRule>
  </conditionalFormatting>
  <conditionalFormatting sqref="F15">
    <cfRule type="expression" dxfId="4" priority="1">
      <formula>$F$16&lt;&gt;""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справочники!$P$2:$P$3</xm:f>
          </x14:formula1>
          <xm:sqref>D10:E10</xm:sqref>
        </x14:dataValidation>
        <x14:dataValidation type="list" allowBlank="1" showInputMessage="1" showErrorMessage="1">
          <x14:formula1>
            <xm:f>справочники!$J$2:$J$3</xm:f>
          </x14:formula1>
          <xm:sqref>D9:E9</xm:sqref>
        </x14:dataValidation>
        <x14:dataValidation type="list" allowBlank="1" showInputMessage="1" showErrorMessage="1">
          <x14:formula1>
            <xm:f>'Комбо-ипотека'!$B$6:$B$7</xm:f>
          </x14:formula1>
          <xm:sqref>D4:E4</xm:sqref>
        </x14:dataValidation>
        <x14:dataValidation type="list" allowBlank="1" showInputMessage="1" showErrorMessage="1">
          <x14:formula1>
            <xm:f>'Комбо-ипотека'!$L$5:$L$6</xm:f>
          </x14:formula1>
          <xm:sqref>D5:E5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8"/>
  <sheetViews>
    <sheetView tabSelected="1" topLeftCell="A4" workbookViewId="0">
      <selection activeCell="D13" sqref="D13:E13"/>
    </sheetView>
  </sheetViews>
  <sheetFormatPr defaultRowHeight="15" x14ac:dyDescent="0.25"/>
  <cols>
    <col min="1" max="1" width="4.140625" style="22" customWidth="1"/>
    <col min="2" max="2" width="9.140625" style="22"/>
    <col min="3" max="3" width="48.42578125" style="22" customWidth="1"/>
    <col min="4" max="4" width="12.7109375" style="22" customWidth="1"/>
    <col min="5" max="5" width="17.28515625" style="22" customWidth="1"/>
    <col min="6" max="6" width="13.140625" style="22" bestFit="1" customWidth="1"/>
    <col min="7" max="7" width="14.5703125" style="22" customWidth="1"/>
    <col min="8" max="8" width="15.5703125" style="22" customWidth="1"/>
    <col min="9" max="9" width="18.5703125" style="22" bestFit="1" customWidth="1"/>
    <col min="10" max="10" width="4.42578125" style="22" customWidth="1"/>
    <col min="11" max="16384" width="9.140625" style="22"/>
  </cols>
  <sheetData>
    <row r="1" spans="2:10" ht="15.75" thickBot="1" x14ac:dyDescent="0.3"/>
    <row r="2" spans="2:10" ht="16.5" x14ac:dyDescent="0.3">
      <c r="B2" s="216"/>
      <c r="C2" s="196"/>
      <c r="D2" s="196"/>
      <c r="E2" s="196"/>
      <c r="F2" s="196"/>
      <c r="G2" s="196"/>
      <c r="H2" s="196"/>
      <c r="I2" s="196"/>
      <c r="J2" s="217"/>
    </row>
    <row r="3" spans="2:10" ht="16.5" customHeight="1" x14ac:dyDescent="0.3">
      <c r="B3" s="176"/>
      <c r="C3" s="223" t="s">
        <v>11</v>
      </c>
      <c r="D3" s="411" t="s">
        <v>37</v>
      </c>
      <c r="E3" s="412"/>
      <c r="F3" s="229"/>
      <c r="G3" s="184"/>
      <c r="H3" s="184"/>
      <c r="I3" s="184"/>
      <c r="J3" s="179"/>
    </row>
    <row r="4" spans="2:10" ht="45" customHeight="1" x14ac:dyDescent="0.3">
      <c r="B4" s="176"/>
      <c r="C4" s="228" t="s">
        <v>10</v>
      </c>
      <c r="D4" s="386" t="s">
        <v>124</v>
      </c>
      <c r="E4" s="387"/>
      <c r="F4" s="276" t="s">
        <v>155</v>
      </c>
      <c r="G4" s="184"/>
      <c r="H4" s="184"/>
      <c r="I4" s="184"/>
      <c r="J4" s="179"/>
    </row>
    <row r="5" spans="2:10" ht="17.25" x14ac:dyDescent="0.3">
      <c r="B5" s="176"/>
      <c r="C5" s="223" t="s">
        <v>97</v>
      </c>
      <c r="D5" s="384">
        <v>25000000</v>
      </c>
      <c r="E5" s="385"/>
      <c r="F5" s="184"/>
      <c r="G5" s="184"/>
      <c r="H5" s="224" t="s">
        <v>89</v>
      </c>
      <c r="I5" s="197"/>
      <c r="J5" s="179"/>
    </row>
    <row r="6" spans="2:10" ht="16.5" x14ac:dyDescent="0.3">
      <c r="B6" s="176"/>
      <c r="C6" s="223" t="s">
        <v>45</v>
      </c>
      <c r="D6" s="384">
        <v>5000000</v>
      </c>
      <c r="E6" s="385"/>
      <c r="F6" s="184"/>
      <c r="G6" s="184"/>
      <c r="H6" s="199" t="s">
        <v>93</v>
      </c>
      <c r="I6" s="219">
        <v>0.2001</v>
      </c>
      <c r="J6" s="179"/>
    </row>
    <row r="7" spans="2:10" ht="16.5" customHeight="1" x14ac:dyDescent="0.3">
      <c r="B7" s="176"/>
      <c r="C7" s="223" t="s">
        <v>44</v>
      </c>
      <c r="D7" s="406">
        <f>IFERROR(D6/D5,0)</f>
        <v>0.2</v>
      </c>
      <c r="E7" s="407"/>
      <c r="F7" s="184"/>
      <c r="G7" s="184"/>
      <c r="H7" s="220" t="s">
        <v>95</v>
      </c>
      <c r="I7" s="225">
        <f>Комбо2!B25</f>
        <v>30000000</v>
      </c>
      <c r="J7" s="179"/>
    </row>
    <row r="8" spans="2:10" ht="16.5" x14ac:dyDescent="0.3">
      <c r="B8" s="176"/>
      <c r="C8" s="223" t="s">
        <v>94</v>
      </c>
      <c r="D8" s="413">
        <f>D5-D6</f>
        <v>20000000</v>
      </c>
      <c r="E8" s="414"/>
      <c r="F8" s="184"/>
      <c r="G8" s="184"/>
      <c r="H8" s="220" t="s">
        <v>117</v>
      </c>
      <c r="I8" s="226" t="s">
        <v>118</v>
      </c>
      <c r="J8" s="179"/>
    </row>
    <row r="9" spans="2:10" ht="16.5" x14ac:dyDescent="0.3">
      <c r="B9" s="176"/>
      <c r="C9" s="223" t="s">
        <v>52</v>
      </c>
      <c r="D9" s="392">
        <v>48</v>
      </c>
      <c r="E9" s="393"/>
      <c r="F9" s="185" t="str">
        <f>IF(D9&lt;Комбо2!C14,Комбо2!A12&amp;Комбо2!A14&amp;Комбо2!B14&amp;Комбо2!C14&amp;Комбо2!D14,IF(D9&gt;Комбо2!C15,Комбо2!A13&amp;Комбо2!A15&amp;Комбо2!B15&amp;Комбо2!C15&amp;Комбо2!D15,""))</f>
        <v/>
      </c>
      <c r="G9" s="184"/>
      <c r="H9" s="184"/>
      <c r="I9" s="184"/>
      <c r="J9" s="179"/>
    </row>
    <row r="10" spans="2:10" ht="16.5" x14ac:dyDescent="0.3">
      <c r="B10" s="176"/>
      <c r="C10" s="223" t="s">
        <v>96</v>
      </c>
      <c r="D10" s="409">
        <f>D9/12</f>
        <v>4</v>
      </c>
      <c r="E10" s="410"/>
      <c r="F10" s="184"/>
      <c r="G10" s="184"/>
      <c r="H10" s="184"/>
      <c r="I10" s="184"/>
      <c r="J10" s="179"/>
    </row>
    <row r="11" spans="2:10" ht="16.5" hidden="1" x14ac:dyDescent="0.3">
      <c r="B11" s="176"/>
      <c r="C11" s="223" t="s">
        <v>15</v>
      </c>
      <c r="D11" s="398" t="s">
        <v>16</v>
      </c>
      <c r="E11" s="399"/>
      <c r="F11" s="184"/>
      <c r="G11" s="184"/>
      <c r="H11" s="184"/>
      <c r="I11" s="184"/>
      <c r="J11" s="179"/>
    </row>
    <row r="12" spans="2:10" ht="16.5" hidden="1" x14ac:dyDescent="0.3">
      <c r="B12" s="176"/>
      <c r="C12" s="223" t="s">
        <v>113</v>
      </c>
      <c r="D12" s="398" t="s">
        <v>16</v>
      </c>
      <c r="E12" s="399"/>
      <c r="F12" s="184"/>
      <c r="G12" s="184"/>
      <c r="H12" s="184"/>
      <c r="I12" s="184"/>
      <c r="J12" s="179"/>
    </row>
    <row r="13" spans="2:10" ht="16.5" x14ac:dyDescent="0.3">
      <c r="B13" s="176"/>
      <c r="C13" s="223" t="s">
        <v>18</v>
      </c>
      <c r="D13" s="398" t="s">
        <v>58</v>
      </c>
      <c r="E13" s="399"/>
      <c r="F13" s="184"/>
      <c r="G13" s="184"/>
      <c r="H13" s="184"/>
      <c r="I13" s="184"/>
      <c r="J13" s="179"/>
    </row>
    <row r="14" spans="2:10" ht="16.5" hidden="1" x14ac:dyDescent="0.3">
      <c r="B14" s="176"/>
      <c r="C14" s="223" t="s">
        <v>108</v>
      </c>
      <c r="D14" s="408" t="s">
        <v>109</v>
      </c>
      <c r="E14" s="408"/>
      <c r="F14" s="184"/>
      <c r="G14" s="184"/>
      <c r="H14" s="184"/>
      <c r="I14" s="184"/>
      <c r="J14" s="179"/>
    </row>
    <row r="15" spans="2:10" ht="16.5" x14ac:dyDescent="0.3">
      <c r="B15" s="176"/>
      <c r="C15" s="223" t="s">
        <v>101</v>
      </c>
      <c r="D15" s="413">
        <f>MIN(Комбо2!B26,D8)</f>
        <v>12000000</v>
      </c>
      <c r="E15" s="414"/>
      <c r="F15" s="184"/>
      <c r="G15" s="184"/>
      <c r="H15" s="184"/>
      <c r="I15" s="184"/>
      <c r="J15" s="179"/>
    </row>
    <row r="16" spans="2:10" ht="16.5" x14ac:dyDescent="0.3">
      <c r="B16" s="176"/>
      <c r="C16" s="223" t="s">
        <v>102</v>
      </c>
      <c r="D16" s="413">
        <f>D8-D15</f>
        <v>8000000</v>
      </c>
      <c r="E16" s="414"/>
      <c r="F16" s="255" t="str">
        <f>IF(D16&lt;500000,"По условиям программы сумма не может быть меньше 500 тыс.руб.","")</f>
        <v/>
      </c>
      <c r="G16" s="184"/>
      <c r="H16" s="184"/>
      <c r="I16" s="184"/>
      <c r="J16" s="179"/>
    </row>
    <row r="17" spans="2:10" ht="16.5" x14ac:dyDescent="0.3">
      <c r="B17" s="176"/>
      <c r="C17" s="223" t="s">
        <v>104</v>
      </c>
      <c r="D17" s="406">
        <f>Комбо2!E27</f>
        <v>0.06</v>
      </c>
      <c r="E17" s="407"/>
      <c r="F17" s="184"/>
      <c r="G17" s="184"/>
      <c r="H17" s="184"/>
      <c r="I17" s="184"/>
      <c r="J17" s="179"/>
    </row>
    <row r="18" spans="2:10" ht="16.5" x14ac:dyDescent="0.3">
      <c r="B18" s="176"/>
      <c r="C18" s="223" t="s">
        <v>103</v>
      </c>
      <c r="D18" s="406">
        <f>Комбо2!E28</f>
        <v>0.2</v>
      </c>
      <c r="E18" s="407"/>
      <c r="F18" s="184"/>
      <c r="G18" s="184"/>
      <c r="H18" s="184"/>
      <c r="I18" s="184"/>
      <c r="J18" s="179"/>
    </row>
    <row r="19" spans="2:10" ht="16.5" x14ac:dyDescent="0.3">
      <c r="B19" s="176"/>
      <c r="C19" s="223" t="s">
        <v>105</v>
      </c>
      <c r="D19" s="406">
        <f>IFERROR(SUMPRODUCT(D17:E18,D15:E16)/D8,0)</f>
        <v>0.11600000000000001</v>
      </c>
      <c r="E19" s="407"/>
      <c r="F19" s="221"/>
      <c r="G19" s="198"/>
      <c r="H19" s="195" t="s">
        <v>9</v>
      </c>
      <c r="I19" s="184"/>
      <c r="J19" s="179"/>
    </row>
    <row r="20" spans="2:10" ht="16.5" x14ac:dyDescent="0.3">
      <c r="B20" s="176"/>
      <c r="C20" s="218"/>
      <c r="D20" s="222"/>
      <c r="E20" s="222"/>
      <c r="F20" s="221"/>
      <c r="G20" s="184"/>
      <c r="H20" s="184"/>
      <c r="I20" s="184"/>
      <c r="J20" s="179"/>
    </row>
    <row r="21" spans="2:10" ht="27" hidden="1" customHeight="1" x14ac:dyDescent="0.25">
      <c r="B21" s="403" t="s">
        <v>123</v>
      </c>
      <c r="C21" s="404"/>
      <c r="D21" s="404"/>
      <c r="E21" s="404"/>
      <c r="F21" s="404"/>
      <c r="G21" s="404"/>
      <c r="H21" s="404"/>
      <c r="I21" s="404"/>
      <c r="J21" s="405"/>
    </row>
    <row r="22" spans="2:10" ht="15.75" thickBot="1" x14ac:dyDescent="0.3">
      <c r="B22" s="71"/>
      <c r="C22" s="149"/>
      <c r="D22" s="72"/>
      <c r="E22" s="72"/>
      <c r="F22" s="72"/>
      <c r="G22" s="72"/>
      <c r="H22" s="72"/>
      <c r="I22" s="72"/>
      <c r="J22" s="73"/>
    </row>
    <row r="23" spans="2:10" x14ac:dyDescent="0.25">
      <c r="B23" s="230"/>
      <c r="C23" s="231"/>
      <c r="D23" s="231"/>
      <c r="E23" s="231"/>
      <c r="F23" s="231"/>
      <c r="G23" s="231"/>
      <c r="H23" s="231"/>
      <c r="I23" s="231"/>
      <c r="J23" s="232"/>
    </row>
    <row r="24" spans="2:10" ht="18.75" x14ac:dyDescent="0.3">
      <c r="B24" s="233"/>
      <c r="C24" s="234" t="s">
        <v>126</v>
      </c>
      <c r="D24" s="245" t="s">
        <v>127</v>
      </c>
      <c r="E24" s="245" t="s">
        <v>128</v>
      </c>
      <c r="F24" s="245" t="s">
        <v>129</v>
      </c>
      <c r="G24" s="245" t="s">
        <v>132</v>
      </c>
      <c r="H24" s="245" t="s">
        <v>135</v>
      </c>
      <c r="I24" s="23"/>
      <c r="J24" s="235"/>
    </row>
    <row r="25" spans="2:10" x14ac:dyDescent="0.25">
      <c r="B25" s="236"/>
      <c r="C25" s="23"/>
      <c r="D25" s="246"/>
      <c r="E25" s="246" t="s">
        <v>139</v>
      </c>
      <c r="F25" s="246" t="s">
        <v>130</v>
      </c>
      <c r="G25" s="246" t="s">
        <v>133</v>
      </c>
      <c r="H25" s="246" t="s">
        <v>136</v>
      </c>
      <c r="I25" s="23"/>
      <c r="J25" s="235"/>
    </row>
    <row r="26" spans="2:10" x14ac:dyDescent="0.25">
      <c r="B26" s="236"/>
      <c r="C26" s="23"/>
      <c r="D26" s="247"/>
      <c r="E26" s="247" t="s">
        <v>138</v>
      </c>
      <c r="F26" s="247" t="s">
        <v>131</v>
      </c>
      <c r="G26" s="247" t="s">
        <v>134</v>
      </c>
      <c r="H26" s="247" t="s">
        <v>137</v>
      </c>
      <c r="I26" s="23"/>
      <c r="J26" s="235"/>
    </row>
    <row r="27" spans="2:10" x14ac:dyDescent="0.25">
      <c r="B27" s="236"/>
      <c r="C27" s="23"/>
      <c r="D27" s="23"/>
      <c r="E27" s="238">
        <f>D8</f>
        <v>20000000</v>
      </c>
      <c r="F27" s="238"/>
      <c r="G27" s="238"/>
      <c r="H27" s="237"/>
      <c r="I27" s="23"/>
      <c r="J27" s="235"/>
    </row>
    <row r="28" spans="2:10" x14ac:dyDescent="0.25">
      <c r="B28" s="236"/>
      <c r="C28" s="23"/>
      <c r="D28" s="23">
        <f>D27+1</f>
        <v>1</v>
      </c>
      <c r="E28" s="238">
        <f>MAX(E27-G28,0)</f>
        <v>19670575.991399072</v>
      </c>
      <c r="F28" s="238">
        <f>MAX(E27*$D$19/12,0)</f>
        <v>193333.33333333334</v>
      </c>
      <c r="G28" s="238">
        <f>H28-F28</f>
        <v>329424.00860092836</v>
      </c>
      <c r="H28" s="237">
        <f t="shared" ref="H28:H91" si="0">IF(D28&gt;$D$9,0,E27*($D$19/12/(1-(1+$D$19/12)^(-($D$9-D27)))))</f>
        <v>522757.34193426173</v>
      </c>
      <c r="I28" s="239"/>
      <c r="J28" s="235"/>
    </row>
    <row r="29" spans="2:10" x14ac:dyDescent="0.25">
      <c r="B29" s="236"/>
      <c r="C29" s="23"/>
      <c r="D29" s="23">
        <f t="shared" ref="D29:D46" si="1">D28+1</f>
        <v>2</v>
      </c>
      <c r="E29" s="238">
        <f t="shared" ref="E29:E92" si="2">MAX(E28-G29,0)</f>
        <v>19337967.550715003</v>
      </c>
      <c r="F29" s="238">
        <f t="shared" ref="F29:F92" si="3">MAX(E28*$D$19/12,0)</f>
        <v>190148.90125019103</v>
      </c>
      <c r="G29" s="238">
        <f t="shared" ref="G29:G92" si="4">H29-F29</f>
        <v>332608.44068407046</v>
      </c>
      <c r="H29" s="237">
        <f t="shared" si="0"/>
        <v>522757.34193426149</v>
      </c>
      <c r="I29" s="23"/>
      <c r="J29" s="235"/>
    </row>
    <row r="30" spans="2:10" x14ac:dyDescent="0.25">
      <c r="B30" s="236"/>
      <c r="C30" s="23"/>
      <c r="D30" s="23">
        <f t="shared" si="1"/>
        <v>3</v>
      </c>
      <c r="E30" s="238">
        <f t="shared" si="2"/>
        <v>19002143.895104319</v>
      </c>
      <c r="F30" s="238">
        <f t="shared" si="3"/>
        <v>186933.68632357838</v>
      </c>
      <c r="G30" s="238">
        <f t="shared" si="4"/>
        <v>335823.65561068326</v>
      </c>
      <c r="H30" s="237">
        <f t="shared" si="0"/>
        <v>522757.34193426167</v>
      </c>
      <c r="I30" s="23"/>
      <c r="J30" s="235"/>
    </row>
    <row r="31" spans="2:10" x14ac:dyDescent="0.25">
      <c r="B31" s="236"/>
      <c r="C31" s="23"/>
      <c r="D31" s="23">
        <f t="shared" si="1"/>
        <v>4</v>
      </c>
      <c r="E31" s="238">
        <f t="shared" si="2"/>
        <v>18663073.944156066</v>
      </c>
      <c r="F31" s="238">
        <f t="shared" si="3"/>
        <v>183687.39098600842</v>
      </c>
      <c r="G31" s="238">
        <f t="shared" si="4"/>
        <v>339069.95094825316</v>
      </c>
      <c r="H31" s="237">
        <f t="shared" si="0"/>
        <v>522757.34193426161</v>
      </c>
      <c r="I31" s="23"/>
      <c r="J31" s="235"/>
    </row>
    <row r="32" spans="2:10" x14ac:dyDescent="0.25">
      <c r="B32" s="236"/>
      <c r="C32" s="23"/>
      <c r="D32" s="23">
        <f t="shared" si="1"/>
        <v>5</v>
      </c>
      <c r="E32" s="238">
        <f t="shared" si="2"/>
        <v>18320726.317015313</v>
      </c>
      <c r="F32" s="238">
        <f t="shared" si="3"/>
        <v>180409.71479350864</v>
      </c>
      <c r="G32" s="238">
        <f t="shared" si="4"/>
        <v>342347.62714075315</v>
      </c>
      <c r="H32" s="237">
        <f t="shared" si="0"/>
        <v>522757.34193426179</v>
      </c>
      <c r="I32" s="23"/>
      <c r="J32" s="235"/>
    </row>
    <row r="33" spans="2:10" x14ac:dyDescent="0.25">
      <c r="B33" s="236"/>
      <c r="C33" s="23"/>
      <c r="D33" s="23">
        <f t="shared" si="1"/>
        <v>6</v>
      </c>
      <c r="E33" s="238">
        <f t="shared" si="2"/>
        <v>17975069.329478867</v>
      </c>
      <c r="F33" s="238">
        <f t="shared" si="3"/>
        <v>177100.35439781469</v>
      </c>
      <c r="G33" s="238">
        <f t="shared" si="4"/>
        <v>345656.98753644712</v>
      </c>
      <c r="H33" s="237">
        <f t="shared" si="0"/>
        <v>522757.34193426184</v>
      </c>
      <c r="I33" s="23"/>
      <c r="J33" s="235"/>
    </row>
    <row r="34" spans="2:10" x14ac:dyDescent="0.25">
      <c r="B34" s="236"/>
      <c r="C34" s="23"/>
      <c r="D34" s="23">
        <f t="shared" si="1"/>
        <v>7</v>
      </c>
      <c r="E34" s="238">
        <f t="shared" si="2"/>
        <v>17626070.991062902</v>
      </c>
      <c r="F34" s="238">
        <f t="shared" si="3"/>
        <v>173759.00351829574</v>
      </c>
      <c r="G34" s="238">
        <f t="shared" si="4"/>
        <v>348998.33841596602</v>
      </c>
      <c r="H34" s="237">
        <f t="shared" si="0"/>
        <v>522757.34193426173</v>
      </c>
      <c r="I34" s="23"/>
      <c r="J34" s="235"/>
    </row>
    <row r="35" spans="2:10" x14ac:dyDescent="0.25">
      <c r="B35" s="236"/>
      <c r="C35" s="23"/>
      <c r="D35" s="23">
        <f t="shared" si="1"/>
        <v>8</v>
      </c>
      <c r="E35" s="238">
        <f t="shared" si="2"/>
        <v>17273699.002042249</v>
      </c>
      <c r="F35" s="238">
        <f t="shared" si="3"/>
        <v>170385.35291360805</v>
      </c>
      <c r="G35" s="238">
        <f t="shared" si="4"/>
        <v>352371.98902065412</v>
      </c>
      <c r="H35" s="237">
        <f t="shared" si="0"/>
        <v>522757.34193426219</v>
      </c>
      <c r="I35" s="23"/>
      <c r="J35" s="235"/>
    </row>
    <row r="36" spans="2:10" x14ac:dyDescent="0.25">
      <c r="B36" s="236"/>
      <c r="C36" s="23"/>
      <c r="D36" s="23">
        <f t="shared" si="1"/>
        <v>9</v>
      </c>
      <c r="E36" s="238">
        <f t="shared" si="2"/>
        <v>16917920.750461061</v>
      </c>
      <c r="F36" s="238">
        <f t="shared" si="3"/>
        <v>166979.09035307509</v>
      </c>
      <c r="G36" s="238">
        <f t="shared" si="4"/>
        <v>355778.25158118701</v>
      </c>
      <c r="H36" s="237">
        <f t="shared" si="0"/>
        <v>522757.34193426213</v>
      </c>
      <c r="I36" s="23"/>
      <c r="J36" s="235"/>
    </row>
    <row r="37" spans="2:10" x14ac:dyDescent="0.25">
      <c r="B37" s="236"/>
      <c r="C37" s="23"/>
      <c r="D37" s="23">
        <f t="shared" si="1"/>
        <v>10</v>
      </c>
      <c r="E37" s="238">
        <f t="shared" si="2"/>
        <v>16558703.309114588</v>
      </c>
      <c r="F37" s="238">
        <f t="shared" si="3"/>
        <v>163539.90058779027</v>
      </c>
      <c r="G37" s="238">
        <f t="shared" si="4"/>
        <v>359217.44134647166</v>
      </c>
      <c r="H37" s="237">
        <f t="shared" si="0"/>
        <v>522757.34193426196</v>
      </c>
      <c r="I37" s="23"/>
      <c r="J37" s="235"/>
    </row>
    <row r="38" spans="2:10" x14ac:dyDescent="0.25">
      <c r="B38" s="236"/>
      <c r="C38" s="23"/>
      <c r="D38" s="23">
        <f t="shared" si="1"/>
        <v>11</v>
      </c>
      <c r="E38" s="238">
        <f t="shared" si="2"/>
        <v>16196013.432501767</v>
      </c>
      <c r="F38" s="238">
        <f t="shared" si="3"/>
        <v>160067.46532144104</v>
      </c>
      <c r="G38" s="238">
        <f t="shared" si="4"/>
        <v>362689.87661282113</v>
      </c>
      <c r="H38" s="237">
        <f t="shared" si="0"/>
        <v>522757.34193426219</v>
      </c>
      <c r="I38" s="23"/>
      <c r="J38" s="235"/>
    </row>
    <row r="39" spans="2:10" x14ac:dyDescent="0.25">
      <c r="B39" s="236"/>
      <c r="C39" s="23"/>
      <c r="D39" s="23">
        <f t="shared" si="1"/>
        <v>12</v>
      </c>
      <c r="E39" s="238">
        <f t="shared" si="2"/>
        <v>15829817.553748354</v>
      </c>
      <c r="F39" s="238">
        <f t="shared" si="3"/>
        <v>156561.46318085041</v>
      </c>
      <c r="G39" s="238">
        <f t="shared" si="4"/>
        <v>366195.8787534117</v>
      </c>
      <c r="H39" s="237">
        <f t="shared" si="0"/>
        <v>522757.34193426213</v>
      </c>
      <c r="I39" s="23"/>
      <c r="J39" s="235"/>
    </row>
    <row r="40" spans="2:10" x14ac:dyDescent="0.25">
      <c r="B40" s="236"/>
      <c r="C40" s="23"/>
      <c r="D40" s="23">
        <f t="shared" si="1"/>
        <v>13</v>
      </c>
      <c r="E40" s="238">
        <f t="shared" si="2"/>
        <v>15460081.781500326</v>
      </c>
      <c r="F40" s="238">
        <f t="shared" si="3"/>
        <v>153021.56968623408</v>
      </c>
      <c r="G40" s="238">
        <f t="shared" si="4"/>
        <v>369735.77224802796</v>
      </c>
      <c r="H40" s="237">
        <f t="shared" si="0"/>
        <v>522757.34193426208</v>
      </c>
      <c r="I40" s="23"/>
      <c r="J40" s="235"/>
    </row>
    <row r="41" spans="2:10" x14ac:dyDescent="0.25">
      <c r="B41" s="236"/>
      <c r="C41" s="23"/>
      <c r="D41" s="23">
        <f t="shared" si="1"/>
        <v>14</v>
      </c>
      <c r="E41" s="238">
        <f t="shared" si="2"/>
        <v>15086771.896787234</v>
      </c>
      <c r="F41" s="238">
        <f t="shared" si="3"/>
        <v>149447.45722116984</v>
      </c>
      <c r="G41" s="238">
        <f t="shared" si="4"/>
        <v>373309.88471309229</v>
      </c>
      <c r="H41" s="237">
        <f t="shared" si="0"/>
        <v>522757.34193426213</v>
      </c>
      <c r="I41" s="23"/>
      <c r="J41" s="235"/>
    </row>
    <row r="42" spans="2:10" x14ac:dyDescent="0.25">
      <c r="B42" s="236"/>
      <c r="C42" s="23"/>
      <c r="D42" s="23">
        <f t="shared" si="1"/>
        <v>15</v>
      </c>
      <c r="E42" s="238">
        <f t="shared" si="2"/>
        <v>14709853.349855248</v>
      </c>
      <c r="F42" s="238">
        <f t="shared" si="3"/>
        <v>145838.7950022766</v>
      </c>
      <c r="G42" s="238">
        <f t="shared" si="4"/>
        <v>376918.54693198553</v>
      </c>
      <c r="H42" s="237">
        <f t="shared" si="0"/>
        <v>522757.34193426213</v>
      </c>
      <c r="I42" s="23"/>
      <c r="J42" s="235"/>
    </row>
    <row r="43" spans="2:10" x14ac:dyDescent="0.25">
      <c r="B43" s="236"/>
      <c r="C43" s="23"/>
      <c r="D43" s="23">
        <f t="shared" si="1"/>
        <v>16</v>
      </c>
      <c r="E43" s="238">
        <f t="shared" si="2"/>
        <v>14329291.256969586</v>
      </c>
      <c r="F43" s="238">
        <f t="shared" si="3"/>
        <v>142195.24904860073</v>
      </c>
      <c r="G43" s="238">
        <f t="shared" si="4"/>
        <v>380562.09288566158</v>
      </c>
      <c r="H43" s="237">
        <f t="shared" si="0"/>
        <v>522757.34193426231</v>
      </c>
      <c r="I43" s="23"/>
      <c r="J43" s="235"/>
    </row>
    <row r="44" spans="2:10" x14ac:dyDescent="0.25">
      <c r="B44" s="236"/>
      <c r="C44" s="23"/>
      <c r="D44" s="23">
        <f t="shared" si="1"/>
        <v>17</v>
      </c>
      <c r="E44" s="238">
        <f t="shared" si="2"/>
        <v>13945050.39718603</v>
      </c>
      <c r="F44" s="238">
        <f t="shared" si="3"/>
        <v>138516.482150706</v>
      </c>
      <c r="G44" s="238">
        <f t="shared" si="4"/>
        <v>384240.85978355637</v>
      </c>
      <c r="H44" s="237">
        <f t="shared" si="0"/>
        <v>522757.34193426237</v>
      </c>
      <c r="I44" s="23"/>
      <c r="J44" s="235"/>
    </row>
    <row r="45" spans="2:10" x14ac:dyDescent="0.25">
      <c r="B45" s="236"/>
      <c r="C45" s="23"/>
      <c r="D45" s="23">
        <f t="shared" si="1"/>
        <v>18</v>
      </c>
      <c r="E45" s="238">
        <f t="shared" si="2"/>
        <v>13557095.209091233</v>
      </c>
      <c r="F45" s="238">
        <f t="shared" si="3"/>
        <v>134802.15383946497</v>
      </c>
      <c r="G45" s="238">
        <f t="shared" si="4"/>
        <v>387955.18809479719</v>
      </c>
      <c r="H45" s="237">
        <f t="shared" si="0"/>
        <v>522757.34193426213</v>
      </c>
      <c r="I45" s="23"/>
      <c r="J45" s="235"/>
    </row>
    <row r="46" spans="2:10" x14ac:dyDescent="0.25">
      <c r="B46" s="236"/>
      <c r="C46" s="23"/>
      <c r="D46" s="23">
        <f t="shared" si="1"/>
        <v>19</v>
      </c>
      <c r="E46" s="238">
        <f t="shared" si="2"/>
        <v>13165389.78751152</v>
      </c>
      <c r="F46" s="238">
        <f t="shared" si="3"/>
        <v>131051.92035454859</v>
      </c>
      <c r="G46" s="238">
        <f t="shared" si="4"/>
        <v>391705.42157971364</v>
      </c>
      <c r="H46" s="237">
        <f t="shared" si="0"/>
        <v>522757.34193426225</v>
      </c>
      <c r="I46" s="23"/>
      <c r="J46" s="235"/>
    </row>
    <row r="47" spans="2:10" x14ac:dyDescent="0.25">
      <c r="B47" s="236"/>
      <c r="C47" s="23"/>
      <c r="D47" s="23">
        <f t="shared" ref="D47:D110" si="5">D46+1</f>
        <v>20</v>
      </c>
      <c r="E47" s="238">
        <f t="shared" si="2"/>
        <v>12769897.88018987</v>
      </c>
      <c r="F47" s="238">
        <f t="shared" si="3"/>
        <v>127265.43461261137</v>
      </c>
      <c r="G47" s="238">
        <f t="shared" si="4"/>
        <v>395491.90732165088</v>
      </c>
      <c r="H47" s="237">
        <f t="shared" si="0"/>
        <v>522757.34193426225</v>
      </c>
      <c r="I47" s="23"/>
      <c r="J47" s="235"/>
    </row>
    <row r="48" spans="2:10" x14ac:dyDescent="0.25">
      <c r="B48" s="236"/>
      <c r="C48" s="23"/>
      <c r="D48" s="23">
        <f t="shared" si="5"/>
        <v>21</v>
      </c>
      <c r="E48" s="238">
        <f t="shared" si="2"/>
        <v>12370582.884430775</v>
      </c>
      <c r="F48" s="238">
        <f t="shared" si="3"/>
        <v>123442.34617516874</v>
      </c>
      <c r="G48" s="238">
        <f t="shared" si="4"/>
        <v>399314.99575909384</v>
      </c>
      <c r="H48" s="237">
        <f t="shared" si="0"/>
        <v>522757.3419342626</v>
      </c>
      <c r="I48" s="23"/>
      <c r="J48" s="235"/>
    </row>
    <row r="49" spans="2:10" x14ac:dyDescent="0.25">
      <c r="B49" s="236"/>
      <c r="C49" s="23"/>
      <c r="D49" s="23">
        <f t="shared" si="5"/>
        <v>22</v>
      </c>
      <c r="E49" s="238">
        <f t="shared" si="2"/>
        <v>11967407.843712678</v>
      </c>
      <c r="F49" s="238">
        <f t="shared" si="3"/>
        <v>119582.30121616418</v>
      </c>
      <c r="G49" s="238">
        <f t="shared" si="4"/>
        <v>403175.040718098</v>
      </c>
      <c r="H49" s="237">
        <f t="shared" si="0"/>
        <v>522757.34193426219</v>
      </c>
      <c r="I49" s="23"/>
      <c r="J49" s="235"/>
    </row>
    <row r="50" spans="2:10" x14ac:dyDescent="0.25">
      <c r="B50" s="236"/>
      <c r="C50" s="23"/>
      <c r="D50" s="23">
        <f t="shared" si="5"/>
        <v>23</v>
      </c>
      <c r="E50" s="238">
        <f t="shared" si="2"/>
        <v>11560335.444267638</v>
      </c>
      <c r="F50" s="238">
        <f t="shared" si="3"/>
        <v>115684.94248922257</v>
      </c>
      <c r="G50" s="238">
        <f t="shared" si="4"/>
        <v>407072.39944503963</v>
      </c>
      <c r="H50" s="237">
        <f t="shared" si="0"/>
        <v>522757.34193426219</v>
      </c>
      <c r="I50" s="23"/>
      <c r="J50" s="235"/>
    </row>
    <row r="51" spans="2:10" x14ac:dyDescent="0.25">
      <c r="B51" s="236"/>
      <c r="C51" s="23"/>
      <c r="D51" s="23">
        <f t="shared" si="5"/>
        <v>24</v>
      </c>
      <c r="E51" s="238">
        <f t="shared" si="2"/>
        <v>11149328.011627963</v>
      </c>
      <c r="F51" s="238">
        <f t="shared" si="3"/>
        <v>111749.90929458717</v>
      </c>
      <c r="G51" s="238">
        <f t="shared" si="4"/>
        <v>411007.43263967556</v>
      </c>
      <c r="H51" s="237">
        <f t="shared" si="0"/>
        <v>522757.34193426272</v>
      </c>
      <c r="I51" s="23"/>
      <c r="J51" s="235"/>
    </row>
    <row r="52" spans="2:10" x14ac:dyDescent="0.25">
      <c r="B52" s="236"/>
      <c r="C52" s="23"/>
      <c r="D52" s="23">
        <f t="shared" si="5"/>
        <v>25</v>
      </c>
      <c r="E52" s="238">
        <f t="shared" si="2"/>
        <v>10734347.507139437</v>
      </c>
      <c r="F52" s="238">
        <f t="shared" si="3"/>
        <v>107776.83744573698</v>
      </c>
      <c r="G52" s="238">
        <f t="shared" si="4"/>
        <v>414980.50448852591</v>
      </c>
      <c r="H52" s="237">
        <f t="shared" si="0"/>
        <v>522757.34193426289</v>
      </c>
      <c r="I52" s="23"/>
      <c r="J52" s="235"/>
    </row>
    <row r="53" spans="2:10" x14ac:dyDescent="0.25">
      <c r="B53" s="236"/>
      <c r="C53" s="23"/>
      <c r="D53" s="23">
        <f t="shared" si="5"/>
        <v>26</v>
      </c>
      <c r="E53" s="238">
        <f t="shared" si="2"/>
        <v>10315355.524440855</v>
      </c>
      <c r="F53" s="238">
        <f t="shared" si="3"/>
        <v>103765.35923568123</v>
      </c>
      <c r="G53" s="238">
        <f t="shared" si="4"/>
        <v>418991.98269858124</v>
      </c>
      <c r="H53" s="237">
        <f t="shared" si="0"/>
        <v>522757.34193426248</v>
      </c>
      <c r="I53" s="23"/>
      <c r="J53" s="235"/>
    </row>
    <row r="54" spans="2:10" x14ac:dyDescent="0.25">
      <c r="B54" s="236"/>
      <c r="C54" s="23"/>
      <c r="D54" s="23">
        <f t="shared" si="5"/>
        <v>27</v>
      </c>
      <c r="E54" s="238">
        <f t="shared" si="2"/>
        <v>9892313.2859095205</v>
      </c>
      <c r="F54" s="238">
        <f t="shared" si="3"/>
        <v>99715.103402928275</v>
      </c>
      <c r="G54" s="238">
        <f t="shared" si="4"/>
        <v>423042.23853133456</v>
      </c>
      <c r="H54" s="237">
        <f t="shared" si="0"/>
        <v>522757.34193426283</v>
      </c>
      <c r="I54" s="23"/>
      <c r="J54" s="235"/>
    </row>
    <row r="55" spans="2:10" x14ac:dyDescent="0.25">
      <c r="B55" s="236"/>
      <c r="C55" s="23"/>
      <c r="D55" s="23">
        <f t="shared" si="5"/>
        <v>28</v>
      </c>
      <c r="E55" s="238">
        <f t="shared" si="2"/>
        <v>9465181.6390723828</v>
      </c>
      <c r="F55" s="238">
        <f t="shared" si="3"/>
        <v>95625.695097125368</v>
      </c>
      <c r="G55" s="238">
        <f t="shared" si="4"/>
        <v>427131.64683713758</v>
      </c>
      <c r="H55" s="237">
        <f t="shared" si="0"/>
        <v>522757.34193426295</v>
      </c>
      <c r="I55" s="23"/>
      <c r="J55" s="235"/>
    </row>
    <row r="56" spans="2:10" x14ac:dyDescent="0.25">
      <c r="B56" s="236"/>
      <c r="C56" s="23"/>
      <c r="D56" s="23">
        <f t="shared" si="5"/>
        <v>29</v>
      </c>
      <c r="E56" s="238">
        <f t="shared" si="2"/>
        <v>9033921.0529824868</v>
      </c>
      <c r="F56" s="238">
        <f t="shared" si="3"/>
        <v>91496.755844366373</v>
      </c>
      <c r="G56" s="238">
        <f t="shared" si="4"/>
        <v>431260.58608989645</v>
      </c>
      <c r="H56" s="237">
        <f t="shared" si="0"/>
        <v>522757.34193426283</v>
      </c>
      <c r="I56" s="23"/>
      <c r="J56" s="235"/>
    </row>
    <row r="57" spans="2:10" x14ac:dyDescent="0.25">
      <c r="B57" s="236"/>
      <c r="C57" s="23"/>
      <c r="D57" s="23">
        <f t="shared" si="5"/>
        <v>30</v>
      </c>
      <c r="E57" s="238">
        <f t="shared" si="2"/>
        <v>8598491.614560388</v>
      </c>
      <c r="F57" s="238">
        <f t="shared" si="3"/>
        <v>87327.903512164048</v>
      </c>
      <c r="G57" s="238">
        <f t="shared" si="4"/>
        <v>435429.43842209911</v>
      </c>
      <c r="H57" s="237">
        <f t="shared" si="0"/>
        <v>522757.34193426318</v>
      </c>
      <c r="I57" s="23"/>
      <c r="J57" s="235"/>
    </row>
    <row r="58" spans="2:10" x14ac:dyDescent="0.25">
      <c r="B58" s="236"/>
      <c r="C58" s="23"/>
      <c r="D58" s="23">
        <f t="shared" si="5"/>
        <v>31</v>
      </c>
      <c r="E58" s="238">
        <f t="shared" si="2"/>
        <v>8158853.0249002092</v>
      </c>
      <c r="F58" s="238">
        <f t="shared" si="3"/>
        <v>83118.752274083759</v>
      </c>
      <c r="G58" s="238">
        <f t="shared" si="4"/>
        <v>439638.58966017922</v>
      </c>
      <c r="H58" s="237">
        <f t="shared" si="0"/>
        <v>522757.34193426301</v>
      </c>
      <c r="I58" s="23"/>
      <c r="J58" s="235"/>
    </row>
    <row r="59" spans="2:10" x14ac:dyDescent="0.25">
      <c r="B59" s="236"/>
      <c r="C59" s="23"/>
      <c r="D59" s="23">
        <f t="shared" si="5"/>
        <v>32</v>
      </c>
      <c r="E59" s="238">
        <f t="shared" si="2"/>
        <v>7714964.5955399806</v>
      </c>
      <c r="F59" s="238">
        <f t="shared" si="3"/>
        <v>78868.912574035363</v>
      </c>
      <c r="G59" s="238">
        <f t="shared" si="4"/>
        <v>443888.4293602283</v>
      </c>
      <c r="H59" s="237">
        <f t="shared" si="0"/>
        <v>522757.34193426365</v>
      </c>
      <c r="I59" s="23"/>
      <c r="J59" s="235"/>
    </row>
    <row r="60" spans="2:10" x14ac:dyDescent="0.25">
      <c r="B60" s="236"/>
      <c r="C60" s="23"/>
      <c r="D60" s="23">
        <f t="shared" si="5"/>
        <v>33</v>
      </c>
      <c r="E60" s="238">
        <f t="shared" si="2"/>
        <v>7266785.2446959373</v>
      </c>
      <c r="F60" s="238">
        <f t="shared" si="3"/>
        <v>74577.991090219817</v>
      </c>
      <c r="G60" s="238">
        <f t="shared" si="4"/>
        <v>448179.35084404377</v>
      </c>
      <c r="H60" s="237">
        <f t="shared" si="0"/>
        <v>522757.34193426359</v>
      </c>
      <c r="I60" s="23"/>
      <c r="J60" s="235"/>
    </row>
    <row r="61" spans="2:10" x14ac:dyDescent="0.25">
      <c r="B61" s="236"/>
      <c r="C61" s="23"/>
      <c r="D61" s="23">
        <f t="shared" si="5"/>
        <v>34</v>
      </c>
      <c r="E61" s="238">
        <f t="shared" si="2"/>
        <v>6814273.4934604019</v>
      </c>
      <c r="F61" s="238">
        <f t="shared" si="3"/>
        <v>70245.590698727392</v>
      </c>
      <c r="G61" s="238">
        <f t="shared" si="4"/>
        <v>452511.7512355356</v>
      </c>
      <c r="H61" s="237">
        <f t="shared" si="0"/>
        <v>522757.34193426301</v>
      </c>
      <c r="I61" s="23"/>
      <c r="J61" s="235"/>
    </row>
    <row r="62" spans="2:10" x14ac:dyDescent="0.25">
      <c r="B62" s="236"/>
      <c r="C62" s="23"/>
      <c r="D62" s="23">
        <f t="shared" si="5"/>
        <v>35</v>
      </c>
      <c r="E62" s="238">
        <f t="shared" si="2"/>
        <v>6357387.4619629225</v>
      </c>
      <c r="F62" s="238">
        <f t="shared" si="3"/>
        <v>65871.310436783897</v>
      </c>
      <c r="G62" s="238">
        <f t="shared" si="4"/>
        <v>456886.03149747918</v>
      </c>
      <c r="H62" s="237">
        <f t="shared" si="0"/>
        <v>522757.34193426307</v>
      </c>
      <c r="I62" s="23"/>
      <c r="J62" s="235"/>
    </row>
    <row r="63" spans="2:10" x14ac:dyDescent="0.25">
      <c r="B63" s="236"/>
      <c r="C63" s="23"/>
      <c r="D63" s="23">
        <f t="shared" si="5"/>
        <v>36</v>
      </c>
      <c r="E63" s="238">
        <f t="shared" si="2"/>
        <v>5896084.8654943006</v>
      </c>
      <c r="F63" s="238">
        <f t="shared" si="3"/>
        <v>61454.745465641587</v>
      </c>
      <c r="G63" s="238">
        <f t="shared" si="4"/>
        <v>461302.59646862186</v>
      </c>
      <c r="H63" s="237">
        <f t="shared" si="0"/>
        <v>522757.34193426347</v>
      </c>
      <c r="I63" s="23"/>
      <c r="J63" s="235"/>
    </row>
    <row r="64" spans="2:10" x14ac:dyDescent="0.25">
      <c r="B64" s="236"/>
      <c r="C64" s="23"/>
      <c r="D64" s="23">
        <f t="shared" si="5"/>
        <v>37</v>
      </c>
      <c r="E64" s="238">
        <f t="shared" si="2"/>
        <v>5430323.0105931479</v>
      </c>
      <c r="F64" s="238">
        <f t="shared" si="3"/>
        <v>56995.487033111574</v>
      </c>
      <c r="G64" s="238">
        <f t="shared" si="4"/>
        <v>465761.8549011526</v>
      </c>
      <c r="H64" s="237">
        <f t="shared" si="0"/>
        <v>522757.34193426417</v>
      </c>
      <c r="I64" s="23"/>
      <c r="J64" s="235"/>
    </row>
    <row r="65" spans="2:10" x14ac:dyDescent="0.25">
      <c r="B65" s="236"/>
      <c r="C65" s="23"/>
      <c r="D65" s="23">
        <f t="shared" si="5"/>
        <v>38</v>
      </c>
      <c r="E65" s="238">
        <f t="shared" si="2"/>
        <v>4960058.7910946179</v>
      </c>
      <c r="F65" s="238">
        <f t="shared" si="3"/>
        <v>52493.122435733763</v>
      </c>
      <c r="G65" s="238">
        <f t="shared" si="4"/>
        <v>470264.2194985298</v>
      </c>
      <c r="H65" s="237">
        <f t="shared" si="0"/>
        <v>522757.34193426359</v>
      </c>
      <c r="I65" s="23"/>
      <c r="J65" s="235"/>
    </row>
    <row r="66" spans="2:10" x14ac:dyDescent="0.25">
      <c r="B66" s="236"/>
      <c r="C66" s="23"/>
      <c r="D66" s="23">
        <f t="shared" si="5"/>
        <v>39</v>
      </c>
      <c r="E66" s="238">
        <f t="shared" si="2"/>
        <v>4485248.6841409355</v>
      </c>
      <c r="F66" s="238">
        <f t="shared" si="3"/>
        <v>47947.234980581306</v>
      </c>
      <c r="G66" s="238">
        <f t="shared" si="4"/>
        <v>474810.10695368244</v>
      </c>
      <c r="H66" s="237">
        <f t="shared" si="0"/>
        <v>522757.34193426376</v>
      </c>
      <c r="I66" s="23"/>
      <c r="J66" s="235"/>
    </row>
    <row r="67" spans="2:10" x14ac:dyDescent="0.25">
      <c r="B67" s="236"/>
      <c r="C67" s="23"/>
      <c r="D67" s="23">
        <f t="shared" si="5"/>
        <v>40</v>
      </c>
      <c r="E67" s="238">
        <f t="shared" si="2"/>
        <v>4005848.7461533668</v>
      </c>
      <c r="F67" s="238">
        <f t="shared" si="3"/>
        <v>43357.403946695711</v>
      </c>
      <c r="G67" s="238">
        <f t="shared" si="4"/>
        <v>479399.93798756885</v>
      </c>
      <c r="H67" s="237">
        <f t="shared" si="0"/>
        <v>522757.34193426458</v>
      </c>
      <c r="I67" s="23"/>
      <c r="J67" s="235"/>
    </row>
    <row r="68" spans="2:10" x14ac:dyDescent="0.25">
      <c r="B68" s="236"/>
      <c r="C68" s="23"/>
      <c r="D68" s="23">
        <f t="shared" si="5"/>
        <v>41</v>
      </c>
      <c r="E68" s="238">
        <f t="shared" si="2"/>
        <v>3521814.6087652515</v>
      </c>
      <c r="F68" s="238">
        <f t="shared" si="3"/>
        <v>38723.204546149216</v>
      </c>
      <c r="G68" s="238">
        <f t="shared" si="4"/>
        <v>484034.13738811522</v>
      </c>
      <c r="H68" s="237">
        <f t="shared" si="0"/>
        <v>522757.34193426446</v>
      </c>
      <c r="I68" s="23"/>
      <c r="J68" s="235"/>
    </row>
    <row r="69" spans="2:10" x14ac:dyDescent="0.25">
      <c r="B69" s="236"/>
      <c r="C69" s="23"/>
      <c r="D69" s="23">
        <f t="shared" si="5"/>
        <v>42</v>
      </c>
      <c r="E69" s="238">
        <f t="shared" si="2"/>
        <v>3033101.4747157185</v>
      </c>
      <c r="F69" s="238">
        <f t="shared" si="3"/>
        <v>34044.207884730764</v>
      </c>
      <c r="G69" s="238">
        <f t="shared" si="4"/>
        <v>488713.13404953305</v>
      </c>
      <c r="H69" s="237">
        <f t="shared" si="0"/>
        <v>522757.34193426382</v>
      </c>
      <c r="I69" s="23"/>
      <c r="J69" s="235"/>
    </row>
    <row r="70" spans="2:10" x14ac:dyDescent="0.25">
      <c r="B70" s="236"/>
      <c r="C70" s="23"/>
      <c r="D70" s="23">
        <f t="shared" si="5"/>
        <v>43</v>
      </c>
      <c r="E70" s="238">
        <f t="shared" si="2"/>
        <v>2539664.1137037054</v>
      </c>
      <c r="F70" s="238">
        <f t="shared" si="3"/>
        <v>29319.980922251951</v>
      </c>
      <c r="G70" s="238">
        <f t="shared" si="4"/>
        <v>493437.36101201316</v>
      </c>
      <c r="H70" s="237">
        <f t="shared" si="0"/>
        <v>522757.3419342651</v>
      </c>
      <c r="I70" s="23"/>
      <c r="J70" s="235"/>
    </row>
    <row r="71" spans="2:10" x14ac:dyDescent="0.25">
      <c r="B71" s="236"/>
      <c r="C71" s="23"/>
      <c r="D71" s="23">
        <f t="shared" si="5"/>
        <v>44</v>
      </c>
      <c r="E71" s="238">
        <f t="shared" si="2"/>
        <v>2041456.8582019096</v>
      </c>
      <c r="F71" s="238">
        <f t="shared" si="3"/>
        <v>24550.086432469154</v>
      </c>
      <c r="G71" s="238">
        <f t="shared" si="4"/>
        <v>498207.25550179585</v>
      </c>
      <c r="H71" s="237">
        <f t="shared" si="0"/>
        <v>522757.34193426499</v>
      </c>
      <c r="I71" s="23"/>
      <c r="J71" s="235"/>
    </row>
    <row r="72" spans="2:10" x14ac:dyDescent="0.25">
      <c r="B72" s="236"/>
      <c r="C72" s="23"/>
      <c r="D72" s="23">
        <f t="shared" si="5"/>
        <v>45</v>
      </c>
      <c r="E72" s="238">
        <f t="shared" si="2"/>
        <v>1538433.5992302618</v>
      </c>
      <c r="F72" s="238">
        <f t="shared" si="3"/>
        <v>19734.08296261846</v>
      </c>
      <c r="G72" s="238">
        <f t="shared" si="4"/>
        <v>503023.25897164777</v>
      </c>
      <c r="H72" s="237">
        <f t="shared" si="0"/>
        <v>522757.34193426621</v>
      </c>
      <c r="I72" s="23"/>
      <c r="J72" s="235"/>
    </row>
    <row r="73" spans="2:10" x14ac:dyDescent="0.25">
      <c r="B73" s="236"/>
      <c r="C73" s="23"/>
      <c r="D73" s="23">
        <f t="shared" si="5"/>
        <v>46</v>
      </c>
      <c r="E73" s="238">
        <f t="shared" si="2"/>
        <v>1030547.7820885542</v>
      </c>
      <c r="F73" s="238">
        <f t="shared" si="3"/>
        <v>14871.524792559198</v>
      </c>
      <c r="G73" s="238">
        <f t="shared" si="4"/>
        <v>507885.81714170746</v>
      </c>
      <c r="H73" s="237">
        <f t="shared" si="0"/>
        <v>522757.34193426667</v>
      </c>
      <c r="I73" s="23"/>
      <c r="J73" s="235"/>
    </row>
    <row r="74" spans="2:10" x14ac:dyDescent="0.25">
      <c r="B74" s="236"/>
      <c r="C74" s="23"/>
      <c r="D74" s="23">
        <f t="shared" si="5"/>
        <v>47</v>
      </c>
      <c r="E74" s="238">
        <f t="shared" si="2"/>
        <v>517752.40204781131</v>
      </c>
      <c r="F74" s="238">
        <f t="shared" si="3"/>
        <v>9961.9618935226918</v>
      </c>
      <c r="G74" s="238">
        <f t="shared" si="4"/>
        <v>512795.38004074292</v>
      </c>
      <c r="H74" s="237">
        <f t="shared" si="0"/>
        <v>522757.34193426563</v>
      </c>
      <c r="I74" s="23"/>
      <c r="J74" s="235"/>
    </row>
    <row r="75" spans="2:10" x14ac:dyDescent="0.25">
      <c r="B75" s="236"/>
      <c r="C75" s="23"/>
      <c r="D75" s="23">
        <f t="shared" si="5"/>
        <v>48</v>
      </c>
      <c r="E75" s="238">
        <f t="shared" si="2"/>
        <v>7.5669959187507629E-10</v>
      </c>
      <c r="F75" s="238">
        <f t="shared" si="3"/>
        <v>5004.9398864621762</v>
      </c>
      <c r="G75" s="238">
        <f t="shared" si="4"/>
        <v>517752.40204781055</v>
      </c>
      <c r="H75" s="237">
        <f t="shared" si="0"/>
        <v>522757.34193427273</v>
      </c>
      <c r="I75" s="23"/>
      <c r="J75" s="235"/>
    </row>
    <row r="76" spans="2:10" x14ac:dyDescent="0.25">
      <c r="B76" s="236"/>
      <c r="C76" s="23"/>
      <c r="D76" s="23">
        <f t="shared" si="5"/>
        <v>49</v>
      </c>
      <c r="E76" s="238">
        <f t="shared" si="2"/>
        <v>7.6401435459653541E-10</v>
      </c>
      <c r="F76" s="238">
        <f t="shared" si="3"/>
        <v>7.3147627214590714E-12</v>
      </c>
      <c r="G76" s="238">
        <f t="shared" si="4"/>
        <v>-7.3147627214590714E-12</v>
      </c>
      <c r="H76" s="237">
        <f t="shared" si="0"/>
        <v>0</v>
      </c>
      <c r="I76" s="23"/>
      <c r="J76" s="235"/>
    </row>
    <row r="77" spans="2:10" x14ac:dyDescent="0.25">
      <c r="B77" s="236"/>
      <c r="C77" s="23"/>
      <c r="D77" s="23">
        <f t="shared" si="5"/>
        <v>50</v>
      </c>
      <c r="E77" s="238">
        <f t="shared" si="2"/>
        <v>7.7139982669096861E-10</v>
      </c>
      <c r="F77" s="238">
        <f t="shared" si="3"/>
        <v>7.3854720944331763E-12</v>
      </c>
      <c r="G77" s="238">
        <f t="shared" si="4"/>
        <v>-7.3854720944331763E-12</v>
      </c>
      <c r="H77" s="237">
        <f t="shared" si="0"/>
        <v>0</v>
      </c>
      <c r="I77" s="23"/>
      <c r="J77" s="235"/>
    </row>
    <row r="78" spans="2:10" x14ac:dyDescent="0.25">
      <c r="B78" s="236"/>
      <c r="C78" s="23"/>
      <c r="D78" s="23">
        <f t="shared" si="5"/>
        <v>51</v>
      </c>
      <c r="E78" s="238">
        <f t="shared" si="2"/>
        <v>7.7885669168231463E-10</v>
      </c>
      <c r="F78" s="238">
        <f t="shared" si="3"/>
        <v>7.4568649913460306E-12</v>
      </c>
      <c r="G78" s="238">
        <f t="shared" si="4"/>
        <v>-7.4568649913460306E-12</v>
      </c>
      <c r="H78" s="237">
        <f t="shared" si="0"/>
        <v>0</v>
      </c>
      <c r="I78" s="23"/>
      <c r="J78" s="235"/>
    </row>
    <row r="79" spans="2:10" x14ac:dyDescent="0.25">
      <c r="B79" s="236"/>
      <c r="C79" s="23"/>
      <c r="D79" s="23">
        <f t="shared" si="5"/>
        <v>52</v>
      </c>
      <c r="E79" s="238">
        <f t="shared" si="2"/>
        <v>7.8638563970191029E-10</v>
      </c>
      <c r="F79" s="238">
        <f t="shared" si="3"/>
        <v>7.528948019595709E-12</v>
      </c>
      <c r="G79" s="238">
        <f t="shared" si="4"/>
        <v>-7.528948019595709E-12</v>
      </c>
      <c r="H79" s="237">
        <f t="shared" si="0"/>
        <v>0</v>
      </c>
      <c r="I79" s="23"/>
      <c r="J79" s="235"/>
    </row>
    <row r="80" spans="2:10" x14ac:dyDescent="0.25">
      <c r="B80" s="236"/>
      <c r="C80" s="23"/>
      <c r="D80" s="23">
        <f t="shared" si="5"/>
        <v>53</v>
      </c>
      <c r="E80" s="238">
        <f t="shared" si="2"/>
        <v>7.9398736755236206E-10</v>
      </c>
      <c r="F80" s="238">
        <f t="shared" si="3"/>
        <v>7.6017278504517995E-12</v>
      </c>
      <c r="G80" s="238">
        <f t="shared" si="4"/>
        <v>-7.6017278504517995E-12</v>
      </c>
      <c r="H80" s="237">
        <f t="shared" si="0"/>
        <v>0</v>
      </c>
      <c r="I80" s="23"/>
      <c r="J80" s="235"/>
    </row>
    <row r="81" spans="2:10" x14ac:dyDescent="0.25">
      <c r="B81" s="236"/>
      <c r="C81" s="23"/>
      <c r="D81" s="23">
        <f t="shared" si="5"/>
        <v>54</v>
      </c>
      <c r="E81" s="238">
        <f t="shared" si="2"/>
        <v>8.0166257877203489E-10</v>
      </c>
      <c r="F81" s="238">
        <f t="shared" si="3"/>
        <v>7.6752112196728327E-12</v>
      </c>
      <c r="G81" s="238">
        <f t="shared" si="4"/>
        <v>-7.6752112196728327E-12</v>
      </c>
      <c r="H81" s="237">
        <f t="shared" si="0"/>
        <v>0</v>
      </c>
      <c r="I81" s="23"/>
      <c r="J81" s="235"/>
    </row>
    <row r="82" spans="2:10" x14ac:dyDescent="0.25">
      <c r="B82" s="236"/>
      <c r="C82" s="23"/>
      <c r="D82" s="23">
        <f t="shared" si="5"/>
        <v>55</v>
      </c>
      <c r="E82" s="238">
        <f t="shared" si="2"/>
        <v>8.0941198370016451E-10</v>
      </c>
      <c r="F82" s="238">
        <f t="shared" si="3"/>
        <v>7.7494049281296707E-12</v>
      </c>
      <c r="G82" s="238">
        <f t="shared" si="4"/>
        <v>-7.7494049281296707E-12</v>
      </c>
      <c r="H82" s="237">
        <f t="shared" si="0"/>
        <v>0</v>
      </c>
      <c r="I82" s="23"/>
      <c r="J82" s="235"/>
    </row>
    <row r="83" spans="2:10" x14ac:dyDescent="0.25">
      <c r="B83" s="236"/>
      <c r="C83" s="23"/>
      <c r="D83" s="23">
        <f t="shared" si="5"/>
        <v>56</v>
      </c>
      <c r="E83" s="238">
        <f t="shared" si="2"/>
        <v>8.1723629954259944E-10</v>
      </c>
      <c r="F83" s="238">
        <f t="shared" si="3"/>
        <v>7.8243158424349247E-12</v>
      </c>
      <c r="G83" s="238">
        <f t="shared" si="4"/>
        <v>-7.8243158424349247E-12</v>
      </c>
      <c r="H83" s="237">
        <f t="shared" si="0"/>
        <v>0</v>
      </c>
      <c r="I83" s="23"/>
      <c r="J83" s="235"/>
    </row>
    <row r="84" spans="2:10" x14ac:dyDescent="0.25">
      <c r="B84" s="236"/>
      <c r="C84" s="23"/>
      <c r="D84" s="23">
        <f t="shared" si="5"/>
        <v>57</v>
      </c>
      <c r="E84" s="238">
        <f t="shared" si="2"/>
        <v>8.2513625043817789E-10</v>
      </c>
      <c r="F84" s="238">
        <f t="shared" si="3"/>
        <v>7.8999508955784617E-12</v>
      </c>
      <c r="G84" s="238">
        <f t="shared" si="4"/>
        <v>-7.8999508955784617E-12</v>
      </c>
      <c r="H84" s="237">
        <f t="shared" si="0"/>
        <v>0</v>
      </c>
      <c r="I84" s="23"/>
      <c r="J84" s="235"/>
    </row>
    <row r="85" spans="2:10" x14ac:dyDescent="0.25">
      <c r="B85" s="236"/>
      <c r="C85" s="23"/>
      <c r="D85" s="23">
        <f t="shared" si="5"/>
        <v>58</v>
      </c>
      <c r="E85" s="238">
        <f t="shared" si="2"/>
        <v>8.3311256752574697E-10</v>
      </c>
      <c r="F85" s="238">
        <f t="shared" si="3"/>
        <v>7.9763170875690534E-12</v>
      </c>
      <c r="G85" s="238">
        <f t="shared" si="4"/>
        <v>-7.9763170875690534E-12</v>
      </c>
      <c r="H85" s="237">
        <f t="shared" si="0"/>
        <v>0</v>
      </c>
      <c r="I85" s="23"/>
      <c r="J85" s="235"/>
    </row>
    <row r="86" spans="2:10" x14ac:dyDescent="0.25">
      <c r="B86" s="236"/>
      <c r="C86" s="23"/>
      <c r="D86" s="23">
        <f t="shared" si="5"/>
        <v>59</v>
      </c>
      <c r="E86" s="238">
        <f t="shared" si="2"/>
        <v>8.4116598901182918E-10</v>
      </c>
      <c r="F86" s="238">
        <f t="shared" si="3"/>
        <v>8.0534214860822208E-12</v>
      </c>
      <c r="G86" s="238">
        <f t="shared" si="4"/>
        <v>-8.0534214860822208E-12</v>
      </c>
      <c r="H86" s="237">
        <f t="shared" si="0"/>
        <v>0</v>
      </c>
      <c r="I86" s="23"/>
      <c r="J86" s="235"/>
    </row>
    <row r="87" spans="2:10" x14ac:dyDescent="0.25">
      <c r="B87" s="236"/>
      <c r="C87" s="23"/>
      <c r="D87" s="23">
        <f t="shared" si="5"/>
        <v>60</v>
      </c>
      <c r="E87" s="238">
        <f t="shared" si="2"/>
        <v>8.4929726023894358E-10</v>
      </c>
      <c r="F87" s="238">
        <f t="shared" si="3"/>
        <v>8.1312712271143494E-12</v>
      </c>
      <c r="G87" s="238">
        <f t="shared" si="4"/>
        <v>-8.1312712271143494E-12</v>
      </c>
      <c r="H87" s="237">
        <f t="shared" si="0"/>
        <v>0</v>
      </c>
      <c r="I87" s="23"/>
      <c r="J87" s="235"/>
    </row>
    <row r="88" spans="2:10" x14ac:dyDescent="0.25">
      <c r="B88" s="236"/>
      <c r="C88" s="23"/>
      <c r="D88" s="23">
        <f t="shared" si="5"/>
        <v>61</v>
      </c>
      <c r="E88" s="238">
        <f t="shared" si="2"/>
        <v>8.5750713375458666E-10</v>
      </c>
      <c r="F88" s="238">
        <f t="shared" si="3"/>
        <v>8.2098735156431224E-12</v>
      </c>
      <c r="G88" s="238">
        <f t="shared" si="4"/>
        <v>-8.2098735156431224E-12</v>
      </c>
      <c r="H88" s="237">
        <f t="shared" si="0"/>
        <v>0</v>
      </c>
      <c r="I88" s="23"/>
      <c r="J88" s="235"/>
    </row>
    <row r="89" spans="2:10" x14ac:dyDescent="0.25">
      <c r="B89" s="236"/>
      <c r="C89" s="23"/>
      <c r="D89" s="23">
        <f t="shared" si="5"/>
        <v>62</v>
      </c>
      <c r="E89" s="238">
        <f t="shared" si="2"/>
        <v>8.6579636938088096E-10</v>
      </c>
      <c r="F89" s="238">
        <f t="shared" si="3"/>
        <v>8.2892356262943376E-12</v>
      </c>
      <c r="G89" s="238">
        <f t="shared" si="4"/>
        <v>-8.2892356262943376E-12</v>
      </c>
      <c r="H89" s="237">
        <f t="shared" si="0"/>
        <v>0</v>
      </c>
      <c r="I89" s="23"/>
      <c r="J89" s="235"/>
    </row>
    <row r="90" spans="2:10" x14ac:dyDescent="0.25">
      <c r="B90" s="236"/>
      <c r="C90" s="23"/>
      <c r="D90" s="23">
        <f t="shared" si="5"/>
        <v>63</v>
      </c>
      <c r="E90" s="238">
        <f t="shared" si="2"/>
        <v>8.7416573428489617E-10</v>
      </c>
      <c r="F90" s="238">
        <f t="shared" si="3"/>
        <v>8.3693649040151826E-12</v>
      </c>
      <c r="G90" s="238">
        <f t="shared" si="4"/>
        <v>-8.3693649040151826E-12</v>
      </c>
      <c r="H90" s="237">
        <f t="shared" si="0"/>
        <v>0</v>
      </c>
      <c r="I90" s="23"/>
      <c r="J90" s="235"/>
    </row>
    <row r="91" spans="2:10" x14ac:dyDescent="0.25">
      <c r="B91" s="236"/>
      <c r="C91" s="23"/>
      <c r="D91" s="23">
        <f t="shared" si="5"/>
        <v>64</v>
      </c>
      <c r="E91" s="238">
        <f t="shared" si="2"/>
        <v>8.8261600304965017E-10</v>
      </c>
      <c r="F91" s="238">
        <f t="shared" si="3"/>
        <v>8.4502687647539963E-12</v>
      </c>
      <c r="G91" s="238">
        <f t="shared" si="4"/>
        <v>-8.4502687647539963E-12</v>
      </c>
      <c r="H91" s="237">
        <f t="shared" si="0"/>
        <v>0</v>
      </c>
      <c r="I91" s="23"/>
      <c r="J91" s="235"/>
    </row>
    <row r="92" spans="2:10" x14ac:dyDescent="0.25">
      <c r="B92" s="236"/>
      <c r="C92" s="23"/>
      <c r="D92" s="23">
        <f t="shared" si="5"/>
        <v>65</v>
      </c>
      <c r="E92" s="238">
        <f t="shared" si="2"/>
        <v>8.9114795774579674E-10</v>
      </c>
      <c r="F92" s="238">
        <f t="shared" si="3"/>
        <v>8.5319546961466188E-12</v>
      </c>
      <c r="G92" s="238">
        <f t="shared" si="4"/>
        <v>-8.5319546961466188E-12</v>
      </c>
      <c r="H92" s="237">
        <f t="shared" ref="H92:H155" si="6">IF(D92&gt;$D$9,0,E91*($D$19/12/(1-(1+$D$19/12)^(-($D$9-D91)))))</f>
        <v>0</v>
      </c>
      <c r="I92" s="23"/>
      <c r="J92" s="235"/>
    </row>
    <row r="93" spans="2:10" x14ac:dyDescent="0.25">
      <c r="B93" s="236"/>
      <c r="C93" s="23"/>
      <c r="D93" s="23">
        <f t="shared" si="5"/>
        <v>66</v>
      </c>
      <c r="E93" s="238">
        <f t="shared" ref="E93:E156" si="7">MAX(E92-G93,0)</f>
        <v>8.9976238800400615E-10</v>
      </c>
      <c r="F93" s="238">
        <f t="shared" ref="F93:F156" si="8">MAX(E92*$D$19/12,0)</f>
        <v>8.6144302582093683E-12</v>
      </c>
      <c r="G93" s="238">
        <f t="shared" ref="G93:G156" si="9">H93-F93</f>
        <v>-8.6144302582093683E-12</v>
      </c>
      <c r="H93" s="237">
        <f t="shared" si="6"/>
        <v>0</v>
      </c>
      <c r="I93" s="23"/>
      <c r="J93" s="235"/>
    </row>
    <row r="94" spans="2:10" x14ac:dyDescent="0.25">
      <c r="B94" s="236"/>
      <c r="C94" s="23"/>
      <c r="D94" s="23">
        <f t="shared" si="5"/>
        <v>67</v>
      </c>
      <c r="E94" s="238">
        <f t="shared" si="7"/>
        <v>9.0846009108804491E-10</v>
      </c>
      <c r="F94" s="238">
        <f t="shared" si="8"/>
        <v>8.6977030840387263E-12</v>
      </c>
      <c r="G94" s="238">
        <f t="shared" si="9"/>
        <v>-8.6977030840387263E-12</v>
      </c>
      <c r="H94" s="237">
        <f t="shared" si="6"/>
        <v>0</v>
      </c>
      <c r="I94" s="23"/>
      <c r="J94" s="235"/>
    </row>
    <row r="95" spans="2:10" x14ac:dyDescent="0.25">
      <c r="B95" s="236"/>
      <c r="C95" s="23"/>
      <c r="D95" s="23">
        <f t="shared" si="5"/>
        <v>68</v>
      </c>
      <c r="E95" s="238">
        <f t="shared" si="7"/>
        <v>9.1724187196856266E-10</v>
      </c>
      <c r="F95" s="238">
        <f t="shared" si="8"/>
        <v>8.7817808805177671E-12</v>
      </c>
      <c r="G95" s="238">
        <f t="shared" si="9"/>
        <v>-8.7817808805177671E-12</v>
      </c>
      <c r="H95" s="237">
        <f t="shared" si="6"/>
        <v>0</v>
      </c>
      <c r="I95" s="23"/>
      <c r="J95" s="235"/>
    </row>
    <row r="96" spans="2:10" x14ac:dyDescent="0.25">
      <c r="B96" s="236"/>
      <c r="C96" s="23"/>
      <c r="D96" s="23">
        <f t="shared" si="5"/>
        <v>69</v>
      </c>
      <c r="E96" s="238">
        <f t="shared" si="7"/>
        <v>9.2610854339759208E-10</v>
      </c>
      <c r="F96" s="238">
        <f t="shared" si="8"/>
        <v>8.8666714290294385E-12</v>
      </c>
      <c r="G96" s="238">
        <f t="shared" si="9"/>
        <v>-8.8666714290294385E-12</v>
      </c>
      <c r="H96" s="237">
        <f t="shared" si="6"/>
        <v>0</v>
      </c>
      <c r="I96" s="23"/>
      <c r="J96" s="235"/>
    </row>
    <row r="97" spans="2:10" x14ac:dyDescent="0.25">
      <c r="B97" s="236"/>
      <c r="C97" s="23"/>
      <c r="D97" s="23">
        <f t="shared" si="5"/>
        <v>70</v>
      </c>
      <c r="E97" s="238">
        <f t="shared" si="7"/>
        <v>9.3506092598376876E-10</v>
      </c>
      <c r="F97" s="238">
        <f t="shared" si="8"/>
        <v>8.952382586176724E-12</v>
      </c>
      <c r="G97" s="238">
        <f t="shared" si="9"/>
        <v>-8.952382586176724E-12</v>
      </c>
      <c r="H97" s="237">
        <f t="shared" si="6"/>
        <v>0</v>
      </c>
      <c r="I97" s="23"/>
      <c r="J97" s="235"/>
    </row>
    <row r="98" spans="2:10" x14ac:dyDescent="0.25">
      <c r="B98" s="236"/>
      <c r="C98" s="23"/>
      <c r="D98" s="23">
        <f t="shared" si="5"/>
        <v>71</v>
      </c>
      <c r="E98" s="238">
        <f t="shared" si="7"/>
        <v>9.440998482682786E-10</v>
      </c>
      <c r="F98" s="238">
        <f t="shared" si="8"/>
        <v>9.0389222845097652E-12</v>
      </c>
      <c r="G98" s="238">
        <f t="shared" si="9"/>
        <v>-9.0389222845097652E-12</v>
      </c>
      <c r="H98" s="237">
        <f t="shared" si="6"/>
        <v>0</v>
      </c>
      <c r="I98" s="23"/>
      <c r="J98" s="235"/>
    </row>
    <row r="99" spans="2:10" x14ac:dyDescent="0.25">
      <c r="B99" s="236"/>
      <c r="C99" s="23"/>
      <c r="D99" s="23">
        <f t="shared" si="5"/>
        <v>72</v>
      </c>
      <c r="E99" s="238">
        <f t="shared" si="7"/>
        <v>9.532261468015387E-10</v>
      </c>
      <c r="F99" s="238">
        <f t="shared" si="8"/>
        <v>9.1262985332600268E-12</v>
      </c>
      <c r="G99" s="238">
        <f t="shared" si="9"/>
        <v>-9.1262985332600268E-12</v>
      </c>
      <c r="H99" s="237">
        <f t="shared" si="6"/>
        <v>0</v>
      </c>
      <c r="I99" s="23"/>
      <c r="J99" s="235"/>
    </row>
    <row r="100" spans="2:10" x14ac:dyDescent="0.25">
      <c r="B100" s="236"/>
      <c r="C100" s="23"/>
      <c r="D100" s="23">
        <f t="shared" si="5"/>
        <v>73</v>
      </c>
      <c r="E100" s="238">
        <f t="shared" si="7"/>
        <v>9.6244066622062018E-10</v>
      </c>
      <c r="F100" s="238">
        <f t="shared" si="8"/>
        <v>9.2145194190815408E-12</v>
      </c>
      <c r="G100" s="238">
        <f t="shared" si="9"/>
        <v>-9.2145194190815408E-12</v>
      </c>
      <c r="H100" s="237">
        <f t="shared" si="6"/>
        <v>0</v>
      </c>
      <c r="I100" s="23"/>
      <c r="J100" s="235"/>
    </row>
    <row r="101" spans="2:10" x14ac:dyDescent="0.25">
      <c r="B101" s="236"/>
      <c r="C101" s="23"/>
      <c r="D101" s="23">
        <f t="shared" si="5"/>
        <v>74</v>
      </c>
      <c r="E101" s="238">
        <f t="shared" si="7"/>
        <v>9.717442593274196E-10</v>
      </c>
      <c r="F101" s="238">
        <f t="shared" si="8"/>
        <v>9.3035931067993286E-12</v>
      </c>
      <c r="G101" s="238">
        <f t="shared" si="9"/>
        <v>-9.3035931067993286E-12</v>
      </c>
      <c r="H101" s="237">
        <f t="shared" si="6"/>
        <v>0</v>
      </c>
      <c r="I101" s="23"/>
      <c r="J101" s="235"/>
    </row>
    <row r="102" spans="2:10" x14ac:dyDescent="0.25">
      <c r="B102" s="236"/>
      <c r="C102" s="23"/>
      <c r="D102" s="23">
        <f t="shared" si="5"/>
        <v>75</v>
      </c>
      <c r="E102" s="238">
        <f t="shared" si="7"/>
        <v>9.8113778716758476E-10</v>
      </c>
      <c r="F102" s="238">
        <f t="shared" si="8"/>
        <v>9.393527840165057E-12</v>
      </c>
      <c r="G102" s="238">
        <f t="shared" si="9"/>
        <v>-9.393527840165057E-12</v>
      </c>
      <c r="H102" s="237">
        <f t="shared" si="6"/>
        <v>0</v>
      </c>
      <c r="I102" s="23"/>
      <c r="J102" s="235"/>
    </row>
    <row r="103" spans="2:10" x14ac:dyDescent="0.25">
      <c r="B103" s="236"/>
      <c r="C103" s="23"/>
      <c r="D103" s="23">
        <f t="shared" si="5"/>
        <v>76</v>
      </c>
      <c r="E103" s="238">
        <f t="shared" si="7"/>
        <v>9.9062211911020468E-10</v>
      </c>
      <c r="F103" s="238">
        <f t="shared" si="8"/>
        <v>9.4843319426199872E-12</v>
      </c>
      <c r="G103" s="238">
        <f t="shared" si="9"/>
        <v>-9.4843319426199872E-12</v>
      </c>
      <c r="H103" s="237">
        <f t="shared" si="6"/>
        <v>0</v>
      </c>
      <c r="I103" s="23"/>
      <c r="J103" s="235"/>
    </row>
    <row r="104" spans="2:10" x14ac:dyDescent="0.25">
      <c r="B104" s="236"/>
      <c r="C104" s="23"/>
      <c r="D104" s="23">
        <f t="shared" si="5"/>
        <v>77</v>
      </c>
      <c r="E104" s="238">
        <f t="shared" si="7"/>
        <v>1.0001981329282699E-9</v>
      </c>
      <c r="F104" s="238">
        <f t="shared" si="8"/>
        <v>9.5760138180653131E-12</v>
      </c>
      <c r="G104" s="238">
        <f t="shared" si="9"/>
        <v>-9.5760138180653131E-12</v>
      </c>
      <c r="H104" s="237">
        <f t="shared" si="6"/>
        <v>0</v>
      </c>
      <c r="I104" s="23"/>
      <c r="J104" s="235"/>
    </row>
    <row r="105" spans="2:10" x14ac:dyDescent="0.25">
      <c r="B105" s="236"/>
      <c r="C105" s="23"/>
      <c r="D105" s="23">
        <f t="shared" si="5"/>
        <v>78</v>
      </c>
      <c r="E105" s="238">
        <f t="shared" si="7"/>
        <v>1.0098667148799098E-9</v>
      </c>
      <c r="F105" s="238">
        <f t="shared" si="8"/>
        <v>9.6685819516399432E-12</v>
      </c>
      <c r="G105" s="238">
        <f t="shared" si="9"/>
        <v>-9.6685819516399432E-12</v>
      </c>
      <c r="H105" s="237">
        <f t="shared" si="6"/>
        <v>0</v>
      </c>
      <c r="I105" s="23"/>
      <c r="J105" s="235"/>
    </row>
    <row r="106" spans="2:10" x14ac:dyDescent="0.25">
      <c r="B106" s="236"/>
      <c r="C106" s="23"/>
      <c r="D106" s="23">
        <f t="shared" si="5"/>
        <v>79</v>
      </c>
      <c r="E106" s="238">
        <f t="shared" si="7"/>
        <v>1.0196287597904156E-9</v>
      </c>
      <c r="F106" s="238">
        <f t="shared" si="8"/>
        <v>9.7620449105057963E-12</v>
      </c>
      <c r="G106" s="238">
        <f t="shared" si="9"/>
        <v>-9.7620449105057963E-12</v>
      </c>
      <c r="H106" s="237">
        <f t="shared" si="6"/>
        <v>0</v>
      </c>
      <c r="I106" s="23"/>
      <c r="J106" s="235"/>
    </row>
    <row r="107" spans="2:10" x14ac:dyDescent="0.25">
      <c r="B107" s="236"/>
      <c r="C107" s="23"/>
      <c r="D107" s="23">
        <f t="shared" si="5"/>
        <v>80</v>
      </c>
      <c r="E107" s="238">
        <f t="shared" si="7"/>
        <v>1.0294851711350563E-9</v>
      </c>
      <c r="F107" s="238">
        <f t="shared" si="8"/>
        <v>9.8564113446406855E-12</v>
      </c>
      <c r="G107" s="238">
        <f t="shared" si="9"/>
        <v>-9.8564113446406855E-12</v>
      </c>
      <c r="H107" s="237">
        <f t="shared" si="6"/>
        <v>0</v>
      </c>
      <c r="I107" s="23"/>
      <c r="J107" s="235"/>
    </row>
    <row r="108" spans="2:10" x14ac:dyDescent="0.25">
      <c r="B108" s="236"/>
      <c r="C108" s="23"/>
      <c r="D108" s="23">
        <f t="shared" si="5"/>
        <v>81</v>
      </c>
      <c r="E108" s="238">
        <f t="shared" si="7"/>
        <v>1.0394368611226952E-9</v>
      </c>
      <c r="F108" s="238">
        <f t="shared" si="8"/>
        <v>9.9516899876388779E-12</v>
      </c>
      <c r="G108" s="238">
        <f t="shared" si="9"/>
        <v>-9.9516899876388779E-12</v>
      </c>
      <c r="H108" s="237">
        <f t="shared" si="6"/>
        <v>0</v>
      </c>
      <c r="I108" s="23"/>
      <c r="J108" s="235"/>
    </row>
    <row r="109" spans="2:10" x14ac:dyDescent="0.25">
      <c r="B109" s="236"/>
      <c r="C109" s="23"/>
      <c r="D109" s="23">
        <f t="shared" si="5"/>
        <v>82</v>
      </c>
      <c r="E109" s="238">
        <f t="shared" si="7"/>
        <v>1.0494847507802146E-9</v>
      </c>
      <c r="F109" s="238">
        <f t="shared" si="8"/>
        <v>1.0047889657519389E-11</v>
      </c>
      <c r="G109" s="238">
        <f t="shared" si="9"/>
        <v>-1.0047889657519389E-11</v>
      </c>
      <c r="H109" s="237">
        <f t="shared" si="6"/>
        <v>0</v>
      </c>
      <c r="I109" s="23"/>
      <c r="J109" s="235"/>
    </row>
    <row r="110" spans="2:10" x14ac:dyDescent="0.25">
      <c r="B110" s="236"/>
      <c r="C110" s="23"/>
      <c r="D110" s="23">
        <f t="shared" si="5"/>
        <v>83</v>
      </c>
      <c r="E110" s="238">
        <f t="shared" si="7"/>
        <v>1.0596297700377567E-9</v>
      </c>
      <c r="F110" s="238">
        <f t="shared" si="8"/>
        <v>1.0145019257542075E-11</v>
      </c>
      <c r="G110" s="238">
        <f t="shared" si="9"/>
        <v>-1.0145019257542075E-11</v>
      </c>
      <c r="H110" s="237">
        <f t="shared" si="6"/>
        <v>0</v>
      </c>
      <c r="I110" s="23"/>
      <c r="J110" s="235"/>
    </row>
    <row r="111" spans="2:10" x14ac:dyDescent="0.25">
      <c r="B111" s="236"/>
      <c r="C111" s="23"/>
      <c r="D111" s="23">
        <f t="shared" ref="D111:D174" si="10">D110+1</f>
        <v>84</v>
      </c>
      <c r="E111" s="238">
        <f t="shared" si="7"/>
        <v>1.0698728578147882E-9</v>
      </c>
      <c r="F111" s="238">
        <f t="shared" si="8"/>
        <v>1.0243087777031649E-11</v>
      </c>
      <c r="G111" s="238">
        <f t="shared" si="9"/>
        <v>-1.0243087777031649E-11</v>
      </c>
      <c r="H111" s="237">
        <f t="shared" si="6"/>
        <v>0</v>
      </c>
      <c r="I111" s="23"/>
      <c r="J111" s="235"/>
    </row>
    <row r="112" spans="2:10" x14ac:dyDescent="0.25">
      <c r="B112" s="236"/>
      <c r="C112" s="23"/>
      <c r="D112" s="23">
        <f t="shared" si="10"/>
        <v>85</v>
      </c>
      <c r="E112" s="238">
        <f t="shared" si="7"/>
        <v>1.0802149621069979E-9</v>
      </c>
      <c r="F112" s="238">
        <f t="shared" si="8"/>
        <v>1.0342104292209621E-11</v>
      </c>
      <c r="G112" s="238">
        <f t="shared" si="9"/>
        <v>-1.0342104292209621E-11</v>
      </c>
      <c r="H112" s="237">
        <f t="shared" si="6"/>
        <v>0</v>
      </c>
      <c r="I112" s="23"/>
      <c r="J112" s="235"/>
    </row>
    <row r="113" spans="2:10" x14ac:dyDescent="0.25">
      <c r="B113" s="236"/>
      <c r="C113" s="23"/>
      <c r="D113" s="23">
        <f t="shared" si="10"/>
        <v>86</v>
      </c>
      <c r="E113" s="238">
        <f t="shared" si="7"/>
        <v>1.0906570400740321E-9</v>
      </c>
      <c r="F113" s="238">
        <f t="shared" si="8"/>
        <v>1.0442077967034314E-11</v>
      </c>
      <c r="G113" s="238">
        <f t="shared" si="9"/>
        <v>-1.0442077967034314E-11</v>
      </c>
      <c r="H113" s="237">
        <f t="shared" si="6"/>
        <v>0</v>
      </c>
      <c r="I113" s="23"/>
      <c r="J113" s="235"/>
    </row>
    <row r="114" spans="2:10" x14ac:dyDescent="0.25">
      <c r="B114" s="236"/>
      <c r="C114" s="23"/>
      <c r="D114" s="23">
        <f t="shared" si="10"/>
        <v>87</v>
      </c>
      <c r="E114" s="238">
        <f t="shared" si="7"/>
        <v>1.1012000581280811E-9</v>
      </c>
      <c r="F114" s="238">
        <f t="shared" si="8"/>
        <v>1.0543018054048977E-11</v>
      </c>
      <c r="G114" s="238">
        <f t="shared" si="9"/>
        <v>-1.0543018054048977E-11</v>
      </c>
      <c r="H114" s="237">
        <f t="shared" si="6"/>
        <v>0</v>
      </c>
      <c r="I114" s="23"/>
      <c r="J114" s="235"/>
    </row>
    <row r="115" spans="2:10" x14ac:dyDescent="0.25">
      <c r="B115" s="236"/>
      <c r="C115" s="23"/>
      <c r="D115" s="23">
        <f t="shared" si="10"/>
        <v>88</v>
      </c>
      <c r="E115" s="238">
        <f t="shared" si="7"/>
        <v>1.1118449920233192E-9</v>
      </c>
      <c r="F115" s="238">
        <f t="shared" si="8"/>
        <v>1.0644933895238118E-11</v>
      </c>
      <c r="G115" s="238">
        <f t="shared" si="9"/>
        <v>-1.0644933895238118E-11</v>
      </c>
      <c r="H115" s="237">
        <f t="shared" si="6"/>
        <v>0</v>
      </c>
      <c r="I115" s="23"/>
      <c r="J115" s="235"/>
    </row>
    <row r="116" spans="2:10" x14ac:dyDescent="0.25">
      <c r="B116" s="236"/>
      <c r="C116" s="23"/>
      <c r="D116" s="23">
        <f t="shared" si="10"/>
        <v>89</v>
      </c>
      <c r="E116" s="238">
        <f t="shared" si="7"/>
        <v>1.1225928269462112E-9</v>
      </c>
      <c r="F116" s="238">
        <f t="shared" si="8"/>
        <v>1.0747834922892085E-11</v>
      </c>
      <c r="G116" s="238">
        <f t="shared" si="9"/>
        <v>-1.0747834922892085E-11</v>
      </c>
      <c r="H116" s="237">
        <f t="shared" si="6"/>
        <v>0</v>
      </c>
      <c r="I116" s="23"/>
      <c r="J116" s="235"/>
    </row>
    <row r="117" spans="2:10" x14ac:dyDescent="0.25">
      <c r="B117" s="236"/>
      <c r="C117" s="23"/>
      <c r="D117" s="23">
        <f t="shared" si="10"/>
        <v>90</v>
      </c>
      <c r="E117" s="238">
        <f t="shared" si="7"/>
        <v>1.1334445576066913E-9</v>
      </c>
      <c r="F117" s="238">
        <f t="shared" si="8"/>
        <v>1.0851730660480043E-11</v>
      </c>
      <c r="G117" s="238">
        <f t="shared" si="9"/>
        <v>-1.0851730660480043E-11</v>
      </c>
      <c r="H117" s="237">
        <f t="shared" si="6"/>
        <v>0</v>
      </c>
      <c r="I117" s="23"/>
      <c r="J117" s="235"/>
    </row>
    <row r="118" spans="2:10" x14ac:dyDescent="0.25">
      <c r="B118" s="236"/>
      <c r="C118" s="23"/>
      <c r="D118" s="23">
        <f t="shared" si="10"/>
        <v>91</v>
      </c>
      <c r="E118" s="238">
        <f t="shared" si="7"/>
        <v>1.1444011883302226E-9</v>
      </c>
      <c r="F118" s="238">
        <f t="shared" si="8"/>
        <v>1.0956630723531348E-11</v>
      </c>
      <c r="G118" s="238">
        <f t="shared" si="9"/>
        <v>-1.0956630723531348E-11</v>
      </c>
      <c r="H118" s="237">
        <f t="shared" si="6"/>
        <v>0</v>
      </c>
      <c r="I118" s="23"/>
      <c r="J118" s="235"/>
    </row>
    <row r="119" spans="2:10" x14ac:dyDescent="0.25">
      <c r="B119" s="236"/>
      <c r="C119" s="23"/>
      <c r="D119" s="23">
        <f t="shared" si="10"/>
        <v>92</v>
      </c>
      <c r="E119" s="238">
        <f t="shared" si="7"/>
        <v>1.155463733150748E-9</v>
      </c>
      <c r="F119" s="238">
        <f t="shared" si="8"/>
        <v>1.1062544820525486E-11</v>
      </c>
      <c r="G119" s="238">
        <f t="shared" si="9"/>
        <v>-1.1062544820525486E-11</v>
      </c>
      <c r="H119" s="237">
        <f t="shared" si="6"/>
        <v>0</v>
      </c>
      <c r="I119" s="23"/>
      <c r="J119" s="235"/>
    </row>
    <row r="120" spans="2:10" x14ac:dyDescent="0.25">
      <c r="B120" s="236"/>
      <c r="C120" s="23"/>
      <c r="D120" s="23">
        <f t="shared" si="10"/>
        <v>93</v>
      </c>
      <c r="E120" s="238">
        <f t="shared" si="7"/>
        <v>1.1666332159045386E-9</v>
      </c>
      <c r="F120" s="238">
        <f t="shared" si="8"/>
        <v>1.1169482753790565E-11</v>
      </c>
      <c r="G120" s="238">
        <f t="shared" si="9"/>
        <v>-1.1169482753790565E-11</v>
      </c>
      <c r="H120" s="237">
        <f t="shared" si="6"/>
        <v>0</v>
      </c>
      <c r="I120" s="23"/>
      <c r="J120" s="235"/>
    </row>
    <row r="121" spans="2:10" x14ac:dyDescent="0.25">
      <c r="B121" s="236"/>
      <c r="C121" s="23"/>
      <c r="D121" s="23">
        <f t="shared" si="10"/>
        <v>94</v>
      </c>
      <c r="E121" s="238">
        <f t="shared" si="7"/>
        <v>1.1779106703249492E-9</v>
      </c>
      <c r="F121" s="238">
        <f t="shared" si="8"/>
        <v>1.1277454420410541E-11</v>
      </c>
      <c r="G121" s="238">
        <f t="shared" si="9"/>
        <v>-1.1277454420410541E-11</v>
      </c>
      <c r="H121" s="237">
        <f t="shared" si="6"/>
        <v>0</v>
      </c>
      <c r="I121" s="23"/>
      <c r="J121" s="235"/>
    </row>
    <row r="122" spans="2:10" x14ac:dyDescent="0.25">
      <c r="B122" s="236"/>
      <c r="C122" s="23"/>
      <c r="D122" s="23">
        <f t="shared" si="10"/>
        <v>95</v>
      </c>
      <c r="E122" s="238">
        <f t="shared" si="7"/>
        <v>1.1892971401380905E-9</v>
      </c>
      <c r="F122" s="238">
        <f t="shared" si="8"/>
        <v>1.1386469813141176E-11</v>
      </c>
      <c r="G122" s="238">
        <f t="shared" si="9"/>
        <v>-1.1386469813141176E-11</v>
      </c>
      <c r="H122" s="237">
        <f t="shared" si="6"/>
        <v>0</v>
      </c>
      <c r="I122" s="23"/>
      <c r="J122" s="235"/>
    </row>
    <row r="123" spans="2:10" x14ac:dyDescent="0.25">
      <c r="B123" s="236"/>
      <c r="C123" s="23"/>
      <c r="D123" s="23">
        <f t="shared" si="10"/>
        <v>96</v>
      </c>
      <c r="E123" s="238">
        <f t="shared" si="7"/>
        <v>1.2007936791594253E-9</v>
      </c>
      <c r="F123" s="238">
        <f t="shared" si="8"/>
        <v>1.1496539021334875E-11</v>
      </c>
      <c r="G123" s="238">
        <f t="shared" si="9"/>
        <v>-1.1496539021334875E-11</v>
      </c>
      <c r="H123" s="237">
        <f t="shared" si="6"/>
        <v>0</v>
      </c>
      <c r="I123" s="23"/>
      <c r="J123" s="235"/>
    </row>
    <row r="124" spans="2:10" x14ac:dyDescent="0.25">
      <c r="B124" s="236"/>
      <c r="C124" s="23"/>
      <c r="D124" s="23">
        <f t="shared" si="10"/>
        <v>97</v>
      </c>
      <c r="E124" s="238">
        <f t="shared" si="7"/>
        <v>1.2124013513912997E-9</v>
      </c>
      <c r="F124" s="238">
        <f t="shared" si="8"/>
        <v>1.1607672231874443E-11</v>
      </c>
      <c r="G124" s="238">
        <f t="shared" si="9"/>
        <v>-1.1607672231874443E-11</v>
      </c>
      <c r="H124" s="237">
        <f t="shared" si="6"/>
        <v>0</v>
      </c>
      <c r="I124" s="23"/>
      <c r="J124" s="235"/>
    </row>
    <row r="125" spans="2:10" x14ac:dyDescent="0.25">
      <c r="B125" s="236"/>
      <c r="C125" s="23"/>
      <c r="D125" s="23">
        <f t="shared" si="10"/>
        <v>98</v>
      </c>
      <c r="E125" s="238">
        <f t="shared" si="7"/>
        <v>1.2241212311214156E-9</v>
      </c>
      <c r="F125" s="238">
        <f t="shared" si="8"/>
        <v>1.1719879730115897E-11</v>
      </c>
      <c r="G125" s="238">
        <f t="shared" si="9"/>
        <v>-1.1719879730115897E-11</v>
      </c>
      <c r="H125" s="237">
        <f t="shared" si="6"/>
        <v>0</v>
      </c>
      <c r="I125" s="23"/>
      <c r="J125" s="235"/>
    </row>
    <row r="126" spans="2:10" x14ac:dyDescent="0.25">
      <c r="B126" s="236"/>
      <c r="C126" s="23"/>
      <c r="D126" s="23">
        <f t="shared" si="10"/>
        <v>99</v>
      </c>
      <c r="E126" s="238">
        <f t="shared" si="7"/>
        <v>1.235954403022256E-9</v>
      </c>
      <c r="F126" s="238">
        <f t="shared" si="8"/>
        <v>1.1833171900840351E-11</v>
      </c>
      <c r="G126" s="238">
        <f t="shared" si="9"/>
        <v>-1.1833171900840351E-11</v>
      </c>
      <c r="H126" s="237">
        <f t="shared" si="6"/>
        <v>0</v>
      </c>
      <c r="I126" s="23"/>
      <c r="J126" s="235"/>
    </row>
    <row r="127" spans="2:10" x14ac:dyDescent="0.25">
      <c r="B127" s="236"/>
      <c r="C127" s="23"/>
      <c r="D127" s="23">
        <f t="shared" si="10"/>
        <v>100</v>
      </c>
      <c r="E127" s="238">
        <f t="shared" si="7"/>
        <v>1.2479019622514711E-9</v>
      </c>
      <c r="F127" s="238">
        <f t="shared" si="8"/>
        <v>1.1947559229215142E-11</v>
      </c>
      <c r="G127" s="238">
        <f t="shared" si="9"/>
        <v>-1.1947559229215142E-11</v>
      </c>
      <c r="H127" s="237">
        <f t="shared" si="6"/>
        <v>0</v>
      </c>
      <c r="I127" s="23"/>
      <c r="J127" s="235"/>
    </row>
    <row r="128" spans="2:10" x14ac:dyDescent="0.25">
      <c r="B128" s="236"/>
      <c r="C128" s="23"/>
      <c r="D128" s="23">
        <f t="shared" si="10"/>
        <v>101</v>
      </c>
      <c r="E128" s="238">
        <f t="shared" si="7"/>
        <v>1.2599650145532354E-9</v>
      </c>
      <c r="F128" s="238">
        <f t="shared" si="8"/>
        <v>1.2063052301764222E-11</v>
      </c>
      <c r="G128" s="238">
        <f t="shared" si="9"/>
        <v>-1.2063052301764222E-11</v>
      </c>
      <c r="H128" s="237">
        <f t="shared" si="6"/>
        <v>0</v>
      </c>
      <c r="I128" s="23"/>
      <c r="J128" s="235"/>
    </row>
    <row r="129" spans="2:10" x14ac:dyDescent="0.25">
      <c r="B129" s="236"/>
      <c r="C129" s="23"/>
      <c r="D129" s="23">
        <f t="shared" si="10"/>
        <v>102</v>
      </c>
      <c r="E129" s="238">
        <f t="shared" si="7"/>
        <v>1.2721446763605832E-9</v>
      </c>
      <c r="F129" s="238">
        <f t="shared" si="8"/>
        <v>1.2179661807347943E-11</v>
      </c>
      <c r="G129" s="238">
        <f t="shared" si="9"/>
        <v>-1.2179661807347943E-11</v>
      </c>
      <c r="H129" s="237">
        <f t="shared" si="6"/>
        <v>0</v>
      </c>
      <c r="I129" s="23"/>
      <c r="J129" s="235"/>
    </row>
    <row r="130" spans="2:10" x14ac:dyDescent="0.25">
      <c r="B130" s="236"/>
      <c r="C130" s="23"/>
      <c r="D130" s="23">
        <f t="shared" si="10"/>
        <v>103</v>
      </c>
      <c r="E130" s="238">
        <f t="shared" si="7"/>
        <v>1.2844420748987355E-9</v>
      </c>
      <c r="F130" s="238">
        <f t="shared" si="8"/>
        <v>1.2297398538152305E-11</v>
      </c>
      <c r="G130" s="238">
        <f t="shared" si="9"/>
        <v>-1.2297398538152305E-11</v>
      </c>
      <c r="H130" s="237">
        <f t="shared" si="6"/>
        <v>0</v>
      </c>
      <c r="I130" s="23"/>
      <c r="J130" s="235"/>
    </row>
    <row r="131" spans="2:10" x14ac:dyDescent="0.25">
      <c r="B131" s="236"/>
      <c r="C131" s="23"/>
      <c r="D131" s="23">
        <f t="shared" si="10"/>
        <v>104</v>
      </c>
      <c r="E131" s="238">
        <f t="shared" si="7"/>
        <v>1.2968583482894233E-9</v>
      </c>
      <c r="F131" s="238">
        <f t="shared" si="8"/>
        <v>1.2416273390687777E-11</v>
      </c>
      <c r="G131" s="238">
        <f t="shared" si="9"/>
        <v>-1.2416273390687777E-11</v>
      </c>
      <c r="H131" s="237">
        <f t="shared" si="6"/>
        <v>0</v>
      </c>
      <c r="I131" s="23"/>
      <c r="J131" s="235"/>
    </row>
    <row r="132" spans="2:10" x14ac:dyDescent="0.25">
      <c r="B132" s="236"/>
      <c r="C132" s="23"/>
      <c r="D132" s="23">
        <f t="shared" si="10"/>
        <v>105</v>
      </c>
      <c r="E132" s="238">
        <f t="shared" si="7"/>
        <v>1.3093946456562211E-9</v>
      </c>
      <c r="F132" s="238">
        <f t="shared" si="8"/>
        <v>1.2536297366797758E-11</v>
      </c>
      <c r="G132" s="238">
        <f t="shared" si="9"/>
        <v>-1.2536297366797758E-11</v>
      </c>
      <c r="H132" s="237">
        <f t="shared" si="6"/>
        <v>0</v>
      </c>
      <c r="I132" s="23"/>
      <c r="J132" s="235"/>
    </row>
    <row r="133" spans="2:10" x14ac:dyDescent="0.25">
      <c r="B133" s="236"/>
      <c r="C133" s="23"/>
      <c r="D133" s="23">
        <f t="shared" si="10"/>
        <v>106</v>
      </c>
      <c r="E133" s="238">
        <f t="shared" si="7"/>
        <v>1.3220521272308979E-9</v>
      </c>
      <c r="F133" s="238">
        <f t="shared" si="8"/>
        <v>1.2657481574676806E-11</v>
      </c>
      <c r="G133" s="238">
        <f t="shared" si="9"/>
        <v>-1.2657481574676806E-11</v>
      </c>
      <c r="H133" s="237">
        <f t="shared" si="6"/>
        <v>0</v>
      </c>
      <c r="I133" s="23"/>
      <c r="J133" s="235"/>
    </row>
    <row r="134" spans="2:10" x14ac:dyDescent="0.25">
      <c r="B134" s="236"/>
      <c r="C134" s="23"/>
      <c r="D134" s="23">
        <f t="shared" si="10"/>
        <v>107</v>
      </c>
      <c r="E134" s="238">
        <f t="shared" si="7"/>
        <v>1.3348319644607965E-9</v>
      </c>
      <c r="F134" s="238">
        <f t="shared" si="8"/>
        <v>1.2779837229898681E-11</v>
      </c>
      <c r="G134" s="238">
        <f t="shared" si="9"/>
        <v>-1.2779837229898681E-11</v>
      </c>
      <c r="H134" s="237">
        <f t="shared" si="6"/>
        <v>0</v>
      </c>
      <c r="I134" s="23"/>
      <c r="J134" s="235"/>
    </row>
    <row r="135" spans="2:10" x14ac:dyDescent="0.25">
      <c r="B135" s="236"/>
      <c r="C135" s="23"/>
      <c r="D135" s="23">
        <f t="shared" si="10"/>
        <v>108</v>
      </c>
      <c r="E135" s="238">
        <f t="shared" si="7"/>
        <v>1.3477353401172509E-9</v>
      </c>
      <c r="F135" s="238">
        <f t="shared" si="8"/>
        <v>1.2903375656454367E-11</v>
      </c>
      <c r="G135" s="238">
        <f t="shared" si="9"/>
        <v>-1.2903375656454367E-11</v>
      </c>
      <c r="H135" s="237">
        <f t="shared" si="6"/>
        <v>0</v>
      </c>
      <c r="I135" s="23"/>
      <c r="J135" s="235"/>
    </row>
    <row r="136" spans="2:10" x14ac:dyDescent="0.25">
      <c r="B136" s="236"/>
      <c r="C136" s="23"/>
      <c r="D136" s="23">
        <f t="shared" si="10"/>
        <v>109</v>
      </c>
      <c r="E136" s="238">
        <f t="shared" si="7"/>
        <v>1.3607634484050508E-9</v>
      </c>
      <c r="F136" s="238">
        <f t="shared" si="8"/>
        <v>1.3028108287800092E-11</v>
      </c>
      <c r="G136" s="238">
        <f t="shared" si="9"/>
        <v>-1.3028108287800092E-11</v>
      </c>
      <c r="H136" s="237">
        <f t="shared" si="6"/>
        <v>0</v>
      </c>
      <c r="I136" s="23"/>
      <c r="J136" s="235"/>
    </row>
    <row r="137" spans="2:10" x14ac:dyDescent="0.25">
      <c r="B137" s="236"/>
      <c r="C137" s="23"/>
      <c r="D137" s="23">
        <f t="shared" si="10"/>
        <v>110</v>
      </c>
      <c r="E137" s="238">
        <f t="shared" si="7"/>
        <v>1.3739174950729663E-9</v>
      </c>
      <c r="F137" s="238">
        <f t="shared" si="8"/>
        <v>1.3154046667915492E-11</v>
      </c>
      <c r="G137" s="238">
        <f t="shared" si="9"/>
        <v>-1.3154046667915492E-11</v>
      </c>
      <c r="H137" s="237">
        <f t="shared" si="6"/>
        <v>0</v>
      </c>
      <c r="I137" s="23"/>
      <c r="J137" s="235"/>
    </row>
    <row r="138" spans="2:10" x14ac:dyDescent="0.25">
      <c r="B138" s="236"/>
      <c r="C138" s="23"/>
      <c r="D138" s="23">
        <f t="shared" si="10"/>
        <v>111</v>
      </c>
      <c r="E138" s="238">
        <f t="shared" si="7"/>
        <v>1.3871986975253384E-9</v>
      </c>
      <c r="F138" s="238">
        <f t="shared" si="8"/>
        <v>1.3281202452372009E-11</v>
      </c>
      <c r="G138" s="238">
        <f t="shared" si="9"/>
        <v>-1.3281202452372009E-11</v>
      </c>
      <c r="H138" s="237">
        <f t="shared" si="6"/>
        <v>0</v>
      </c>
      <c r="I138" s="23"/>
      <c r="J138" s="235"/>
    </row>
    <row r="139" spans="2:10" x14ac:dyDescent="0.25">
      <c r="B139" s="236"/>
      <c r="C139" s="23"/>
      <c r="D139" s="23">
        <f t="shared" si="10"/>
        <v>112</v>
      </c>
      <c r="E139" s="238">
        <f t="shared" si="7"/>
        <v>1.40060828493475E-9</v>
      </c>
      <c r="F139" s="238">
        <f t="shared" si="8"/>
        <v>1.3409587409411606E-11</v>
      </c>
      <c r="G139" s="238">
        <f t="shared" si="9"/>
        <v>-1.3409587409411606E-11</v>
      </c>
      <c r="H139" s="237">
        <f t="shared" si="6"/>
        <v>0</v>
      </c>
      <c r="I139" s="23"/>
      <c r="J139" s="235"/>
    </row>
    <row r="140" spans="2:10" x14ac:dyDescent="0.25">
      <c r="B140" s="236"/>
      <c r="C140" s="23"/>
      <c r="D140" s="23">
        <f t="shared" si="10"/>
        <v>113</v>
      </c>
      <c r="E140" s="238">
        <f t="shared" si="7"/>
        <v>1.414147498355786E-9</v>
      </c>
      <c r="F140" s="238">
        <f t="shared" si="8"/>
        <v>1.3539213421035918E-11</v>
      </c>
      <c r="G140" s="238">
        <f t="shared" si="9"/>
        <v>-1.3539213421035918E-11</v>
      </c>
      <c r="H140" s="237">
        <f t="shared" si="6"/>
        <v>0</v>
      </c>
      <c r="I140" s="23"/>
      <c r="J140" s="235"/>
    </row>
    <row r="141" spans="2:10" x14ac:dyDescent="0.25">
      <c r="B141" s="236"/>
      <c r="C141" s="23"/>
      <c r="D141" s="23">
        <f t="shared" si="10"/>
        <v>114</v>
      </c>
      <c r="E141" s="238">
        <f t="shared" si="7"/>
        <v>1.4278175908398918E-9</v>
      </c>
      <c r="F141" s="238">
        <f t="shared" si="8"/>
        <v>1.3670092484105931E-11</v>
      </c>
      <c r="G141" s="238">
        <f t="shared" si="9"/>
        <v>-1.3670092484105931E-11</v>
      </c>
      <c r="H141" s="237">
        <f t="shared" si="6"/>
        <v>0</v>
      </c>
      <c r="I141" s="23"/>
      <c r="J141" s="235"/>
    </row>
    <row r="142" spans="2:10" x14ac:dyDescent="0.25">
      <c r="B142" s="236"/>
      <c r="C142" s="23"/>
      <c r="D142" s="23">
        <f t="shared" si="10"/>
        <v>115</v>
      </c>
      <c r="E142" s="238">
        <f t="shared" si="7"/>
        <v>1.4416198275513441E-9</v>
      </c>
      <c r="F142" s="238">
        <f t="shared" si="8"/>
        <v>1.3802236711452287E-11</v>
      </c>
      <c r="G142" s="238">
        <f t="shared" si="9"/>
        <v>-1.3802236711452287E-11</v>
      </c>
      <c r="H142" s="237">
        <f t="shared" si="6"/>
        <v>0</v>
      </c>
      <c r="I142" s="23"/>
      <c r="J142" s="235"/>
    </row>
    <row r="143" spans="2:10" x14ac:dyDescent="0.25">
      <c r="B143" s="236"/>
      <c r="C143" s="23"/>
      <c r="D143" s="23">
        <f t="shared" si="10"/>
        <v>116</v>
      </c>
      <c r="E143" s="238">
        <f t="shared" si="7"/>
        <v>1.4555554858843404E-9</v>
      </c>
      <c r="F143" s="238">
        <f t="shared" si="8"/>
        <v>1.3935658332996327E-11</v>
      </c>
      <c r="G143" s="238">
        <f t="shared" si="9"/>
        <v>-1.3935658332996327E-11</v>
      </c>
      <c r="H143" s="237">
        <f t="shared" si="6"/>
        <v>0</v>
      </c>
      <c r="I143" s="23"/>
      <c r="J143" s="235"/>
    </row>
    <row r="144" spans="2:10" x14ac:dyDescent="0.25">
      <c r="B144" s="236"/>
      <c r="C144" s="23"/>
      <c r="D144" s="23">
        <f t="shared" si="10"/>
        <v>117</v>
      </c>
      <c r="E144" s="238">
        <f t="shared" si="7"/>
        <v>1.4696258555812222E-9</v>
      </c>
      <c r="F144" s="238">
        <f t="shared" si="8"/>
        <v>1.4070369696881957E-11</v>
      </c>
      <c r="G144" s="238">
        <f t="shared" si="9"/>
        <v>-1.4070369696881957E-11</v>
      </c>
      <c r="H144" s="237">
        <f t="shared" si="6"/>
        <v>0</v>
      </c>
      <c r="I144" s="23"/>
      <c r="J144" s="235"/>
    </row>
    <row r="145" spans="2:10" x14ac:dyDescent="0.25">
      <c r="B145" s="236"/>
      <c r="C145" s="23"/>
      <c r="D145" s="23">
        <f t="shared" si="10"/>
        <v>118</v>
      </c>
      <c r="E145" s="238">
        <f t="shared" si="7"/>
        <v>1.4838322388518407E-9</v>
      </c>
      <c r="F145" s="238">
        <f t="shared" si="8"/>
        <v>1.4206383270618483E-11</v>
      </c>
      <c r="G145" s="238">
        <f t="shared" si="9"/>
        <v>-1.4206383270618483E-11</v>
      </c>
      <c r="H145" s="237">
        <f t="shared" si="6"/>
        <v>0</v>
      </c>
      <c r="I145" s="23"/>
      <c r="J145" s="235"/>
    </row>
    <row r="146" spans="2:10" x14ac:dyDescent="0.25">
      <c r="B146" s="236"/>
      <c r="C146" s="23"/>
      <c r="D146" s="23">
        <f t="shared" si="10"/>
        <v>119</v>
      </c>
      <c r="E146" s="238">
        <f t="shared" si="7"/>
        <v>1.4981759504940752E-9</v>
      </c>
      <c r="F146" s="238">
        <f t="shared" si="8"/>
        <v>1.4343711642234462E-11</v>
      </c>
      <c r="G146" s="238">
        <f t="shared" si="9"/>
        <v>-1.4343711642234462E-11</v>
      </c>
      <c r="H146" s="237">
        <f t="shared" si="6"/>
        <v>0</v>
      </c>
      <c r="I146" s="23"/>
      <c r="J146" s="235"/>
    </row>
    <row r="147" spans="2:10" x14ac:dyDescent="0.25">
      <c r="B147" s="236"/>
      <c r="C147" s="23"/>
      <c r="D147" s="23">
        <f t="shared" si="10"/>
        <v>120</v>
      </c>
      <c r="E147" s="238">
        <f t="shared" si="7"/>
        <v>1.512658318015518E-9</v>
      </c>
      <c r="F147" s="238">
        <f t="shared" si="8"/>
        <v>1.4482367521442728E-11</v>
      </c>
      <c r="G147" s="238">
        <f t="shared" si="9"/>
        <v>-1.4482367521442728E-11</v>
      </c>
      <c r="H147" s="237">
        <f t="shared" si="6"/>
        <v>0</v>
      </c>
      <c r="I147" s="23"/>
      <c r="J147" s="235"/>
    </row>
    <row r="148" spans="2:10" x14ac:dyDescent="0.25">
      <c r="B148" s="236"/>
      <c r="C148" s="23"/>
      <c r="D148" s="23">
        <f t="shared" si="10"/>
        <v>121</v>
      </c>
      <c r="E148" s="238">
        <f t="shared" si="7"/>
        <v>1.5272806817563347E-9</v>
      </c>
      <c r="F148" s="238">
        <f t="shared" si="8"/>
        <v>1.4622363740816676E-11</v>
      </c>
      <c r="G148" s="238">
        <f t="shared" si="9"/>
        <v>-1.4622363740816676E-11</v>
      </c>
      <c r="H148" s="237">
        <f t="shared" si="6"/>
        <v>0</v>
      </c>
      <c r="I148" s="23"/>
      <c r="J148" s="235"/>
    </row>
    <row r="149" spans="2:10" x14ac:dyDescent="0.25">
      <c r="B149" s="236"/>
      <c r="C149" s="23"/>
      <c r="D149" s="23">
        <f t="shared" si="10"/>
        <v>122</v>
      </c>
      <c r="E149" s="238">
        <f t="shared" si="7"/>
        <v>1.5420443950133127E-9</v>
      </c>
      <c r="F149" s="238">
        <f t="shared" si="8"/>
        <v>1.4763713256977904E-11</v>
      </c>
      <c r="G149" s="238">
        <f t="shared" si="9"/>
        <v>-1.4763713256977904E-11</v>
      </c>
      <c r="H149" s="237">
        <f t="shared" si="6"/>
        <v>0</v>
      </c>
      <c r="I149" s="23"/>
      <c r="J149" s="235"/>
    </row>
    <row r="150" spans="2:10" x14ac:dyDescent="0.25">
      <c r="B150" s="236"/>
      <c r="C150" s="23"/>
      <c r="D150" s="23">
        <f t="shared" si="10"/>
        <v>123</v>
      </c>
      <c r="E150" s="238">
        <f t="shared" si="7"/>
        <v>1.5569508241651079E-9</v>
      </c>
      <c r="F150" s="238">
        <f t="shared" si="8"/>
        <v>1.4906429151795359E-11</v>
      </c>
      <c r="G150" s="238">
        <f t="shared" si="9"/>
        <v>-1.4906429151795359E-11</v>
      </c>
      <c r="H150" s="237">
        <f t="shared" si="6"/>
        <v>0</v>
      </c>
      <c r="I150" s="23"/>
      <c r="J150" s="235"/>
    </row>
    <row r="151" spans="2:10" x14ac:dyDescent="0.25">
      <c r="B151" s="236"/>
      <c r="C151" s="23"/>
      <c r="D151" s="23">
        <f t="shared" si="10"/>
        <v>124</v>
      </c>
      <c r="E151" s="238">
        <f t="shared" si="7"/>
        <v>1.572001348798704E-9</v>
      </c>
      <c r="F151" s="238">
        <f t="shared" si="8"/>
        <v>1.5050524633596042E-11</v>
      </c>
      <c r="G151" s="238">
        <f t="shared" si="9"/>
        <v>-1.5050524633596042E-11</v>
      </c>
      <c r="H151" s="237">
        <f t="shared" si="6"/>
        <v>0</v>
      </c>
      <c r="I151" s="23"/>
      <c r="J151" s="235"/>
    </row>
    <row r="152" spans="2:10" x14ac:dyDescent="0.25">
      <c r="B152" s="236"/>
      <c r="C152" s="23"/>
      <c r="D152" s="23">
        <f t="shared" si="10"/>
        <v>125</v>
      </c>
      <c r="E152" s="238">
        <f t="shared" si="7"/>
        <v>1.5871973618370915E-9</v>
      </c>
      <c r="F152" s="238">
        <f t="shared" si="8"/>
        <v>1.5196013038387474E-11</v>
      </c>
      <c r="G152" s="238">
        <f t="shared" si="9"/>
        <v>-1.5196013038387474E-11</v>
      </c>
      <c r="H152" s="237">
        <f t="shared" si="6"/>
        <v>0</v>
      </c>
      <c r="I152" s="23"/>
      <c r="J152" s="235"/>
    </row>
    <row r="153" spans="2:10" x14ac:dyDescent="0.25">
      <c r="B153" s="236"/>
      <c r="C153" s="23"/>
      <c r="D153" s="23">
        <f t="shared" si="10"/>
        <v>126</v>
      </c>
      <c r="E153" s="238">
        <f t="shared" si="7"/>
        <v>1.6025402696681834E-9</v>
      </c>
      <c r="F153" s="238">
        <f t="shared" si="8"/>
        <v>1.5342907831091884E-11</v>
      </c>
      <c r="G153" s="238">
        <f t="shared" si="9"/>
        <v>-1.5342907831091884E-11</v>
      </c>
      <c r="H153" s="237">
        <f t="shared" si="6"/>
        <v>0</v>
      </c>
      <c r="I153" s="23"/>
      <c r="J153" s="235"/>
    </row>
    <row r="154" spans="2:10" x14ac:dyDescent="0.25">
      <c r="B154" s="236"/>
      <c r="C154" s="23"/>
      <c r="D154" s="23">
        <f t="shared" si="10"/>
        <v>127</v>
      </c>
      <c r="E154" s="238">
        <f t="shared" si="7"/>
        <v>1.6180314922749759E-9</v>
      </c>
      <c r="F154" s="238">
        <f t="shared" si="8"/>
        <v>1.549122260679244E-11</v>
      </c>
      <c r="G154" s="238">
        <f t="shared" si="9"/>
        <v>-1.549122260679244E-11</v>
      </c>
      <c r="H154" s="237">
        <f t="shared" si="6"/>
        <v>0</v>
      </c>
      <c r="I154" s="23"/>
      <c r="J154" s="235"/>
    </row>
    <row r="155" spans="2:10" x14ac:dyDescent="0.25">
      <c r="B155" s="236"/>
      <c r="C155" s="23"/>
      <c r="D155" s="23">
        <f t="shared" si="10"/>
        <v>128</v>
      </c>
      <c r="E155" s="238">
        <f t="shared" si="7"/>
        <v>1.6336724633669673E-9</v>
      </c>
      <c r="F155" s="238">
        <f t="shared" si="8"/>
        <v>1.5640971091991433E-11</v>
      </c>
      <c r="G155" s="238">
        <f t="shared" si="9"/>
        <v>-1.5640971091991433E-11</v>
      </c>
      <c r="H155" s="237">
        <f t="shared" si="6"/>
        <v>0</v>
      </c>
      <c r="I155" s="23"/>
      <c r="J155" s="235"/>
    </row>
    <row r="156" spans="2:10" x14ac:dyDescent="0.25">
      <c r="B156" s="236"/>
      <c r="C156" s="23"/>
      <c r="D156" s="23">
        <f t="shared" si="10"/>
        <v>129</v>
      </c>
      <c r="E156" s="238">
        <f t="shared" si="7"/>
        <v>1.649464630512848E-9</v>
      </c>
      <c r="F156" s="238">
        <f t="shared" si="8"/>
        <v>1.5792167145880686E-11</v>
      </c>
      <c r="G156" s="238">
        <f t="shared" si="9"/>
        <v>-1.5792167145880686E-11</v>
      </c>
      <c r="H156" s="237">
        <f t="shared" ref="H156:H219" si="11">IF(D156&gt;$D$9,0,E155*($D$19/12/(1-(1+$D$19/12)^(-($D$9-D155)))))</f>
        <v>0</v>
      </c>
      <c r="I156" s="23"/>
      <c r="J156" s="235"/>
    </row>
    <row r="157" spans="2:10" x14ac:dyDescent="0.25">
      <c r="B157" s="236"/>
      <c r="C157" s="23"/>
      <c r="D157" s="23">
        <f t="shared" si="10"/>
        <v>130</v>
      </c>
      <c r="E157" s="238">
        <f t="shared" ref="E157:E220" si="12">MAX(E156-G157,0)</f>
        <v>1.6654094552744723E-9</v>
      </c>
      <c r="F157" s="238">
        <f t="shared" ref="F157:F220" si="13">MAX(E156*$D$19/12,0)</f>
        <v>1.5944824761624198E-11</v>
      </c>
      <c r="G157" s="238">
        <f t="shared" ref="G157:G220" si="14">H157-F157</f>
        <v>-1.5944824761624198E-11</v>
      </c>
      <c r="H157" s="237">
        <f t="shared" si="11"/>
        <v>0</v>
      </c>
      <c r="I157" s="23"/>
      <c r="J157" s="235"/>
    </row>
    <row r="158" spans="2:10" x14ac:dyDescent="0.25">
      <c r="B158" s="236"/>
      <c r="C158" s="23"/>
      <c r="D158" s="23">
        <f t="shared" si="10"/>
        <v>131</v>
      </c>
      <c r="E158" s="238">
        <f t="shared" si="12"/>
        <v>1.6815084133421255E-9</v>
      </c>
      <c r="F158" s="238">
        <f t="shared" si="13"/>
        <v>1.6098958067653232E-11</v>
      </c>
      <c r="G158" s="238">
        <f t="shared" si="14"/>
        <v>-1.6098958067653232E-11</v>
      </c>
      <c r="H158" s="237">
        <f t="shared" si="11"/>
        <v>0</v>
      </c>
      <c r="I158" s="23"/>
      <c r="J158" s="235"/>
    </row>
    <row r="159" spans="2:10" x14ac:dyDescent="0.25">
      <c r="B159" s="236"/>
      <c r="C159" s="23"/>
      <c r="D159" s="23">
        <f t="shared" si="10"/>
        <v>132</v>
      </c>
      <c r="E159" s="238">
        <f t="shared" si="12"/>
        <v>1.6977629946710995E-9</v>
      </c>
      <c r="F159" s="238">
        <f t="shared" si="13"/>
        <v>1.6254581328973882E-11</v>
      </c>
      <c r="G159" s="238">
        <f t="shared" si="14"/>
        <v>-1.6254581328973882E-11</v>
      </c>
      <c r="H159" s="237">
        <f t="shared" si="11"/>
        <v>0</v>
      </c>
      <c r="I159" s="23"/>
      <c r="J159" s="235"/>
    </row>
    <row r="160" spans="2:10" x14ac:dyDescent="0.25">
      <c r="B160" s="236"/>
      <c r="C160" s="23"/>
      <c r="D160" s="23">
        <f t="shared" si="10"/>
        <v>133</v>
      </c>
      <c r="E160" s="238">
        <f t="shared" si="12"/>
        <v>1.7141747036195868E-9</v>
      </c>
      <c r="F160" s="238">
        <f t="shared" si="13"/>
        <v>1.6411708948487294E-11</v>
      </c>
      <c r="G160" s="238">
        <f t="shared" si="14"/>
        <v>-1.6411708948487294E-11</v>
      </c>
      <c r="H160" s="237">
        <f t="shared" si="11"/>
        <v>0</v>
      </c>
      <c r="I160" s="23"/>
      <c r="J160" s="235"/>
    </row>
    <row r="161" spans="2:10" x14ac:dyDescent="0.25">
      <c r="B161" s="236"/>
      <c r="C161" s="23"/>
      <c r="D161" s="23">
        <f t="shared" si="10"/>
        <v>134</v>
      </c>
      <c r="E161" s="238">
        <f t="shared" si="12"/>
        <v>1.7307450590879095E-9</v>
      </c>
      <c r="F161" s="238">
        <f t="shared" si="13"/>
        <v>1.6570355468322672E-11</v>
      </c>
      <c r="G161" s="238">
        <f t="shared" si="14"/>
        <v>-1.6570355468322672E-11</v>
      </c>
      <c r="H161" s="237">
        <f t="shared" si="11"/>
        <v>0</v>
      </c>
      <c r="I161" s="23"/>
      <c r="J161" s="235"/>
    </row>
    <row r="162" spans="2:10" x14ac:dyDescent="0.25">
      <c r="B162" s="236"/>
      <c r="C162" s="23"/>
      <c r="D162" s="23">
        <f t="shared" si="10"/>
        <v>135</v>
      </c>
      <c r="E162" s="238">
        <f t="shared" si="12"/>
        <v>1.7474755946590926E-9</v>
      </c>
      <c r="F162" s="238">
        <f t="shared" si="13"/>
        <v>1.6730535571183127E-11</v>
      </c>
      <c r="G162" s="238">
        <f t="shared" si="14"/>
        <v>-1.6730535571183127E-11</v>
      </c>
      <c r="H162" s="237">
        <f t="shared" si="11"/>
        <v>0</v>
      </c>
      <c r="I162" s="23"/>
      <c r="J162" s="235"/>
    </row>
    <row r="163" spans="2:10" x14ac:dyDescent="0.25">
      <c r="B163" s="236"/>
      <c r="C163" s="23"/>
      <c r="D163" s="23">
        <f t="shared" si="10"/>
        <v>136</v>
      </c>
      <c r="E163" s="238">
        <f t="shared" si="12"/>
        <v>1.7643678587407972E-9</v>
      </c>
      <c r="F163" s="238">
        <f t="shared" si="13"/>
        <v>1.6892264081704562E-11</v>
      </c>
      <c r="G163" s="238">
        <f t="shared" si="14"/>
        <v>-1.6892264081704562E-11</v>
      </c>
      <c r="H163" s="237">
        <f t="shared" si="11"/>
        <v>0</v>
      </c>
      <c r="I163" s="23"/>
      <c r="J163" s="235"/>
    </row>
    <row r="164" spans="2:10" x14ac:dyDescent="0.25">
      <c r="B164" s="236"/>
      <c r="C164" s="23"/>
      <c r="D164" s="23">
        <f t="shared" si="10"/>
        <v>137</v>
      </c>
      <c r="E164" s="238">
        <f t="shared" si="12"/>
        <v>1.7814234147086249E-9</v>
      </c>
      <c r="F164" s="238">
        <f t="shared" si="13"/>
        <v>1.7055555967827709E-11</v>
      </c>
      <c r="G164" s="238">
        <f t="shared" si="14"/>
        <v>-1.7055555967827709E-11</v>
      </c>
      <c r="H164" s="237">
        <f t="shared" si="11"/>
        <v>0</v>
      </c>
      <c r="I164" s="23"/>
      <c r="J164" s="235"/>
    </row>
    <row r="165" spans="2:10" x14ac:dyDescent="0.25">
      <c r="B165" s="236"/>
      <c r="C165" s="23"/>
      <c r="D165" s="23">
        <f t="shared" si="10"/>
        <v>138</v>
      </c>
      <c r="E165" s="238">
        <f t="shared" si="12"/>
        <v>1.7986438410508083E-9</v>
      </c>
      <c r="F165" s="238">
        <f t="shared" si="13"/>
        <v>1.7220426342183375E-11</v>
      </c>
      <c r="G165" s="238">
        <f t="shared" si="14"/>
        <v>-1.7220426342183375E-11</v>
      </c>
      <c r="H165" s="237">
        <f t="shared" si="11"/>
        <v>0</v>
      </c>
      <c r="I165" s="23"/>
      <c r="J165" s="235"/>
    </row>
    <row r="166" spans="2:10" x14ac:dyDescent="0.25">
      <c r="B166" s="236"/>
      <c r="C166" s="23"/>
      <c r="D166" s="23">
        <f t="shared" si="10"/>
        <v>139</v>
      </c>
      <c r="E166" s="238">
        <f t="shared" si="12"/>
        <v>1.8160307315142994E-9</v>
      </c>
      <c r="F166" s="238">
        <f t="shared" si="13"/>
        <v>1.7386890463491148E-11</v>
      </c>
      <c r="G166" s="238">
        <f t="shared" si="14"/>
        <v>-1.7386890463491148E-11</v>
      </c>
      <c r="H166" s="237">
        <f t="shared" si="11"/>
        <v>0</v>
      </c>
      <c r="I166" s="23"/>
      <c r="J166" s="235"/>
    </row>
    <row r="167" spans="2:10" x14ac:dyDescent="0.25">
      <c r="B167" s="236"/>
      <c r="C167" s="23"/>
      <c r="D167" s="23">
        <f t="shared" si="10"/>
        <v>140</v>
      </c>
      <c r="E167" s="238">
        <f t="shared" si="12"/>
        <v>1.8335856952522709E-9</v>
      </c>
      <c r="F167" s="238">
        <f t="shared" si="13"/>
        <v>1.7554963737971561E-11</v>
      </c>
      <c r="G167" s="238">
        <f t="shared" si="14"/>
        <v>-1.7554963737971561E-11</v>
      </c>
      <c r="H167" s="237">
        <f t="shared" si="11"/>
        <v>0</v>
      </c>
      <c r="I167" s="23"/>
      <c r="J167" s="235"/>
    </row>
    <row r="168" spans="2:10" x14ac:dyDescent="0.25">
      <c r="B168" s="236"/>
      <c r="C168" s="23"/>
      <c r="D168" s="23">
        <f t="shared" si="10"/>
        <v>141</v>
      </c>
      <c r="E168" s="238">
        <f t="shared" si="12"/>
        <v>1.8513103569730428E-9</v>
      </c>
      <c r="F168" s="238">
        <f t="shared" si="13"/>
        <v>1.7724661720771953E-11</v>
      </c>
      <c r="G168" s="238">
        <f t="shared" si="14"/>
        <v>-1.7724661720771953E-11</v>
      </c>
      <c r="H168" s="237">
        <f t="shared" si="11"/>
        <v>0</v>
      </c>
      <c r="I168" s="23"/>
      <c r="J168" s="235"/>
    </row>
    <row r="169" spans="2:10" x14ac:dyDescent="0.25">
      <c r="B169" s="236"/>
      <c r="C169" s="23"/>
      <c r="D169" s="23">
        <f t="shared" si="10"/>
        <v>142</v>
      </c>
      <c r="E169" s="238">
        <f t="shared" si="12"/>
        <v>1.8692063570904488E-9</v>
      </c>
      <c r="F169" s="238">
        <f t="shared" si="13"/>
        <v>1.7896000117406079E-11</v>
      </c>
      <c r="G169" s="238">
        <f t="shared" si="14"/>
        <v>-1.7896000117406079E-11</v>
      </c>
      <c r="H169" s="237">
        <f t="shared" si="11"/>
        <v>0</v>
      </c>
      <c r="I169" s="23"/>
      <c r="J169" s="235"/>
    </row>
    <row r="170" spans="2:10" x14ac:dyDescent="0.25">
      <c r="B170" s="236"/>
      <c r="C170" s="23"/>
      <c r="D170" s="23">
        <f t="shared" si="10"/>
        <v>143</v>
      </c>
      <c r="E170" s="238">
        <f t="shared" si="12"/>
        <v>1.8872753518756563E-9</v>
      </c>
      <c r="F170" s="238">
        <f t="shared" si="13"/>
        <v>1.8068994785207671E-11</v>
      </c>
      <c r="G170" s="238">
        <f t="shared" si="14"/>
        <v>-1.8068994785207671E-11</v>
      </c>
      <c r="H170" s="237">
        <f t="shared" si="11"/>
        <v>0</v>
      </c>
      <c r="I170" s="23"/>
      <c r="J170" s="235"/>
    </row>
    <row r="171" spans="2:10" x14ac:dyDescent="0.25">
      <c r="B171" s="236"/>
      <c r="C171" s="23"/>
      <c r="D171" s="23">
        <f t="shared" si="10"/>
        <v>144</v>
      </c>
      <c r="E171" s="238">
        <f t="shared" si="12"/>
        <v>1.9055190136104541E-9</v>
      </c>
      <c r="F171" s="238">
        <f t="shared" si="13"/>
        <v>1.8243661734798012E-11</v>
      </c>
      <c r="G171" s="238">
        <f t="shared" si="14"/>
        <v>-1.8243661734798012E-11</v>
      </c>
      <c r="H171" s="237">
        <f t="shared" si="11"/>
        <v>0</v>
      </c>
      <c r="I171" s="23"/>
      <c r="J171" s="235"/>
    </row>
    <row r="172" spans="2:10" x14ac:dyDescent="0.25">
      <c r="B172" s="236"/>
      <c r="C172" s="23"/>
      <c r="D172" s="23">
        <f t="shared" si="10"/>
        <v>145</v>
      </c>
      <c r="E172" s="238">
        <f t="shared" si="12"/>
        <v>1.9239390307420218E-9</v>
      </c>
      <c r="F172" s="238">
        <f t="shared" si="13"/>
        <v>1.8420017131567722E-11</v>
      </c>
      <c r="G172" s="238">
        <f t="shared" si="14"/>
        <v>-1.8420017131567722E-11</v>
      </c>
      <c r="H172" s="237">
        <f t="shared" si="11"/>
        <v>0</v>
      </c>
      <c r="I172" s="23"/>
      <c r="J172" s="235"/>
    </row>
    <row r="173" spans="2:10" x14ac:dyDescent="0.25">
      <c r="B173" s="236"/>
      <c r="C173" s="23"/>
      <c r="D173" s="23">
        <f t="shared" si="10"/>
        <v>146</v>
      </c>
      <c r="E173" s="238">
        <f t="shared" si="12"/>
        <v>1.9425371080391948E-9</v>
      </c>
      <c r="F173" s="238">
        <f t="shared" si="13"/>
        <v>1.8598077297172878E-11</v>
      </c>
      <c r="G173" s="238">
        <f t="shared" si="14"/>
        <v>-1.8598077297172878E-11</v>
      </c>
      <c r="H173" s="237">
        <f t="shared" si="11"/>
        <v>0</v>
      </c>
      <c r="I173" s="23"/>
      <c r="J173" s="235"/>
    </row>
    <row r="174" spans="2:10" x14ac:dyDescent="0.25">
      <c r="B174" s="236"/>
      <c r="C174" s="23"/>
      <c r="D174" s="23">
        <f t="shared" si="10"/>
        <v>147</v>
      </c>
      <c r="E174" s="238">
        <f t="shared" si="12"/>
        <v>1.9613149667502404E-9</v>
      </c>
      <c r="F174" s="238">
        <f t="shared" si="13"/>
        <v>1.877785871104555E-11</v>
      </c>
      <c r="G174" s="238">
        <f t="shared" si="14"/>
        <v>-1.877785871104555E-11</v>
      </c>
      <c r="H174" s="237">
        <f t="shared" si="11"/>
        <v>0</v>
      </c>
      <c r="I174" s="23"/>
      <c r="J174" s="235"/>
    </row>
    <row r="175" spans="2:10" x14ac:dyDescent="0.25">
      <c r="B175" s="236"/>
      <c r="C175" s="23"/>
      <c r="D175" s="23">
        <f t="shared" ref="D175:D238" si="15">D174+1</f>
        <v>148</v>
      </c>
      <c r="E175" s="238">
        <f t="shared" si="12"/>
        <v>1.9802743447621592E-9</v>
      </c>
      <c r="F175" s="238">
        <f t="shared" si="13"/>
        <v>1.8959378011918992E-11</v>
      </c>
      <c r="G175" s="238">
        <f t="shared" si="14"/>
        <v>-1.8959378011918992E-11</v>
      </c>
      <c r="H175" s="237">
        <f t="shared" si="11"/>
        <v>0</v>
      </c>
      <c r="I175" s="23"/>
      <c r="J175" s="235"/>
    </row>
    <row r="176" spans="2:10" x14ac:dyDescent="0.25">
      <c r="B176" s="236"/>
      <c r="C176" s="23"/>
      <c r="D176" s="23">
        <f t="shared" si="15"/>
        <v>149</v>
      </c>
      <c r="E176" s="238">
        <f t="shared" si="12"/>
        <v>1.9994169967615267E-9</v>
      </c>
      <c r="F176" s="238">
        <f t="shared" si="13"/>
        <v>1.914265199936754E-11</v>
      </c>
      <c r="G176" s="238">
        <f t="shared" si="14"/>
        <v>-1.914265199936754E-11</v>
      </c>
      <c r="H176" s="237">
        <f t="shared" si="11"/>
        <v>0</v>
      </c>
      <c r="I176" s="23"/>
      <c r="J176" s="235"/>
    </row>
    <row r="177" spans="2:10" x14ac:dyDescent="0.25">
      <c r="B177" s="236"/>
      <c r="C177" s="23"/>
      <c r="D177" s="23">
        <f t="shared" si="15"/>
        <v>150</v>
      </c>
      <c r="E177" s="238">
        <f t="shared" si="12"/>
        <v>2.0187446943968881E-9</v>
      </c>
      <c r="F177" s="238">
        <f t="shared" si="13"/>
        <v>1.9327697635361427E-11</v>
      </c>
      <c r="G177" s="238">
        <f t="shared" si="14"/>
        <v>-1.9327697635361427E-11</v>
      </c>
      <c r="H177" s="237">
        <f t="shared" si="11"/>
        <v>0</v>
      </c>
      <c r="I177" s="23"/>
      <c r="J177" s="235"/>
    </row>
    <row r="178" spans="2:10" x14ac:dyDescent="0.25">
      <c r="B178" s="236"/>
      <c r="C178" s="23"/>
      <c r="D178" s="23">
        <f t="shared" si="15"/>
        <v>151</v>
      </c>
      <c r="E178" s="238">
        <f t="shared" si="12"/>
        <v>2.0382592264427247E-9</v>
      </c>
      <c r="F178" s="238">
        <f t="shared" si="13"/>
        <v>1.9514532045836586E-11</v>
      </c>
      <c r="G178" s="238">
        <f t="shared" si="14"/>
        <v>-1.9514532045836586E-11</v>
      </c>
      <c r="H178" s="237">
        <f t="shared" si="11"/>
        <v>0</v>
      </c>
      <c r="I178" s="23"/>
      <c r="J178" s="235"/>
    </row>
    <row r="179" spans="2:10" x14ac:dyDescent="0.25">
      <c r="B179" s="236"/>
      <c r="C179" s="23"/>
      <c r="D179" s="23">
        <f t="shared" si="15"/>
        <v>152</v>
      </c>
      <c r="E179" s="238">
        <f t="shared" si="12"/>
        <v>2.0579623989650045E-9</v>
      </c>
      <c r="F179" s="238">
        <f t="shared" si="13"/>
        <v>1.9703172522279673E-11</v>
      </c>
      <c r="G179" s="238">
        <f t="shared" si="14"/>
        <v>-1.9703172522279673E-11</v>
      </c>
      <c r="H179" s="237">
        <f t="shared" si="11"/>
        <v>0</v>
      </c>
      <c r="I179" s="23"/>
      <c r="J179" s="235"/>
    </row>
    <row r="180" spans="2:10" x14ac:dyDescent="0.25">
      <c r="B180" s="236"/>
      <c r="C180" s="23"/>
      <c r="D180" s="23">
        <f t="shared" si="15"/>
        <v>153</v>
      </c>
      <c r="E180" s="238">
        <f t="shared" si="12"/>
        <v>2.077856035488333E-9</v>
      </c>
      <c r="F180" s="238">
        <f t="shared" si="13"/>
        <v>1.9893636523328378E-11</v>
      </c>
      <c r="G180" s="238">
        <f t="shared" si="14"/>
        <v>-1.9893636523328378E-11</v>
      </c>
      <c r="H180" s="237">
        <f t="shared" si="11"/>
        <v>0</v>
      </c>
      <c r="I180" s="23"/>
      <c r="J180" s="235"/>
    </row>
    <row r="181" spans="2:10" x14ac:dyDescent="0.25">
      <c r="B181" s="236"/>
      <c r="C181" s="23"/>
      <c r="D181" s="23">
        <f t="shared" si="15"/>
        <v>154</v>
      </c>
      <c r="E181" s="238">
        <f t="shared" si="12"/>
        <v>2.0979419771647202E-9</v>
      </c>
      <c r="F181" s="238">
        <f t="shared" si="13"/>
        <v>2.008594167638722E-11</v>
      </c>
      <c r="G181" s="238">
        <f t="shared" si="14"/>
        <v>-2.008594167638722E-11</v>
      </c>
      <c r="H181" s="237">
        <f t="shared" si="11"/>
        <v>0</v>
      </c>
      <c r="I181" s="23"/>
      <c r="J181" s="235"/>
    </row>
    <row r="182" spans="2:10" x14ac:dyDescent="0.25">
      <c r="B182" s="236"/>
      <c r="C182" s="23"/>
      <c r="D182" s="23">
        <f t="shared" si="15"/>
        <v>155</v>
      </c>
      <c r="E182" s="238">
        <f t="shared" si="12"/>
        <v>2.1182220829439791E-9</v>
      </c>
      <c r="F182" s="238">
        <f t="shared" si="13"/>
        <v>2.0280105779258963E-11</v>
      </c>
      <c r="G182" s="238">
        <f t="shared" si="14"/>
        <v>-2.0280105779258963E-11</v>
      </c>
      <c r="H182" s="237">
        <f t="shared" si="11"/>
        <v>0</v>
      </c>
      <c r="I182" s="23"/>
      <c r="J182" s="235"/>
    </row>
    <row r="183" spans="2:10" x14ac:dyDescent="0.25">
      <c r="B183" s="236"/>
      <c r="C183" s="23"/>
      <c r="D183" s="23">
        <f t="shared" si="15"/>
        <v>156</v>
      </c>
      <c r="E183" s="238">
        <f t="shared" si="12"/>
        <v>2.1386982297457708E-9</v>
      </c>
      <c r="F183" s="238">
        <f t="shared" si="13"/>
        <v>2.0476146801791801E-11</v>
      </c>
      <c r="G183" s="238">
        <f t="shared" si="14"/>
        <v>-2.0476146801791801E-11</v>
      </c>
      <c r="H183" s="237">
        <f t="shared" si="11"/>
        <v>0</v>
      </c>
      <c r="I183" s="23"/>
      <c r="J183" s="235"/>
    </row>
    <row r="184" spans="2:10" x14ac:dyDescent="0.25">
      <c r="B184" s="236"/>
      <c r="C184" s="23"/>
      <c r="D184" s="23">
        <f t="shared" si="15"/>
        <v>157</v>
      </c>
      <c r="E184" s="238">
        <f t="shared" si="12"/>
        <v>2.1593723126333133E-9</v>
      </c>
      <c r="F184" s="238">
        <f t="shared" si="13"/>
        <v>2.0674082887542449E-11</v>
      </c>
      <c r="G184" s="238">
        <f t="shared" si="14"/>
        <v>-2.0674082887542449E-11</v>
      </c>
      <c r="H184" s="237">
        <f t="shared" si="11"/>
        <v>0</v>
      </c>
      <c r="I184" s="23"/>
      <c r="J184" s="235"/>
    </row>
    <row r="185" spans="2:10" x14ac:dyDescent="0.25">
      <c r="B185" s="236"/>
      <c r="C185" s="23"/>
      <c r="D185" s="23">
        <f t="shared" si="15"/>
        <v>158</v>
      </c>
      <c r="E185" s="238">
        <f t="shared" si="12"/>
        <v>2.1802462449887685E-9</v>
      </c>
      <c r="F185" s="238">
        <f t="shared" si="13"/>
        <v>2.0873932355455364E-11</v>
      </c>
      <c r="G185" s="238">
        <f t="shared" si="14"/>
        <v>-2.0873932355455364E-11</v>
      </c>
      <c r="H185" s="237">
        <f t="shared" si="11"/>
        <v>0</v>
      </c>
      <c r="I185" s="23"/>
      <c r="J185" s="235"/>
    </row>
    <row r="186" spans="2:10" x14ac:dyDescent="0.25">
      <c r="B186" s="236"/>
      <c r="C186" s="23"/>
      <c r="D186" s="23">
        <f t="shared" si="15"/>
        <v>159</v>
      </c>
      <c r="E186" s="238">
        <f t="shared" si="12"/>
        <v>2.2013219586903266E-9</v>
      </c>
      <c r="F186" s="238">
        <f t="shared" si="13"/>
        <v>2.1075713701558095E-11</v>
      </c>
      <c r="G186" s="238">
        <f t="shared" si="14"/>
        <v>-2.1075713701558095E-11</v>
      </c>
      <c r="H186" s="237">
        <f t="shared" si="11"/>
        <v>0</v>
      </c>
      <c r="I186" s="23"/>
      <c r="J186" s="235"/>
    </row>
    <row r="187" spans="2:10" x14ac:dyDescent="0.25">
      <c r="B187" s="236"/>
      <c r="C187" s="23"/>
      <c r="D187" s="23">
        <f t="shared" si="15"/>
        <v>160</v>
      </c>
      <c r="E187" s="238">
        <f t="shared" si="12"/>
        <v>2.2226014042909996E-9</v>
      </c>
      <c r="F187" s="238">
        <f t="shared" si="13"/>
        <v>2.127944560067316E-11</v>
      </c>
      <c r="G187" s="238">
        <f t="shared" si="14"/>
        <v>-2.127944560067316E-11</v>
      </c>
      <c r="H187" s="237">
        <f t="shared" si="11"/>
        <v>0</v>
      </c>
      <c r="I187" s="23"/>
      <c r="J187" s="235"/>
    </row>
    <row r="188" spans="2:10" x14ac:dyDescent="0.25">
      <c r="B188" s="236"/>
      <c r="C188" s="23"/>
      <c r="D188" s="23">
        <f t="shared" si="15"/>
        <v>161</v>
      </c>
      <c r="E188" s="238">
        <f t="shared" si="12"/>
        <v>2.2440865511991459E-9</v>
      </c>
      <c r="F188" s="238">
        <f t="shared" si="13"/>
        <v>2.1485146908146331E-11</v>
      </c>
      <c r="G188" s="238">
        <f t="shared" si="14"/>
        <v>-2.1485146908146331E-11</v>
      </c>
      <c r="H188" s="237">
        <f t="shared" si="11"/>
        <v>0</v>
      </c>
      <c r="I188" s="23"/>
      <c r="J188" s="235"/>
    </row>
    <row r="189" spans="2:10" x14ac:dyDescent="0.25">
      <c r="B189" s="236"/>
      <c r="C189" s="23"/>
      <c r="D189" s="23">
        <f t="shared" si="15"/>
        <v>162</v>
      </c>
      <c r="E189" s="238">
        <f t="shared" si="12"/>
        <v>2.2657793878607376E-9</v>
      </c>
      <c r="F189" s="238">
        <f t="shared" si="13"/>
        <v>2.1692836661591746E-11</v>
      </c>
      <c r="G189" s="238">
        <f t="shared" si="14"/>
        <v>-2.1692836661591746E-11</v>
      </c>
      <c r="H189" s="237">
        <f t="shared" si="11"/>
        <v>0</v>
      </c>
      <c r="I189" s="23"/>
      <c r="J189" s="235"/>
    </row>
    <row r="190" spans="2:10" x14ac:dyDescent="0.25">
      <c r="B190" s="236"/>
      <c r="C190" s="23"/>
      <c r="D190" s="23">
        <f t="shared" si="15"/>
        <v>163</v>
      </c>
      <c r="E190" s="238">
        <f t="shared" si="12"/>
        <v>2.2876819219433913E-9</v>
      </c>
      <c r="F190" s="238">
        <f t="shared" si="13"/>
        <v>2.1902534082653799E-11</v>
      </c>
      <c r="G190" s="238">
        <f t="shared" si="14"/>
        <v>-2.1902534082653799E-11</v>
      </c>
      <c r="H190" s="237">
        <f t="shared" si="11"/>
        <v>0</v>
      </c>
      <c r="I190" s="23"/>
      <c r="J190" s="235"/>
    </row>
    <row r="191" spans="2:10" x14ac:dyDescent="0.25">
      <c r="B191" s="236"/>
      <c r="C191" s="23"/>
      <c r="D191" s="23">
        <f t="shared" si="15"/>
        <v>164</v>
      </c>
      <c r="E191" s="238">
        <f t="shared" si="12"/>
        <v>2.3097961805221776E-9</v>
      </c>
      <c r="F191" s="238">
        <f t="shared" si="13"/>
        <v>2.2114258578786114E-11</v>
      </c>
      <c r="G191" s="238">
        <f t="shared" si="14"/>
        <v>-2.2114258578786114E-11</v>
      </c>
      <c r="H191" s="237">
        <f t="shared" si="11"/>
        <v>0</v>
      </c>
      <c r="I191" s="23"/>
      <c r="J191" s="235"/>
    </row>
    <row r="192" spans="2:10" x14ac:dyDescent="0.25">
      <c r="B192" s="236"/>
      <c r="C192" s="23"/>
      <c r="D192" s="23">
        <f t="shared" si="15"/>
        <v>165</v>
      </c>
      <c r="E192" s="238">
        <f t="shared" si="12"/>
        <v>2.3321242102672252E-9</v>
      </c>
      <c r="F192" s="238">
        <f t="shared" si="13"/>
        <v>2.2328029745047715E-11</v>
      </c>
      <c r="G192" s="238">
        <f t="shared" si="14"/>
        <v>-2.2328029745047715E-11</v>
      </c>
      <c r="H192" s="237">
        <f t="shared" si="11"/>
        <v>0</v>
      </c>
      <c r="I192" s="23"/>
      <c r="J192" s="235"/>
    </row>
    <row r="193" spans="2:10" x14ac:dyDescent="0.25">
      <c r="B193" s="236"/>
      <c r="C193" s="23"/>
      <c r="D193" s="23">
        <f t="shared" si="15"/>
        <v>166</v>
      </c>
      <c r="E193" s="238">
        <f t="shared" si="12"/>
        <v>2.3546680776331416E-9</v>
      </c>
      <c r="F193" s="238">
        <f t="shared" si="13"/>
        <v>2.2543867365916511E-11</v>
      </c>
      <c r="G193" s="238">
        <f t="shared" si="14"/>
        <v>-2.2543867365916511E-11</v>
      </c>
      <c r="H193" s="237">
        <f t="shared" si="11"/>
        <v>0</v>
      </c>
      <c r="I193" s="23"/>
      <c r="J193" s="235"/>
    </row>
    <row r="194" spans="2:10" x14ac:dyDescent="0.25">
      <c r="B194" s="236"/>
      <c r="C194" s="23"/>
      <c r="D194" s="23">
        <f t="shared" si="15"/>
        <v>167</v>
      </c>
      <c r="E194" s="238">
        <f t="shared" si="12"/>
        <v>2.377429869050262E-9</v>
      </c>
      <c r="F194" s="238">
        <f t="shared" si="13"/>
        <v>2.2761791417120368E-11</v>
      </c>
      <c r="G194" s="238">
        <f t="shared" si="14"/>
        <v>-2.2761791417120368E-11</v>
      </c>
      <c r="H194" s="237">
        <f t="shared" si="11"/>
        <v>0</v>
      </c>
      <c r="I194" s="23"/>
      <c r="J194" s="235"/>
    </row>
    <row r="195" spans="2:10" x14ac:dyDescent="0.25">
      <c r="B195" s="236"/>
      <c r="C195" s="23"/>
      <c r="D195" s="23">
        <f t="shared" si="15"/>
        <v>168</v>
      </c>
      <c r="E195" s="238">
        <f t="shared" si="12"/>
        <v>2.4004116911177479E-9</v>
      </c>
      <c r="F195" s="238">
        <f t="shared" si="13"/>
        <v>2.2981822067485866E-11</v>
      </c>
      <c r="G195" s="238">
        <f t="shared" si="14"/>
        <v>-2.2981822067485866E-11</v>
      </c>
      <c r="H195" s="237">
        <f t="shared" si="11"/>
        <v>0</v>
      </c>
      <c r="I195" s="23"/>
      <c r="J195" s="235"/>
    </row>
    <row r="196" spans="2:10" x14ac:dyDescent="0.25">
      <c r="B196" s="236"/>
      <c r="C196" s="23"/>
      <c r="D196" s="23">
        <f t="shared" si="15"/>
        <v>169</v>
      </c>
      <c r="E196" s="238">
        <f t="shared" si="12"/>
        <v>2.423615670798553E-9</v>
      </c>
      <c r="F196" s="238">
        <f t="shared" si="13"/>
        <v>2.3203979680804897E-11</v>
      </c>
      <c r="G196" s="238">
        <f t="shared" si="14"/>
        <v>-2.3203979680804897E-11</v>
      </c>
      <c r="H196" s="237">
        <f t="shared" si="11"/>
        <v>0</v>
      </c>
      <c r="I196" s="23"/>
      <c r="J196" s="235"/>
    </row>
    <row r="197" spans="2:10" x14ac:dyDescent="0.25">
      <c r="B197" s="236"/>
      <c r="C197" s="23"/>
      <c r="D197" s="23">
        <f t="shared" si="15"/>
        <v>170</v>
      </c>
      <c r="E197" s="238">
        <f t="shared" si="12"/>
        <v>2.4470439556162725E-9</v>
      </c>
      <c r="F197" s="238">
        <f t="shared" si="13"/>
        <v>2.3428284817719345E-11</v>
      </c>
      <c r="G197" s="238">
        <f t="shared" si="14"/>
        <v>-2.3428284817719345E-11</v>
      </c>
      <c r="H197" s="237">
        <f t="shared" si="11"/>
        <v>0</v>
      </c>
      <c r="I197" s="23"/>
      <c r="J197" s="235"/>
    </row>
    <row r="198" spans="2:10" x14ac:dyDescent="0.25">
      <c r="B198" s="236"/>
      <c r="C198" s="23"/>
      <c r="D198" s="23">
        <f t="shared" si="15"/>
        <v>171</v>
      </c>
      <c r="E198" s="238">
        <f t="shared" si="12"/>
        <v>2.4706987138538965E-9</v>
      </c>
      <c r="F198" s="238">
        <f t="shared" si="13"/>
        <v>2.3654758237623968E-11</v>
      </c>
      <c r="G198" s="238">
        <f t="shared" si="14"/>
        <v>-2.3654758237623968E-11</v>
      </c>
      <c r="H198" s="237">
        <f t="shared" si="11"/>
        <v>0</v>
      </c>
      <c r="I198" s="23"/>
      <c r="J198" s="235"/>
    </row>
    <row r="199" spans="2:10" x14ac:dyDescent="0.25">
      <c r="B199" s="236"/>
      <c r="C199" s="23"/>
      <c r="D199" s="23">
        <f t="shared" si="15"/>
        <v>172</v>
      </c>
      <c r="E199" s="238">
        <f t="shared" si="12"/>
        <v>2.4945821347544841E-9</v>
      </c>
      <c r="F199" s="238">
        <f t="shared" si="13"/>
        <v>2.3883420900587666E-11</v>
      </c>
      <c r="G199" s="238">
        <f t="shared" si="14"/>
        <v>-2.3883420900587666E-11</v>
      </c>
      <c r="H199" s="237">
        <f t="shared" si="11"/>
        <v>0</v>
      </c>
      <c r="I199" s="23"/>
      <c r="J199" s="235"/>
    </row>
    <row r="200" spans="2:10" x14ac:dyDescent="0.25">
      <c r="B200" s="236"/>
      <c r="C200" s="23"/>
      <c r="D200" s="23">
        <f t="shared" si="15"/>
        <v>173</v>
      </c>
      <c r="E200" s="238">
        <f t="shared" si="12"/>
        <v>2.5186964287237774E-9</v>
      </c>
      <c r="F200" s="238">
        <f t="shared" si="13"/>
        <v>2.4114293969293345E-11</v>
      </c>
      <c r="G200" s="238">
        <f t="shared" si="14"/>
        <v>-2.4114293969293345E-11</v>
      </c>
      <c r="H200" s="237">
        <f t="shared" si="11"/>
        <v>0</v>
      </c>
      <c r="I200" s="23"/>
      <c r="J200" s="235"/>
    </row>
    <row r="201" spans="2:10" x14ac:dyDescent="0.25">
      <c r="B201" s="236"/>
      <c r="C201" s="23"/>
      <c r="D201" s="23">
        <f t="shared" si="15"/>
        <v>174</v>
      </c>
      <c r="E201" s="238">
        <f t="shared" si="12"/>
        <v>2.5430438275347737E-9</v>
      </c>
      <c r="F201" s="238">
        <f t="shared" si="13"/>
        <v>2.4347398810996513E-11</v>
      </c>
      <c r="G201" s="238">
        <f t="shared" si="14"/>
        <v>-2.4347398810996513E-11</v>
      </c>
      <c r="H201" s="237">
        <f t="shared" si="11"/>
        <v>0</v>
      </c>
      <c r="I201" s="23"/>
      <c r="J201" s="235"/>
    </row>
    <row r="202" spans="2:10" x14ac:dyDescent="0.25">
      <c r="B202" s="236"/>
      <c r="C202" s="23"/>
      <c r="D202" s="23">
        <f t="shared" si="15"/>
        <v>175</v>
      </c>
      <c r="E202" s="238">
        <f t="shared" si="12"/>
        <v>2.5676265845342764E-9</v>
      </c>
      <c r="F202" s="238">
        <f t="shared" si="13"/>
        <v>2.4582756999502815E-11</v>
      </c>
      <c r="G202" s="238">
        <f t="shared" si="14"/>
        <v>-2.4582756999502815E-11</v>
      </c>
      <c r="H202" s="237">
        <f t="shared" si="11"/>
        <v>0</v>
      </c>
      <c r="I202" s="23"/>
      <c r="J202" s="235"/>
    </row>
    <row r="203" spans="2:10" x14ac:dyDescent="0.25">
      <c r="B203" s="236"/>
      <c r="C203" s="23"/>
      <c r="D203" s="23">
        <f t="shared" si="15"/>
        <v>176</v>
      </c>
      <c r="E203" s="238">
        <f t="shared" si="12"/>
        <v>2.5924469748514412E-9</v>
      </c>
      <c r="F203" s="238">
        <f t="shared" si="13"/>
        <v>2.4820390317164673E-11</v>
      </c>
      <c r="G203" s="238">
        <f t="shared" si="14"/>
        <v>-2.4820390317164673E-11</v>
      </c>
      <c r="H203" s="237">
        <f t="shared" si="11"/>
        <v>0</v>
      </c>
      <c r="I203" s="23"/>
      <c r="J203" s="235"/>
    </row>
    <row r="204" spans="2:10" x14ac:dyDescent="0.25">
      <c r="B204" s="236"/>
      <c r="C204" s="23"/>
      <c r="D204" s="23">
        <f t="shared" si="15"/>
        <v>177</v>
      </c>
      <c r="E204" s="238">
        <f t="shared" si="12"/>
        <v>2.6175072956083384E-9</v>
      </c>
      <c r="F204" s="238">
        <f t="shared" si="13"/>
        <v>2.5060320756897266E-11</v>
      </c>
      <c r="G204" s="238">
        <f t="shared" si="14"/>
        <v>-2.5060320756897266E-11</v>
      </c>
      <c r="H204" s="237">
        <f t="shared" si="11"/>
        <v>0</v>
      </c>
      <c r="I204" s="23"/>
      <c r="J204" s="235"/>
    </row>
    <row r="205" spans="2:10" x14ac:dyDescent="0.25">
      <c r="B205" s="236"/>
      <c r="C205" s="23"/>
      <c r="D205" s="23">
        <f t="shared" si="15"/>
        <v>178</v>
      </c>
      <c r="E205" s="238">
        <f t="shared" si="12"/>
        <v>2.6428098661325525E-9</v>
      </c>
      <c r="F205" s="238">
        <f t="shared" si="13"/>
        <v>2.5302570524213938E-11</v>
      </c>
      <c r="G205" s="238">
        <f t="shared" si="14"/>
        <v>-2.5302570524213938E-11</v>
      </c>
      <c r="H205" s="237">
        <f t="shared" si="11"/>
        <v>0</v>
      </c>
      <c r="I205" s="23"/>
      <c r="J205" s="235"/>
    </row>
    <row r="206" spans="2:10" x14ac:dyDescent="0.25">
      <c r="B206" s="236"/>
      <c r="C206" s="23"/>
      <c r="D206" s="23">
        <f t="shared" si="15"/>
        <v>179</v>
      </c>
      <c r="E206" s="238">
        <f t="shared" si="12"/>
        <v>2.6683570281718339E-9</v>
      </c>
      <c r="F206" s="238">
        <f t="shared" si="13"/>
        <v>2.5547162039281342E-11</v>
      </c>
      <c r="G206" s="238">
        <f t="shared" si="14"/>
        <v>-2.5547162039281342E-11</v>
      </c>
      <c r="H206" s="237">
        <f t="shared" si="11"/>
        <v>0</v>
      </c>
      <c r="I206" s="23"/>
      <c r="J206" s="235"/>
    </row>
    <row r="207" spans="2:10" x14ac:dyDescent="0.25">
      <c r="B207" s="236"/>
      <c r="C207" s="23"/>
      <c r="D207" s="23">
        <f t="shared" si="15"/>
        <v>180</v>
      </c>
      <c r="E207" s="238">
        <f t="shared" si="12"/>
        <v>2.6941511461108282E-9</v>
      </c>
      <c r="F207" s="238">
        <f t="shared" si="13"/>
        <v>2.5794117938994394E-11</v>
      </c>
      <c r="G207" s="238">
        <f t="shared" si="14"/>
        <v>-2.5794117938994394E-11</v>
      </c>
      <c r="H207" s="237">
        <f t="shared" si="11"/>
        <v>0</v>
      </c>
      <c r="I207" s="23"/>
      <c r="J207" s="235"/>
    </row>
    <row r="208" spans="2:10" x14ac:dyDescent="0.25">
      <c r="B208" s="236"/>
      <c r="C208" s="23"/>
      <c r="D208" s="23">
        <f t="shared" si="15"/>
        <v>181</v>
      </c>
      <c r="E208" s="238">
        <f t="shared" si="12"/>
        <v>2.7201946071898995E-9</v>
      </c>
      <c r="F208" s="238">
        <f t="shared" si="13"/>
        <v>2.6043461079071341E-11</v>
      </c>
      <c r="G208" s="238">
        <f t="shared" si="14"/>
        <v>-2.6043461079071341E-11</v>
      </c>
      <c r="H208" s="237">
        <f t="shared" si="11"/>
        <v>0</v>
      </c>
      <c r="I208" s="23"/>
      <c r="J208" s="235"/>
    </row>
    <row r="209" spans="2:10" x14ac:dyDescent="0.25">
      <c r="B209" s="236"/>
      <c r="C209" s="23"/>
      <c r="D209" s="23">
        <f t="shared" si="15"/>
        <v>182</v>
      </c>
      <c r="E209" s="238">
        <f t="shared" si="12"/>
        <v>2.7464898217260684E-9</v>
      </c>
      <c r="F209" s="238">
        <f t="shared" si="13"/>
        <v>2.629521453616903E-11</v>
      </c>
      <c r="G209" s="238">
        <f t="shared" si="14"/>
        <v>-2.629521453616903E-11</v>
      </c>
      <c r="H209" s="237">
        <f t="shared" si="11"/>
        <v>0</v>
      </c>
      <c r="I209" s="23"/>
      <c r="J209" s="235"/>
    </row>
    <row r="210" spans="2:10" x14ac:dyDescent="0.25">
      <c r="B210" s="236"/>
      <c r="C210" s="23"/>
      <c r="D210" s="23">
        <f t="shared" si="15"/>
        <v>183</v>
      </c>
      <c r="E210" s="238">
        <f t="shared" si="12"/>
        <v>2.7730392233360872E-9</v>
      </c>
      <c r="F210" s="238">
        <f t="shared" si="13"/>
        <v>2.6549401610018661E-11</v>
      </c>
      <c r="G210" s="238">
        <f t="shared" si="14"/>
        <v>-2.6549401610018661E-11</v>
      </c>
      <c r="H210" s="237">
        <f t="shared" si="11"/>
        <v>0</v>
      </c>
      <c r="I210" s="23"/>
      <c r="J210" s="235"/>
    </row>
    <row r="211" spans="2:10" x14ac:dyDescent="0.25">
      <c r="B211" s="236"/>
      <c r="C211" s="23"/>
      <c r="D211" s="23">
        <f t="shared" si="15"/>
        <v>184</v>
      </c>
      <c r="E211" s="238">
        <f t="shared" si="12"/>
        <v>2.7998452691616692E-9</v>
      </c>
      <c r="F211" s="238">
        <f t="shared" si="13"/>
        <v>2.680604582558218E-11</v>
      </c>
      <c r="G211" s="238">
        <f t="shared" si="14"/>
        <v>-2.680604582558218E-11</v>
      </c>
      <c r="H211" s="237">
        <f t="shared" si="11"/>
        <v>0</v>
      </c>
      <c r="I211" s="23"/>
      <c r="J211" s="235"/>
    </row>
    <row r="212" spans="2:10" x14ac:dyDescent="0.25">
      <c r="B212" s="236"/>
      <c r="C212" s="23"/>
      <c r="D212" s="23">
        <f t="shared" si="15"/>
        <v>185</v>
      </c>
      <c r="E212" s="238">
        <f t="shared" si="12"/>
        <v>2.8269104400968988E-9</v>
      </c>
      <c r="F212" s="238">
        <f t="shared" si="13"/>
        <v>2.7065170935229471E-11</v>
      </c>
      <c r="G212" s="238">
        <f t="shared" si="14"/>
        <v>-2.7065170935229471E-11</v>
      </c>
      <c r="H212" s="237">
        <f t="shared" si="11"/>
        <v>0</v>
      </c>
      <c r="I212" s="23"/>
      <c r="J212" s="235"/>
    </row>
    <row r="213" spans="2:10" x14ac:dyDescent="0.25">
      <c r="B213" s="236"/>
      <c r="C213" s="23"/>
      <c r="D213" s="23">
        <f t="shared" si="15"/>
        <v>186</v>
      </c>
      <c r="E213" s="238">
        <f t="shared" si="12"/>
        <v>2.8542372410178354E-9</v>
      </c>
      <c r="F213" s="238">
        <f t="shared" si="13"/>
        <v>2.732680092093669E-11</v>
      </c>
      <c r="G213" s="238">
        <f t="shared" si="14"/>
        <v>-2.732680092093669E-11</v>
      </c>
      <c r="H213" s="237">
        <f t="shared" si="11"/>
        <v>0</v>
      </c>
      <c r="I213" s="23"/>
      <c r="J213" s="235"/>
    </row>
    <row r="214" spans="2:10" x14ac:dyDescent="0.25">
      <c r="B214" s="236"/>
      <c r="C214" s="23"/>
      <c r="D214" s="23">
        <f t="shared" si="15"/>
        <v>187</v>
      </c>
      <c r="E214" s="238">
        <f t="shared" si="12"/>
        <v>2.881828201014341E-9</v>
      </c>
      <c r="F214" s="238">
        <f t="shared" si="13"/>
        <v>2.7590959996505744E-11</v>
      </c>
      <c r="G214" s="238">
        <f t="shared" si="14"/>
        <v>-2.7590959996505744E-11</v>
      </c>
      <c r="H214" s="237">
        <f t="shared" si="11"/>
        <v>0</v>
      </c>
      <c r="I214" s="23"/>
      <c r="J214" s="235"/>
    </row>
    <row r="215" spans="2:10" x14ac:dyDescent="0.25">
      <c r="B215" s="236"/>
      <c r="C215" s="23"/>
      <c r="D215" s="23">
        <f t="shared" si="15"/>
        <v>188</v>
      </c>
      <c r="E215" s="238">
        <f t="shared" si="12"/>
        <v>2.9096858736241464E-9</v>
      </c>
      <c r="F215" s="238">
        <f t="shared" si="13"/>
        <v>2.7857672609805297E-11</v>
      </c>
      <c r="G215" s="238">
        <f t="shared" si="14"/>
        <v>-2.7857672609805297E-11</v>
      </c>
      <c r="H215" s="237">
        <f t="shared" si="11"/>
        <v>0</v>
      </c>
      <c r="I215" s="23"/>
      <c r="J215" s="235"/>
    </row>
    <row r="216" spans="2:10" x14ac:dyDescent="0.25">
      <c r="B216" s="236"/>
      <c r="C216" s="23"/>
      <c r="D216" s="23">
        <f t="shared" si="15"/>
        <v>189</v>
      </c>
      <c r="E216" s="238">
        <f t="shared" si="12"/>
        <v>2.9378128370691796E-9</v>
      </c>
      <c r="F216" s="238">
        <f t="shared" si="13"/>
        <v>2.8126963445033414E-11</v>
      </c>
      <c r="G216" s="238">
        <f t="shared" si="14"/>
        <v>-2.8126963445033414E-11</v>
      </c>
      <c r="H216" s="237">
        <f t="shared" si="11"/>
        <v>0</v>
      </c>
      <c r="I216" s="23"/>
      <c r="J216" s="235"/>
    </row>
    <row r="217" spans="2:10" x14ac:dyDescent="0.25">
      <c r="B217" s="236"/>
      <c r="C217" s="23"/>
      <c r="D217" s="23">
        <f t="shared" si="15"/>
        <v>190</v>
      </c>
      <c r="E217" s="238">
        <f t="shared" si="12"/>
        <v>2.9662116944941816E-9</v>
      </c>
      <c r="F217" s="238">
        <f t="shared" si="13"/>
        <v>2.839885742500207E-11</v>
      </c>
      <c r="G217" s="238">
        <f t="shared" si="14"/>
        <v>-2.839885742500207E-11</v>
      </c>
      <c r="H217" s="237">
        <f t="shared" si="11"/>
        <v>0</v>
      </c>
      <c r="I217" s="23"/>
      <c r="J217" s="235"/>
    </row>
    <row r="218" spans="2:10" x14ac:dyDescent="0.25">
      <c r="B218" s="236"/>
      <c r="C218" s="23"/>
      <c r="D218" s="23">
        <f t="shared" si="15"/>
        <v>191</v>
      </c>
      <c r="E218" s="238">
        <f t="shared" si="12"/>
        <v>2.9948850742076254E-9</v>
      </c>
      <c r="F218" s="238">
        <f t="shared" si="13"/>
        <v>2.8673379713443755E-11</v>
      </c>
      <c r="G218" s="238">
        <f t="shared" si="14"/>
        <v>-2.8673379713443755E-11</v>
      </c>
      <c r="H218" s="237">
        <f t="shared" si="11"/>
        <v>0</v>
      </c>
      <c r="I218" s="23"/>
      <c r="J218" s="235"/>
    </row>
    <row r="219" spans="2:10" x14ac:dyDescent="0.25">
      <c r="B219" s="236"/>
      <c r="C219" s="23"/>
      <c r="D219" s="23">
        <f t="shared" si="15"/>
        <v>192</v>
      </c>
      <c r="E219" s="238">
        <f t="shared" si="12"/>
        <v>3.0238356299249656E-9</v>
      </c>
      <c r="F219" s="238">
        <f t="shared" si="13"/>
        <v>2.895055571734038E-11</v>
      </c>
      <c r="G219" s="238">
        <f t="shared" si="14"/>
        <v>-2.895055571734038E-11</v>
      </c>
      <c r="H219" s="237">
        <f t="shared" si="11"/>
        <v>0</v>
      </c>
      <c r="I219" s="23"/>
      <c r="J219" s="235"/>
    </row>
    <row r="220" spans="2:10" x14ac:dyDescent="0.25">
      <c r="B220" s="236"/>
      <c r="C220" s="23"/>
      <c r="D220" s="23">
        <f t="shared" si="15"/>
        <v>193</v>
      </c>
      <c r="E220" s="238">
        <f t="shared" si="12"/>
        <v>3.0530660410142403E-9</v>
      </c>
      <c r="F220" s="238">
        <f t="shared" si="13"/>
        <v>2.9230411089274667E-11</v>
      </c>
      <c r="G220" s="238">
        <f t="shared" si="14"/>
        <v>-2.9230411089274667E-11</v>
      </c>
      <c r="H220" s="237">
        <f t="shared" ref="H220:H283" si="16">IF(D220&gt;$D$9,0,E219*($D$19/12/(1-(1+$D$19/12)^(-($D$9-D219)))))</f>
        <v>0</v>
      </c>
      <c r="I220" s="23"/>
      <c r="J220" s="235"/>
    </row>
    <row r="221" spans="2:10" x14ac:dyDescent="0.25">
      <c r="B221" s="236"/>
      <c r="C221" s="23"/>
      <c r="D221" s="23">
        <f t="shared" si="15"/>
        <v>194</v>
      </c>
      <c r="E221" s="238">
        <f t="shared" ref="E221:E284" si="17">MAX(E220-G221,0)</f>
        <v>3.0825790127440446E-9</v>
      </c>
      <c r="F221" s="238">
        <f t="shared" ref="F221:F284" si="18">MAX(E220*$D$19/12,0)</f>
        <v>2.9512971729804322E-11</v>
      </c>
      <c r="G221" s="238">
        <f t="shared" ref="G221:G284" si="19">H221-F221</f>
        <v>-2.9512971729804322E-11</v>
      </c>
      <c r="H221" s="237">
        <f t="shared" si="16"/>
        <v>0</v>
      </c>
      <c r="I221" s="23"/>
      <c r="J221" s="235"/>
    </row>
    <row r="222" spans="2:10" x14ac:dyDescent="0.25">
      <c r="B222" s="236"/>
      <c r="C222" s="23"/>
      <c r="D222" s="23">
        <f t="shared" si="15"/>
        <v>195</v>
      </c>
      <c r="E222" s="238">
        <f t="shared" si="17"/>
        <v>3.1123772765339038E-9</v>
      </c>
      <c r="F222" s="238">
        <f t="shared" si="18"/>
        <v>2.9798263789859098E-11</v>
      </c>
      <c r="G222" s="238">
        <f t="shared" si="19"/>
        <v>-2.9798263789859098E-11</v>
      </c>
      <c r="H222" s="237">
        <f t="shared" si="16"/>
        <v>0</v>
      </c>
      <c r="I222" s="23"/>
      <c r="J222" s="235"/>
    </row>
    <row r="223" spans="2:10" x14ac:dyDescent="0.25">
      <c r="B223" s="236"/>
      <c r="C223" s="23"/>
      <c r="D223" s="23">
        <f t="shared" si="15"/>
        <v>196</v>
      </c>
      <c r="E223" s="238">
        <f t="shared" si="17"/>
        <v>3.1424635902070648E-9</v>
      </c>
      <c r="F223" s="238">
        <f t="shared" si="18"/>
        <v>3.0086313673161069E-11</v>
      </c>
      <c r="G223" s="238">
        <f t="shared" si="19"/>
        <v>-3.0086313673161069E-11</v>
      </c>
      <c r="H223" s="237">
        <f t="shared" si="16"/>
        <v>0</v>
      </c>
      <c r="I223" s="23"/>
      <c r="J223" s="235"/>
    </row>
    <row r="224" spans="2:10" x14ac:dyDescent="0.25">
      <c r="B224" s="236"/>
      <c r="C224" s="23"/>
      <c r="D224" s="23">
        <f t="shared" si="15"/>
        <v>197</v>
      </c>
      <c r="E224" s="238">
        <f t="shared" si="17"/>
        <v>3.1728407382457331E-9</v>
      </c>
      <c r="F224" s="238">
        <f t="shared" si="18"/>
        <v>3.0377148038668294E-11</v>
      </c>
      <c r="G224" s="238">
        <f t="shared" si="19"/>
        <v>-3.0377148038668294E-11</v>
      </c>
      <c r="H224" s="237">
        <f t="shared" si="16"/>
        <v>0</v>
      </c>
      <c r="I224" s="23"/>
      <c r="J224" s="235"/>
    </row>
    <row r="225" spans="2:10" x14ac:dyDescent="0.25">
      <c r="B225" s="236"/>
      <c r="C225" s="23"/>
      <c r="D225" s="23">
        <f t="shared" si="15"/>
        <v>198</v>
      </c>
      <c r="E225" s="238">
        <f t="shared" si="17"/>
        <v>3.2035115320487752E-9</v>
      </c>
      <c r="F225" s="238">
        <f t="shared" si="18"/>
        <v>3.0670793803042088E-11</v>
      </c>
      <c r="G225" s="238">
        <f t="shared" si="19"/>
        <v>-3.0670793803042088E-11</v>
      </c>
      <c r="H225" s="237">
        <f t="shared" si="16"/>
        <v>0</v>
      </c>
      <c r="I225" s="23"/>
      <c r="J225" s="235"/>
    </row>
    <row r="226" spans="2:10" x14ac:dyDescent="0.25">
      <c r="B226" s="236"/>
      <c r="C226" s="23"/>
      <c r="D226" s="23">
        <f t="shared" si="15"/>
        <v>199</v>
      </c>
      <c r="E226" s="238">
        <f t="shared" si="17"/>
        <v>3.2344788101919134E-9</v>
      </c>
      <c r="F226" s="238">
        <f t="shared" si="18"/>
        <v>3.096727814313816E-11</v>
      </c>
      <c r="G226" s="238">
        <f t="shared" si="19"/>
        <v>-3.096727814313816E-11</v>
      </c>
      <c r="H226" s="237">
        <f t="shared" si="16"/>
        <v>0</v>
      </c>
      <c r="I226" s="23"/>
      <c r="J226" s="235"/>
    </row>
    <row r="227" spans="2:10" x14ac:dyDescent="0.25">
      <c r="B227" s="236"/>
      <c r="C227" s="23"/>
      <c r="D227" s="23">
        <f t="shared" si="15"/>
        <v>200</v>
      </c>
      <c r="E227" s="238">
        <f t="shared" si="17"/>
        <v>3.2657454386904351E-9</v>
      </c>
      <c r="F227" s="238">
        <f t="shared" si="18"/>
        <v>3.1266628498521829E-11</v>
      </c>
      <c r="G227" s="238">
        <f t="shared" si="19"/>
        <v>-3.1266628498521829E-11</v>
      </c>
      <c r="H227" s="237">
        <f t="shared" si="16"/>
        <v>0</v>
      </c>
      <c r="I227" s="23"/>
      <c r="J227" s="235"/>
    </row>
    <row r="228" spans="2:10" x14ac:dyDescent="0.25">
      <c r="B228" s="236"/>
      <c r="C228" s="23"/>
      <c r="D228" s="23">
        <f t="shared" si="15"/>
        <v>201</v>
      </c>
      <c r="E228" s="238">
        <f t="shared" si="17"/>
        <v>3.2973143112644428E-9</v>
      </c>
      <c r="F228" s="238">
        <f t="shared" si="18"/>
        <v>3.1568872574007538E-11</v>
      </c>
      <c r="G228" s="238">
        <f t="shared" si="19"/>
        <v>-3.1568872574007538E-11</v>
      </c>
      <c r="H228" s="237">
        <f t="shared" si="16"/>
        <v>0</v>
      </c>
      <c r="I228" s="23"/>
      <c r="J228" s="235"/>
    </row>
    <row r="229" spans="2:10" x14ac:dyDescent="0.25">
      <c r="B229" s="236"/>
      <c r="C229" s="23"/>
      <c r="D229" s="23">
        <f t="shared" si="15"/>
        <v>202</v>
      </c>
      <c r="E229" s="238">
        <f t="shared" si="17"/>
        <v>3.3291883496066657E-9</v>
      </c>
      <c r="F229" s="238">
        <f t="shared" si="18"/>
        <v>3.1874038342222947E-11</v>
      </c>
      <c r="G229" s="238">
        <f t="shared" si="19"/>
        <v>-3.1874038342222947E-11</v>
      </c>
      <c r="H229" s="237">
        <f t="shared" si="16"/>
        <v>0</v>
      </c>
      <c r="I229" s="23"/>
      <c r="J229" s="235"/>
    </row>
    <row r="230" spans="2:10" x14ac:dyDescent="0.25">
      <c r="B230" s="236"/>
      <c r="C230" s="23"/>
      <c r="D230" s="23">
        <f t="shared" si="15"/>
        <v>203</v>
      </c>
      <c r="E230" s="238">
        <f t="shared" si="17"/>
        <v>3.3613705036528636E-9</v>
      </c>
      <c r="F230" s="238">
        <f t="shared" si="18"/>
        <v>3.2182154046197774E-11</v>
      </c>
      <c r="G230" s="238">
        <f t="shared" si="19"/>
        <v>-3.2182154046197774E-11</v>
      </c>
      <c r="H230" s="237">
        <f t="shared" si="16"/>
        <v>0</v>
      </c>
      <c r="I230" s="23"/>
      <c r="J230" s="235"/>
    </row>
    <row r="231" spans="2:10" x14ac:dyDescent="0.25">
      <c r="B231" s="236"/>
      <c r="C231" s="23"/>
      <c r="D231" s="23">
        <f t="shared" si="15"/>
        <v>204</v>
      </c>
      <c r="E231" s="238">
        <f t="shared" si="17"/>
        <v>3.3938637518548413E-9</v>
      </c>
      <c r="F231" s="238">
        <f t="shared" si="18"/>
        <v>3.2493248201977682E-11</v>
      </c>
      <c r="G231" s="238">
        <f t="shared" si="19"/>
        <v>-3.2493248201977682E-11</v>
      </c>
      <c r="H231" s="237">
        <f t="shared" si="16"/>
        <v>0</v>
      </c>
      <c r="I231" s="23"/>
      <c r="J231" s="235"/>
    </row>
    <row r="232" spans="2:10" x14ac:dyDescent="0.25">
      <c r="B232" s="236"/>
      <c r="C232" s="23"/>
      <c r="D232" s="23">
        <f t="shared" si="15"/>
        <v>205</v>
      </c>
      <c r="E232" s="238">
        <f t="shared" si="17"/>
        <v>3.4266711014561047E-9</v>
      </c>
      <c r="F232" s="238">
        <f t="shared" si="18"/>
        <v>3.2807349601263469E-11</v>
      </c>
      <c r="G232" s="238">
        <f t="shared" si="19"/>
        <v>-3.2807349601263469E-11</v>
      </c>
      <c r="H232" s="237">
        <f t="shared" si="16"/>
        <v>0</v>
      </c>
      <c r="I232" s="23"/>
      <c r="J232" s="235"/>
    </row>
    <row r="233" spans="2:10" x14ac:dyDescent="0.25">
      <c r="B233" s="236"/>
      <c r="C233" s="23"/>
      <c r="D233" s="23">
        <f t="shared" si="15"/>
        <v>206</v>
      </c>
      <c r="E233" s="238">
        <f t="shared" si="17"/>
        <v>3.4597955887701805E-9</v>
      </c>
      <c r="F233" s="238">
        <f t="shared" si="18"/>
        <v>3.312448731407568E-11</v>
      </c>
      <c r="G233" s="238">
        <f t="shared" si="19"/>
        <v>-3.312448731407568E-11</v>
      </c>
      <c r="H233" s="237">
        <f t="shared" si="16"/>
        <v>0</v>
      </c>
      <c r="I233" s="23"/>
      <c r="J233" s="235"/>
    </row>
    <row r="234" spans="2:10" x14ac:dyDescent="0.25">
      <c r="B234" s="236"/>
      <c r="C234" s="23"/>
      <c r="D234" s="23">
        <f t="shared" si="15"/>
        <v>207</v>
      </c>
      <c r="E234" s="238">
        <f t="shared" si="17"/>
        <v>3.4932402794616256E-9</v>
      </c>
      <c r="F234" s="238">
        <f t="shared" si="18"/>
        <v>3.3444690691445078E-11</v>
      </c>
      <c r="G234" s="238">
        <f t="shared" si="19"/>
        <v>-3.3444690691445078E-11</v>
      </c>
      <c r="H234" s="237">
        <f t="shared" si="16"/>
        <v>0</v>
      </c>
      <c r="I234" s="23"/>
      <c r="J234" s="235"/>
    </row>
    <row r="235" spans="2:10" x14ac:dyDescent="0.25">
      <c r="B235" s="236"/>
      <c r="C235" s="23"/>
      <c r="D235" s="23">
        <f t="shared" si="15"/>
        <v>208</v>
      </c>
      <c r="E235" s="238">
        <f t="shared" si="17"/>
        <v>3.5270082688297547E-9</v>
      </c>
      <c r="F235" s="238">
        <f t="shared" si="18"/>
        <v>3.3767989368129047E-11</v>
      </c>
      <c r="G235" s="238">
        <f t="shared" si="19"/>
        <v>-3.3767989368129047E-11</v>
      </c>
      <c r="H235" s="237">
        <f t="shared" si="16"/>
        <v>0</v>
      </c>
      <c r="I235" s="23"/>
      <c r="J235" s="235"/>
    </row>
    <row r="236" spans="2:10" x14ac:dyDescent="0.25">
      <c r="B236" s="236"/>
      <c r="C236" s="23"/>
      <c r="D236" s="23">
        <f t="shared" si="15"/>
        <v>209</v>
      </c>
      <c r="E236" s="238">
        <f t="shared" si="17"/>
        <v>3.5611026820951091E-9</v>
      </c>
      <c r="F236" s="238">
        <f t="shared" si="18"/>
        <v>3.4094413265354296E-11</v>
      </c>
      <c r="G236" s="238">
        <f t="shared" si="19"/>
        <v>-3.4094413265354296E-11</v>
      </c>
      <c r="H236" s="237">
        <f t="shared" si="16"/>
        <v>0</v>
      </c>
      <c r="I236" s="23"/>
      <c r="J236" s="235"/>
    </row>
    <row r="237" spans="2:10" x14ac:dyDescent="0.25">
      <c r="B237" s="236"/>
      <c r="C237" s="23"/>
      <c r="D237" s="23">
        <f t="shared" si="15"/>
        <v>210</v>
      </c>
      <c r="E237" s="238">
        <f t="shared" si="17"/>
        <v>3.5955266746886952E-9</v>
      </c>
      <c r="F237" s="238">
        <f t="shared" si="18"/>
        <v>3.4423992593586055E-11</v>
      </c>
      <c r="G237" s="238">
        <f t="shared" si="19"/>
        <v>-3.4423992593586055E-11</v>
      </c>
      <c r="H237" s="237">
        <f t="shared" si="16"/>
        <v>0</v>
      </c>
      <c r="I237" s="23"/>
      <c r="J237" s="235"/>
    </row>
    <row r="238" spans="2:10" x14ac:dyDescent="0.25">
      <c r="B238" s="236"/>
      <c r="C238" s="23"/>
      <c r="D238" s="23">
        <f t="shared" si="15"/>
        <v>211</v>
      </c>
      <c r="E238" s="238">
        <f t="shared" si="17"/>
        <v>3.6302834325440194E-9</v>
      </c>
      <c r="F238" s="238">
        <f t="shared" si="18"/>
        <v>3.4756757855324057E-11</v>
      </c>
      <c r="G238" s="238">
        <f t="shared" si="19"/>
        <v>-3.4756757855324057E-11</v>
      </c>
      <c r="H238" s="237">
        <f t="shared" si="16"/>
        <v>0</v>
      </c>
      <c r="I238" s="23"/>
      <c r="J238" s="235"/>
    </row>
    <row r="239" spans="2:10" x14ac:dyDescent="0.25">
      <c r="B239" s="236"/>
      <c r="C239" s="23"/>
      <c r="D239" s="23">
        <f t="shared" ref="D239:D262" si="20">D238+1</f>
        <v>212</v>
      </c>
      <c r="E239" s="238">
        <f t="shared" si="17"/>
        <v>3.6653761723919451E-9</v>
      </c>
      <c r="F239" s="238">
        <f t="shared" si="18"/>
        <v>3.5092739847925523E-11</v>
      </c>
      <c r="G239" s="238">
        <f t="shared" si="19"/>
        <v>-3.5092739847925523E-11</v>
      </c>
      <c r="H239" s="237">
        <f t="shared" si="16"/>
        <v>0</v>
      </c>
      <c r="I239" s="23"/>
      <c r="J239" s="235"/>
    </row>
    <row r="240" spans="2:10" x14ac:dyDescent="0.25">
      <c r="B240" s="236"/>
      <c r="C240" s="23"/>
      <c r="D240" s="23">
        <f t="shared" si="20"/>
        <v>213</v>
      </c>
      <c r="E240" s="238">
        <f t="shared" si="17"/>
        <v>3.7008081420584006E-9</v>
      </c>
      <c r="F240" s="238">
        <f t="shared" si="18"/>
        <v>3.5431969666455471E-11</v>
      </c>
      <c r="G240" s="238">
        <f t="shared" si="19"/>
        <v>-3.5431969666455471E-11</v>
      </c>
      <c r="H240" s="237">
        <f t="shared" si="16"/>
        <v>0</v>
      </c>
      <c r="I240" s="23"/>
      <c r="J240" s="235"/>
    </row>
    <row r="241" spans="2:10" x14ac:dyDescent="0.25">
      <c r="B241" s="236"/>
      <c r="C241" s="23"/>
      <c r="D241" s="23">
        <f t="shared" si="20"/>
        <v>214</v>
      </c>
      <c r="E241" s="238">
        <f t="shared" si="17"/>
        <v>3.7365826207649655E-9</v>
      </c>
      <c r="F241" s="238">
        <f t="shared" si="18"/>
        <v>3.5774478706564538E-11</v>
      </c>
      <c r="G241" s="238">
        <f t="shared" si="19"/>
        <v>-3.5774478706564538E-11</v>
      </c>
      <c r="H241" s="237">
        <f t="shared" si="16"/>
        <v>0</v>
      </c>
      <c r="I241" s="23"/>
      <c r="J241" s="235"/>
    </row>
    <row r="242" spans="2:10" x14ac:dyDescent="0.25">
      <c r="B242" s="236"/>
      <c r="C242" s="23"/>
      <c r="D242" s="23">
        <f t="shared" si="20"/>
        <v>215</v>
      </c>
      <c r="E242" s="238">
        <f t="shared" si="17"/>
        <v>3.7727029194323599E-9</v>
      </c>
      <c r="F242" s="238">
        <f t="shared" si="18"/>
        <v>3.6120298667394668E-11</v>
      </c>
      <c r="G242" s="238">
        <f t="shared" si="19"/>
        <v>-3.6120298667394668E-11</v>
      </c>
      <c r="H242" s="237">
        <f t="shared" si="16"/>
        <v>0</v>
      </c>
      <c r="I242" s="23"/>
      <c r="J242" s="235"/>
    </row>
    <row r="243" spans="2:10" x14ac:dyDescent="0.25">
      <c r="B243" s="236"/>
      <c r="C243" s="23"/>
      <c r="D243" s="23">
        <f t="shared" si="20"/>
        <v>216</v>
      </c>
      <c r="E243" s="238">
        <f t="shared" si="17"/>
        <v>3.809172380986873E-9</v>
      </c>
      <c r="F243" s="238">
        <f t="shared" si="18"/>
        <v>3.6469461554512818E-11</v>
      </c>
      <c r="G243" s="238">
        <f t="shared" si="19"/>
        <v>-3.6469461554512818E-11</v>
      </c>
      <c r="H243" s="237">
        <f t="shared" si="16"/>
        <v>0</v>
      </c>
      <c r="I243" s="23"/>
      <c r="J243" s="235"/>
    </row>
    <row r="244" spans="2:10" x14ac:dyDescent="0.25">
      <c r="B244" s="236"/>
      <c r="C244" s="23"/>
      <c r="D244" s="23">
        <f t="shared" si="20"/>
        <v>217</v>
      </c>
      <c r="E244" s="238">
        <f t="shared" si="17"/>
        <v>3.8459943806697462E-9</v>
      </c>
      <c r="F244" s="238">
        <f t="shared" si="18"/>
        <v>3.6821999682873112E-11</v>
      </c>
      <c r="G244" s="238">
        <f t="shared" si="19"/>
        <v>-3.6821999682873112E-11</v>
      </c>
      <c r="H244" s="237">
        <f t="shared" si="16"/>
        <v>0</v>
      </c>
      <c r="I244" s="23"/>
      <c r="J244" s="235"/>
    </row>
    <row r="245" spans="2:10" x14ac:dyDescent="0.25">
      <c r="B245" s="236"/>
      <c r="C245" s="23"/>
      <c r="D245" s="23">
        <f t="shared" si="20"/>
        <v>218</v>
      </c>
      <c r="E245" s="238">
        <f t="shared" si="17"/>
        <v>3.8831723263495533E-9</v>
      </c>
      <c r="F245" s="238">
        <f t="shared" si="18"/>
        <v>3.7177945679807547E-11</v>
      </c>
      <c r="G245" s="238">
        <f t="shared" si="19"/>
        <v>-3.7177945679807547E-11</v>
      </c>
      <c r="H245" s="237">
        <f t="shared" si="16"/>
        <v>0</v>
      </c>
      <c r="I245" s="23"/>
      <c r="J245" s="235"/>
    </row>
    <row r="246" spans="2:10" x14ac:dyDescent="0.25">
      <c r="B246" s="236"/>
      <c r="C246" s="23"/>
      <c r="D246" s="23">
        <f t="shared" si="20"/>
        <v>219</v>
      </c>
      <c r="E246" s="238">
        <f t="shared" si="17"/>
        <v>3.9207096588375986E-9</v>
      </c>
      <c r="F246" s="238">
        <f t="shared" si="18"/>
        <v>3.7537332488045685E-11</v>
      </c>
      <c r="G246" s="238">
        <f t="shared" si="19"/>
        <v>-3.7537332488045685E-11</v>
      </c>
      <c r="H246" s="237">
        <f t="shared" si="16"/>
        <v>0</v>
      </c>
      <c r="I246" s="23"/>
      <c r="J246" s="235"/>
    </row>
    <row r="247" spans="2:10" x14ac:dyDescent="0.25">
      <c r="B247" s="236"/>
      <c r="C247" s="23"/>
      <c r="D247" s="23">
        <f t="shared" si="20"/>
        <v>220</v>
      </c>
      <c r="E247" s="238">
        <f t="shared" si="17"/>
        <v>3.9586098522063618E-9</v>
      </c>
      <c r="F247" s="238">
        <f t="shared" si="18"/>
        <v>3.7900193368763451E-11</v>
      </c>
      <c r="G247" s="238">
        <f t="shared" si="19"/>
        <v>-3.7900193368763451E-11</v>
      </c>
      <c r="H247" s="237">
        <f t="shared" si="16"/>
        <v>0</v>
      </c>
      <c r="I247" s="23"/>
      <c r="J247" s="235"/>
    </row>
    <row r="248" spans="2:10" x14ac:dyDescent="0.25">
      <c r="B248" s="236"/>
      <c r="C248" s="23"/>
      <c r="D248" s="23">
        <f t="shared" si="20"/>
        <v>221</v>
      </c>
      <c r="E248" s="238">
        <f t="shared" si="17"/>
        <v>3.9968764141110234E-9</v>
      </c>
      <c r="F248" s="238">
        <f t="shared" si="18"/>
        <v>3.8266561904661502E-11</v>
      </c>
      <c r="G248" s="238">
        <f t="shared" si="19"/>
        <v>-3.8266561904661502E-11</v>
      </c>
      <c r="H248" s="237">
        <f t="shared" si="16"/>
        <v>0</v>
      </c>
      <c r="I248" s="23"/>
      <c r="J248" s="235"/>
    </row>
    <row r="249" spans="2:10" x14ac:dyDescent="0.25">
      <c r="B249" s="236"/>
      <c r="C249" s="23"/>
      <c r="D249" s="23">
        <f t="shared" si="20"/>
        <v>222</v>
      </c>
      <c r="E249" s="238">
        <f t="shared" si="17"/>
        <v>4.0355128861140967E-9</v>
      </c>
      <c r="F249" s="238">
        <f t="shared" si="18"/>
        <v>3.8636472003073229E-11</v>
      </c>
      <c r="G249" s="238">
        <f t="shared" si="19"/>
        <v>-3.8636472003073229E-11</v>
      </c>
      <c r="H249" s="237">
        <f t="shared" si="16"/>
        <v>0</v>
      </c>
      <c r="I249" s="23"/>
      <c r="J249" s="235"/>
    </row>
    <row r="250" spans="2:10" x14ac:dyDescent="0.25">
      <c r="B250" s="236"/>
      <c r="C250" s="23"/>
      <c r="D250" s="23">
        <f t="shared" si="20"/>
        <v>223</v>
      </c>
      <c r="E250" s="238">
        <f t="shared" si="17"/>
        <v>4.0745228440131994E-9</v>
      </c>
      <c r="F250" s="238">
        <f t="shared" si="18"/>
        <v>3.9009957899102937E-11</v>
      </c>
      <c r="G250" s="238">
        <f t="shared" si="19"/>
        <v>-3.9009957899102937E-11</v>
      </c>
      <c r="H250" s="237">
        <f t="shared" si="16"/>
        <v>0</v>
      </c>
      <c r="I250" s="23"/>
      <c r="J250" s="235"/>
    </row>
    <row r="251" spans="2:10" x14ac:dyDescent="0.25">
      <c r="B251" s="236"/>
      <c r="C251" s="23"/>
      <c r="D251" s="23">
        <f t="shared" si="20"/>
        <v>224</v>
      </c>
      <c r="E251" s="238">
        <f t="shared" si="17"/>
        <v>4.1139098981719936E-9</v>
      </c>
      <c r="F251" s="238">
        <f t="shared" si="18"/>
        <v>3.9387054158794267E-11</v>
      </c>
      <c r="G251" s="238">
        <f t="shared" si="19"/>
        <v>-3.9387054158794267E-11</v>
      </c>
      <c r="H251" s="237">
        <f t="shared" si="16"/>
        <v>0</v>
      </c>
      <c r="I251" s="23"/>
      <c r="J251" s="235"/>
    </row>
    <row r="252" spans="2:10" x14ac:dyDescent="0.25">
      <c r="B252" s="236"/>
      <c r="C252" s="23"/>
      <c r="D252" s="23">
        <f t="shared" si="20"/>
        <v>225</v>
      </c>
      <c r="E252" s="238">
        <f t="shared" si="17"/>
        <v>4.1536776938543228E-9</v>
      </c>
      <c r="F252" s="238">
        <f t="shared" si="18"/>
        <v>3.9767795682329276E-11</v>
      </c>
      <c r="G252" s="238">
        <f t="shared" si="19"/>
        <v>-3.9767795682329276E-11</v>
      </c>
      <c r="H252" s="237">
        <f t="shared" si="16"/>
        <v>0</v>
      </c>
      <c r="I252" s="23"/>
      <c r="J252" s="235"/>
    </row>
    <row r="253" spans="2:10" x14ac:dyDescent="0.25">
      <c r="B253" s="236"/>
      <c r="C253" s="23"/>
      <c r="D253" s="23">
        <f t="shared" si="20"/>
        <v>226</v>
      </c>
      <c r="E253" s="238">
        <f t="shared" si="17"/>
        <v>4.1938299115615809E-9</v>
      </c>
      <c r="F253" s="238">
        <f t="shared" si="18"/>
        <v>4.015221770725846E-11</v>
      </c>
      <c r="G253" s="238">
        <f t="shared" si="19"/>
        <v>-4.015221770725846E-11</v>
      </c>
      <c r="H253" s="237">
        <f t="shared" si="16"/>
        <v>0</v>
      </c>
      <c r="I253" s="23"/>
      <c r="J253" s="235"/>
    </row>
    <row r="254" spans="2:10" x14ac:dyDescent="0.25">
      <c r="B254" s="236"/>
      <c r="C254" s="23"/>
      <c r="D254" s="23">
        <f t="shared" si="20"/>
        <v>227</v>
      </c>
      <c r="E254" s="238">
        <f t="shared" si="17"/>
        <v>4.2343702673733429E-9</v>
      </c>
      <c r="F254" s="238">
        <f t="shared" si="18"/>
        <v>4.0540355811761948E-11</v>
      </c>
      <c r="G254" s="238">
        <f t="shared" si="19"/>
        <v>-4.0540355811761948E-11</v>
      </c>
      <c r="H254" s="237">
        <f t="shared" si="16"/>
        <v>0</v>
      </c>
      <c r="I254" s="23"/>
      <c r="J254" s="235"/>
    </row>
    <row r="255" spans="2:10" x14ac:dyDescent="0.25">
      <c r="B255" s="236"/>
      <c r="C255" s="23"/>
      <c r="D255" s="23">
        <f t="shared" si="20"/>
        <v>228</v>
      </c>
      <c r="E255" s="238">
        <f t="shared" si="17"/>
        <v>4.2753025132912852E-9</v>
      </c>
      <c r="F255" s="238">
        <f t="shared" si="18"/>
        <v>4.0932245917942318E-11</v>
      </c>
      <c r="G255" s="238">
        <f t="shared" si="19"/>
        <v>-4.0932245917942318E-11</v>
      </c>
      <c r="H255" s="237">
        <f t="shared" si="16"/>
        <v>0</v>
      </c>
      <c r="I255" s="23"/>
      <c r="J255" s="235"/>
    </row>
    <row r="256" spans="2:10" x14ac:dyDescent="0.25">
      <c r="B256" s="236"/>
      <c r="C256" s="23"/>
      <c r="D256" s="23">
        <f t="shared" si="20"/>
        <v>229</v>
      </c>
      <c r="E256" s="238">
        <f t="shared" si="17"/>
        <v>4.3166304375864339E-9</v>
      </c>
      <c r="F256" s="238">
        <f t="shared" si="18"/>
        <v>4.1327924295149091E-11</v>
      </c>
      <c r="G256" s="238">
        <f t="shared" si="19"/>
        <v>-4.1327924295149091E-11</v>
      </c>
      <c r="H256" s="237">
        <f t="shared" si="16"/>
        <v>0</v>
      </c>
      <c r="I256" s="23"/>
      <c r="J256" s="235"/>
    </row>
    <row r="257" spans="2:10" x14ac:dyDescent="0.25">
      <c r="B257" s="236"/>
      <c r="C257" s="23"/>
      <c r="D257" s="23">
        <f t="shared" si="20"/>
        <v>230</v>
      </c>
      <c r="E257" s="238">
        <f t="shared" si="17"/>
        <v>4.358357865149769E-9</v>
      </c>
      <c r="F257" s="238">
        <f t="shared" si="18"/>
        <v>4.1727427563335532E-11</v>
      </c>
      <c r="G257" s="238">
        <f t="shared" si="19"/>
        <v>-4.1727427563335532E-11</v>
      </c>
      <c r="H257" s="237">
        <f t="shared" si="16"/>
        <v>0</v>
      </c>
      <c r="I257" s="23"/>
      <c r="J257" s="235"/>
    </row>
    <row r="258" spans="2:10" x14ac:dyDescent="0.25">
      <c r="B258" s="236"/>
      <c r="C258" s="23"/>
      <c r="D258" s="23">
        <f t="shared" si="20"/>
        <v>231</v>
      </c>
      <c r="E258" s="238">
        <f t="shared" si="17"/>
        <v>4.4004886578462167E-9</v>
      </c>
      <c r="F258" s="238">
        <f t="shared" si="18"/>
        <v>4.2130792696447773E-11</v>
      </c>
      <c r="G258" s="238">
        <f t="shared" si="19"/>
        <v>-4.2130792696447773E-11</v>
      </c>
      <c r="H258" s="237">
        <f t="shared" si="16"/>
        <v>0</v>
      </c>
      <c r="I258" s="23"/>
      <c r="J258" s="235"/>
    </row>
    <row r="259" spans="2:10" x14ac:dyDescent="0.25">
      <c r="B259" s="236"/>
      <c r="C259" s="23"/>
      <c r="D259" s="23">
        <f t="shared" si="20"/>
        <v>232</v>
      </c>
      <c r="E259" s="238">
        <f t="shared" si="17"/>
        <v>4.4430267148720638E-9</v>
      </c>
      <c r="F259" s="238">
        <f t="shared" si="18"/>
        <v>4.2538057025846763E-11</v>
      </c>
      <c r="G259" s="238">
        <f t="shared" si="19"/>
        <v>-4.2538057025846763E-11</v>
      </c>
      <c r="H259" s="237">
        <f t="shared" si="16"/>
        <v>0</v>
      </c>
      <c r="I259" s="23"/>
      <c r="J259" s="235"/>
    </row>
    <row r="260" spans="2:10" x14ac:dyDescent="0.25">
      <c r="B260" s="236"/>
      <c r="C260" s="23"/>
      <c r="D260" s="23">
        <f t="shared" si="20"/>
        <v>233</v>
      </c>
      <c r="E260" s="238">
        <f t="shared" si="17"/>
        <v>4.4859759731158271E-9</v>
      </c>
      <c r="F260" s="238">
        <f t="shared" si="18"/>
        <v>4.2949258243763285E-11</v>
      </c>
      <c r="G260" s="238">
        <f t="shared" si="19"/>
        <v>-4.2949258243763285E-11</v>
      </c>
      <c r="H260" s="237">
        <f t="shared" si="16"/>
        <v>0</v>
      </c>
      <c r="I260" s="23"/>
      <c r="J260" s="235"/>
    </row>
    <row r="261" spans="2:10" x14ac:dyDescent="0.25">
      <c r="B261" s="236"/>
      <c r="C261" s="23"/>
      <c r="D261" s="23">
        <f t="shared" si="20"/>
        <v>234</v>
      </c>
      <c r="E261" s="238">
        <f t="shared" si="17"/>
        <v>4.5293404075226135E-9</v>
      </c>
      <c r="F261" s="238">
        <f t="shared" si="18"/>
        <v>4.3364434406786332E-11</v>
      </c>
      <c r="G261" s="238">
        <f t="shared" si="19"/>
        <v>-4.3364434406786332E-11</v>
      </c>
      <c r="H261" s="237">
        <f t="shared" si="16"/>
        <v>0</v>
      </c>
      <c r="I261" s="23"/>
      <c r="J261" s="235"/>
    </row>
    <row r="262" spans="2:10" x14ac:dyDescent="0.25">
      <c r="B262" s="236"/>
      <c r="C262" s="23"/>
      <c r="D262" s="23">
        <f t="shared" si="20"/>
        <v>235</v>
      </c>
      <c r="E262" s="238">
        <f t="shared" si="17"/>
        <v>4.5731240314619987E-9</v>
      </c>
      <c r="F262" s="238">
        <f t="shared" si="18"/>
        <v>4.3783623939385266E-11</v>
      </c>
      <c r="G262" s="238">
        <f t="shared" si="19"/>
        <v>-4.3783623939385266E-11</v>
      </c>
      <c r="H262" s="237">
        <f t="shared" si="16"/>
        <v>0</v>
      </c>
      <c r="I262" s="23"/>
      <c r="J262" s="235"/>
    </row>
    <row r="263" spans="2:10" x14ac:dyDescent="0.25">
      <c r="B263" s="236"/>
      <c r="C263" s="23"/>
      <c r="D263" s="23">
        <f t="shared" ref="D263:D276" si="21">D262+1</f>
        <v>236</v>
      </c>
      <c r="E263" s="238">
        <f t="shared" si="17"/>
        <v>4.6173308970994644E-9</v>
      </c>
      <c r="F263" s="238">
        <f t="shared" si="18"/>
        <v>4.4206865637465984E-11</v>
      </c>
      <c r="G263" s="238">
        <f t="shared" si="19"/>
        <v>-4.4206865637465984E-11</v>
      </c>
      <c r="H263" s="237">
        <f t="shared" si="16"/>
        <v>0</v>
      </c>
      <c r="I263" s="23"/>
      <c r="J263" s="235"/>
    </row>
    <row r="264" spans="2:10" x14ac:dyDescent="0.25">
      <c r="B264" s="236"/>
      <c r="C264" s="23"/>
      <c r="D264" s="23">
        <f t="shared" si="21"/>
        <v>237</v>
      </c>
      <c r="E264" s="238">
        <f t="shared" si="17"/>
        <v>4.6619650957714257E-9</v>
      </c>
      <c r="F264" s="238">
        <f t="shared" si="18"/>
        <v>4.4634198671961494E-11</v>
      </c>
      <c r="G264" s="238">
        <f t="shared" si="19"/>
        <v>-4.4634198671961494E-11</v>
      </c>
      <c r="H264" s="237">
        <f t="shared" si="16"/>
        <v>0</v>
      </c>
      <c r="I264" s="23"/>
      <c r="J264" s="235"/>
    </row>
    <row r="265" spans="2:10" x14ac:dyDescent="0.25">
      <c r="B265" s="236"/>
      <c r="C265" s="23"/>
      <c r="D265" s="23">
        <f t="shared" si="21"/>
        <v>238</v>
      </c>
      <c r="E265" s="238">
        <f t="shared" si="17"/>
        <v>4.7070307583638832E-9</v>
      </c>
      <c r="F265" s="238">
        <f t="shared" si="18"/>
        <v>4.5065662592457117E-11</v>
      </c>
      <c r="G265" s="238">
        <f t="shared" si="19"/>
        <v>-4.5065662592457117E-11</v>
      </c>
      <c r="H265" s="237">
        <f t="shared" si="16"/>
        <v>0</v>
      </c>
      <c r="I265" s="23"/>
      <c r="J265" s="235"/>
    </row>
    <row r="266" spans="2:10" x14ac:dyDescent="0.25">
      <c r="B266" s="236"/>
      <c r="C266" s="23"/>
      <c r="D266" s="23">
        <f t="shared" si="21"/>
        <v>239</v>
      </c>
      <c r="E266" s="238">
        <f t="shared" si="17"/>
        <v>4.7525320556947342E-9</v>
      </c>
      <c r="F266" s="238">
        <f t="shared" si="18"/>
        <v>4.5501297330850878E-11</v>
      </c>
      <c r="G266" s="238">
        <f t="shared" si="19"/>
        <v>-4.5501297330850878E-11</v>
      </c>
      <c r="H266" s="237">
        <f t="shared" si="16"/>
        <v>0</v>
      </c>
      <c r="I266" s="23"/>
      <c r="J266" s="235"/>
    </row>
    <row r="267" spans="2:10" x14ac:dyDescent="0.25">
      <c r="B267" s="236"/>
      <c r="C267" s="23"/>
      <c r="D267" s="23">
        <f t="shared" si="21"/>
        <v>240</v>
      </c>
      <c r="E267" s="238">
        <f t="shared" si="17"/>
        <v>4.7984731988997833E-9</v>
      </c>
      <c r="F267" s="238">
        <f t="shared" si="18"/>
        <v>4.5941143205049097E-11</v>
      </c>
      <c r="G267" s="238">
        <f t="shared" si="19"/>
        <v>-4.5941143205049097E-11</v>
      </c>
      <c r="H267" s="237">
        <f t="shared" si="16"/>
        <v>0</v>
      </c>
      <c r="I267" s="23"/>
      <c r="J267" s="235"/>
    </row>
    <row r="268" spans="2:10" x14ac:dyDescent="0.25">
      <c r="B268" s="236"/>
      <c r="C268" s="23"/>
      <c r="D268" s="23">
        <f t="shared" si="21"/>
        <v>241</v>
      </c>
      <c r="E268" s="238">
        <f t="shared" si="17"/>
        <v>4.8448584398224815E-9</v>
      </c>
      <c r="F268" s="238">
        <f t="shared" si="18"/>
        <v>4.6385240922697904E-11</v>
      </c>
      <c r="G268" s="238">
        <f t="shared" si="19"/>
        <v>-4.6385240922697904E-11</v>
      </c>
      <c r="H268" s="237">
        <f t="shared" si="16"/>
        <v>0</v>
      </c>
      <c r="I268" s="23"/>
      <c r="J268" s="235"/>
    </row>
    <row r="269" spans="2:10" x14ac:dyDescent="0.25">
      <c r="B269" s="236"/>
      <c r="C269" s="23"/>
      <c r="D269" s="23">
        <f t="shared" si="21"/>
        <v>242</v>
      </c>
      <c r="E269" s="238">
        <f t="shared" si="17"/>
        <v>4.8916920714074321E-9</v>
      </c>
      <c r="F269" s="238">
        <f t="shared" si="18"/>
        <v>4.6833631584950655E-11</v>
      </c>
      <c r="G269" s="238">
        <f t="shared" si="19"/>
        <v>-4.6833631584950655E-11</v>
      </c>
      <c r="H269" s="237">
        <f t="shared" si="16"/>
        <v>0</v>
      </c>
      <c r="I269" s="23"/>
      <c r="J269" s="235"/>
    </row>
    <row r="270" spans="2:10" x14ac:dyDescent="0.25">
      <c r="B270" s="236"/>
      <c r="C270" s="23"/>
      <c r="D270" s="23">
        <f t="shared" si="21"/>
        <v>243</v>
      </c>
      <c r="E270" s="238">
        <f t="shared" si="17"/>
        <v>4.9389784280977043E-9</v>
      </c>
      <c r="F270" s="238">
        <f t="shared" si="18"/>
        <v>4.7286356690271845E-11</v>
      </c>
      <c r="G270" s="238">
        <f t="shared" si="19"/>
        <v>-4.7286356690271845E-11</v>
      </c>
      <c r="H270" s="237">
        <f t="shared" si="16"/>
        <v>0</v>
      </c>
      <c r="I270" s="23"/>
      <c r="J270" s="235"/>
    </row>
    <row r="271" spans="2:10" x14ac:dyDescent="0.25">
      <c r="B271" s="236"/>
      <c r="C271" s="23"/>
      <c r="D271" s="23">
        <f t="shared" si="21"/>
        <v>244</v>
      </c>
      <c r="E271" s="238">
        <f t="shared" si="17"/>
        <v>4.9867218862359819E-9</v>
      </c>
      <c r="F271" s="238">
        <f t="shared" si="18"/>
        <v>4.7743458138277813E-11</v>
      </c>
      <c r="G271" s="238">
        <f t="shared" si="19"/>
        <v>-4.7743458138277813E-11</v>
      </c>
      <c r="H271" s="237">
        <f t="shared" si="16"/>
        <v>0</v>
      </c>
      <c r="I271" s="23"/>
      <c r="J271" s="235"/>
    </row>
    <row r="272" spans="2:10" x14ac:dyDescent="0.25">
      <c r="B272" s="236"/>
      <c r="C272" s="23"/>
      <c r="D272" s="23">
        <f t="shared" si="21"/>
        <v>245</v>
      </c>
      <c r="E272" s="238">
        <f t="shared" si="17"/>
        <v>5.0349268644695966E-9</v>
      </c>
      <c r="F272" s="238">
        <f t="shared" si="18"/>
        <v>4.8204978233614491E-11</v>
      </c>
      <c r="G272" s="238">
        <f t="shared" si="19"/>
        <v>-4.8204978233614491E-11</v>
      </c>
      <c r="H272" s="237">
        <f t="shared" si="16"/>
        <v>0</v>
      </c>
      <c r="I272" s="23"/>
      <c r="J272" s="235"/>
    </row>
    <row r="273" spans="2:10" x14ac:dyDescent="0.25">
      <c r="B273" s="236"/>
      <c r="C273" s="23"/>
      <c r="D273" s="23">
        <f t="shared" si="21"/>
        <v>246</v>
      </c>
      <c r="E273" s="238">
        <f t="shared" si="17"/>
        <v>5.0835978241594693E-9</v>
      </c>
      <c r="F273" s="238">
        <f t="shared" si="18"/>
        <v>4.8670959689872776E-11</v>
      </c>
      <c r="G273" s="238">
        <f t="shared" si="19"/>
        <v>-4.8670959689872776E-11</v>
      </c>
      <c r="H273" s="237">
        <f t="shared" si="16"/>
        <v>0</v>
      </c>
      <c r="I273" s="23"/>
      <c r="J273" s="235"/>
    </row>
    <row r="274" spans="2:10" x14ac:dyDescent="0.25">
      <c r="B274" s="236"/>
      <c r="C274" s="23"/>
      <c r="D274" s="23">
        <f t="shared" si="21"/>
        <v>247</v>
      </c>
      <c r="E274" s="238">
        <f t="shared" si="17"/>
        <v>5.1327392697930109E-9</v>
      </c>
      <c r="F274" s="238">
        <f t="shared" si="18"/>
        <v>4.9141445633541539E-11</v>
      </c>
      <c r="G274" s="238">
        <f t="shared" si="19"/>
        <v>-4.9141445633541539E-11</v>
      </c>
      <c r="H274" s="237">
        <f t="shared" si="16"/>
        <v>0</v>
      </c>
      <c r="I274" s="23"/>
      <c r="J274" s="235"/>
    </row>
    <row r="275" spans="2:10" x14ac:dyDescent="0.25">
      <c r="B275" s="236"/>
      <c r="C275" s="23"/>
      <c r="D275" s="23">
        <f t="shared" si="21"/>
        <v>248</v>
      </c>
      <c r="E275" s="238">
        <f t="shared" si="17"/>
        <v>5.1823557494010102E-9</v>
      </c>
      <c r="F275" s="238">
        <f t="shared" si="18"/>
        <v>4.9616479607999104E-11</v>
      </c>
      <c r="G275" s="238">
        <f t="shared" si="19"/>
        <v>-4.9616479607999104E-11</v>
      </c>
      <c r="H275" s="237">
        <f t="shared" si="16"/>
        <v>0</v>
      </c>
      <c r="I275" s="23"/>
      <c r="J275" s="235"/>
    </row>
    <row r="276" spans="2:10" x14ac:dyDescent="0.25">
      <c r="B276" s="236"/>
      <c r="C276" s="23"/>
      <c r="D276" s="23">
        <f t="shared" si="21"/>
        <v>249</v>
      </c>
      <c r="E276" s="238">
        <f t="shared" si="17"/>
        <v>5.232451854978553E-9</v>
      </c>
      <c r="F276" s="238">
        <f t="shared" si="18"/>
        <v>5.0096105577543101E-11</v>
      </c>
      <c r="G276" s="238">
        <f t="shared" si="19"/>
        <v>-5.0096105577543101E-11</v>
      </c>
      <c r="H276" s="237">
        <f t="shared" si="16"/>
        <v>0</v>
      </c>
      <c r="I276" s="23"/>
      <c r="J276" s="235"/>
    </row>
    <row r="277" spans="2:10" x14ac:dyDescent="0.25">
      <c r="B277" s="236"/>
      <c r="C277" s="23"/>
      <c r="D277" s="23">
        <f t="shared" ref="D277:D292" si="22">D276+1</f>
        <v>250</v>
      </c>
      <c r="E277" s="238">
        <f t="shared" si="17"/>
        <v>5.2830322229100124E-9</v>
      </c>
      <c r="F277" s="238">
        <f t="shared" si="18"/>
        <v>5.058036793145935E-11</v>
      </c>
      <c r="G277" s="238">
        <f t="shared" si="19"/>
        <v>-5.058036793145935E-11</v>
      </c>
      <c r="H277" s="237">
        <f t="shared" si="16"/>
        <v>0</v>
      </c>
      <c r="I277" s="23"/>
      <c r="J277" s="235"/>
    </row>
    <row r="278" spans="2:10" x14ac:dyDescent="0.25">
      <c r="B278" s="236"/>
      <c r="C278" s="23"/>
      <c r="D278" s="23">
        <f t="shared" si="22"/>
        <v>251</v>
      </c>
      <c r="E278" s="238">
        <f t="shared" si="17"/>
        <v>5.3341015343981429E-9</v>
      </c>
      <c r="F278" s="238">
        <f t="shared" si="18"/>
        <v>5.1069311488130124E-11</v>
      </c>
      <c r="G278" s="238">
        <f t="shared" si="19"/>
        <v>-5.1069311488130124E-11</v>
      </c>
      <c r="H278" s="237">
        <f t="shared" si="16"/>
        <v>0</v>
      </c>
      <c r="I278" s="23"/>
      <c r="J278" s="235"/>
    </row>
    <row r="279" spans="2:10" x14ac:dyDescent="0.25">
      <c r="B279" s="236"/>
      <c r="C279" s="23"/>
      <c r="D279" s="23">
        <f t="shared" si="22"/>
        <v>252</v>
      </c>
      <c r="E279" s="238">
        <f t="shared" si="17"/>
        <v>5.3856645158973253E-9</v>
      </c>
      <c r="F279" s="238">
        <f t="shared" si="18"/>
        <v>5.1562981499182054E-11</v>
      </c>
      <c r="G279" s="238">
        <f t="shared" si="19"/>
        <v>-5.1562981499182054E-11</v>
      </c>
      <c r="H279" s="237">
        <f t="shared" si="16"/>
        <v>0</v>
      </c>
      <c r="I279" s="23"/>
      <c r="J279" s="235"/>
    </row>
    <row r="280" spans="2:10" x14ac:dyDescent="0.25">
      <c r="B280" s="236"/>
      <c r="C280" s="23"/>
      <c r="D280" s="23">
        <f t="shared" si="22"/>
        <v>253</v>
      </c>
      <c r="E280" s="238">
        <f t="shared" si="17"/>
        <v>5.437725939550999E-9</v>
      </c>
      <c r="F280" s="238">
        <f t="shared" si="18"/>
        <v>5.2061423653674147E-11</v>
      </c>
      <c r="G280" s="238">
        <f t="shared" si="19"/>
        <v>-5.2061423653674147E-11</v>
      </c>
      <c r="H280" s="237">
        <f t="shared" si="16"/>
        <v>0</v>
      </c>
      <c r="I280" s="23"/>
      <c r="J280" s="235"/>
    </row>
    <row r="281" spans="2:10" x14ac:dyDescent="0.25">
      <c r="B281" s="236"/>
      <c r="C281" s="23"/>
      <c r="D281" s="23">
        <f t="shared" si="22"/>
        <v>254</v>
      </c>
      <c r="E281" s="238">
        <f t="shared" si="17"/>
        <v>5.490290623633325E-9</v>
      </c>
      <c r="F281" s="238">
        <f t="shared" si="18"/>
        <v>5.2564684082326327E-11</v>
      </c>
      <c r="G281" s="238">
        <f t="shared" si="19"/>
        <v>-5.2564684082326327E-11</v>
      </c>
      <c r="H281" s="237">
        <f t="shared" si="16"/>
        <v>0</v>
      </c>
      <c r="I281" s="23"/>
      <c r="J281" s="235"/>
    </row>
    <row r="282" spans="2:10" x14ac:dyDescent="0.25">
      <c r="B282" s="236"/>
      <c r="C282" s="23"/>
      <c r="D282" s="23">
        <f t="shared" si="22"/>
        <v>255</v>
      </c>
      <c r="E282" s="238">
        <f t="shared" si="17"/>
        <v>5.5433634329951134E-9</v>
      </c>
      <c r="F282" s="238">
        <f t="shared" si="18"/>
        <v>5.3072809361788809E-11</v>
      </c>
      <c r="G282" s="238">
        <f t="shared" si="19"/>
        <v>-5.3072809361788809E-11</v>
      </c>
      <c r="H282" s="237">
        <f t="shared" si="16"/>
        <v>0</v>
      </c>
      <c r="I282" s="23"/>
      <c r="J282" s="235"/>
    </row>
    <row r="283" spans="2:10" x14ac:dyDescent="0.25">
      <c r="B283" s="236"/>
      <c r="C283" s="23"/>
      <c r="D283" s="23">
        <f t="shared" si="22"/>
        <v>256</v>
      </c>
      <c r="E283" s="238">
        <f t="shared" si="17"/>
        <v>5.5969492795140664E-9</v>
      </c>
      <c r="F283" s="238">
        <f t="shared" si="18"/>
        <v>5.3585846518952765E-11</v>
      </c>
      <c r="G283" s="238">
        <f t="shared" si="19"/>
        <v>-5.3585846518952765E-11</v>
      </c>
      <c r="H283" s="237">
        <f t="shared" si="16"/>
        <v>0</v>
      </c>
      <c r="I283" s="23"/>
      <c r="J283" s="235"/>
    </row>
    <row r="284" spans="2:10" x14ac:dyDescent="0.25">
      <c r="B284" s="236"/>
      <c r="C284" s="23"/>
      <c r="D284" s="23">
        <f t="shared" si="22"/>
        <v>257</v>
      </c>
      <c r="E284" s="238">
        <f t="shared" si="17"/>
        <v>5.6510531225493695E-9</v>
      </c>
      <c r="F284" s="238">
        <f t="shared" si="18"/>
        <v>5.4103843035302648E-11</v>
      </c>
      <c r="G284" s="238">
        <f t="shared" si="19"/>
        <v>-5.4103843035302648E-11</v>
      </c>
      <c r="H284" s="237">
        <f t="shared" ref="H284:H347" si="23">IF(D284&gt;$D$9,0,E283*($D$19/12/(1-(1+$D$19/12)^(-($D$9-D283)))))</f>
        <v>0</v>
      </c>
      <c r="I284" s="23"/>
      <c r="J284" s="235"/>
    </row>
    <row r="285" spans="2:10" x14ac:dyDescent="0.25">
      <c r="B285" s="236"/>
      <c r="C285" s="23"/>
      <c r="D285" s="23">
        <f t="shared" si="22"/>
        <v>258</v>
      </c>
      <c r="E285" s="238">
        <f t="shared" ref="E285:E348" si="24">MAX(E284-G285,0)</f>
        <v>5.7056799694006797E-9</v>
      </c>
      <c r="F285" s="238">
        <f t="shared" ref="F285:F348" si="25">MAX(E284*$D$19/12,0)</f>
        <v>5.4626846851310574E-11</v>
      </c>
      <c r="G285" s="238">
        <f t="shared" ref="G285:G348" si="26">H285-F285</f>
        <v>-5.4626846851310574E-11</v>
      </c>
      <c r="H285" s="237">
        <f t="shared" si="23"/>
        <v>0</v>
      </c>
      <c r="I285" s="23"/>
      <c r="J285" s="235"/>
    </row>
    <row r="286" spans="2:10" x14ac:dyDescent="0.25">
      <c r="B286" s="236"/>
      <c r="C286" s="23"/>
      <c r="D286" s="23">
        <f t="shared" si="22"/>
        <v>259</v>
      </c>
      <c r="E286" s="238">
        <f t="shared" si="24"/>
        <v>5.7608348757715529E-9</v>
      </c>
      <c r="F286" s="238">
        <f t="shared" si="25"/>
        <v>5.5154906370873239E-11</v>
      </c>
      <c r="G286" s="238">
        <f t="shared" si="26"/>
        <v>-5.5154906370873239E-11</v>
      </c>
      <c r="H286" s="237">
        <f t="shared" si="23"/>
        <v>0</v>
      </c>
      <c r="I286" s="23"/>
      <c r="J286" s="235"/>
    </row>
    <row r="287" spans="2:10" x14ac:dyDescent="0.25">
      <c r="B287" s="236"/>
      <c r="C287" s="23"/>
      <c r="D287" s="23">
        <f t="shared" si="22"/>
        <v>260</v>
      </c>
      <c r="E287" s="238">
        <f t="shared" si="24"/>
        <v>5.8165229462373442E-9</v>
      </c>
      <c r="F287" s="238">
        <f t="shared" si="25"/>
        <v>5.5688070465791679E-11</v>
      </c>
      <c r="G287" s="238">
        <f t="shared" si="26"/>
        <v>-5.5688070465791679E-11</v>
      </c>
      <c r="H287" s="237">
        <f t="shared" si="23"/>
        <v>0</v>
      </c>
      <c r="I287" s="23"/>
      <c r="J287" s="235"/>
    </row>
    <row r="288" spans="2:10" x14ac:dyDescent="0.25">
      <c r="B288" s="236"/>
      <c r="C288" s="23"/>
      <c r="D288" s="23">
        <f t="shared" si="22"/>
        <v>261</v>
      </c>
      <c r="E288" s="238">
        <f t="shared" si="24"/>
        <v>5.8727493347176382E-9</v>
      </c>
      <c r="F288" s="238">
        <f t="shared" si="25"/>
        <v>5.622638848029433E-11</v>
      </c>
      <c r="G288" s="238">
        <f t="shared" si="26"/>
        <v>-5.622638848029433E-11</v>
      </c>
      <c r="H288" s="237">
        <f t="shared" si="23"/>
        <v>0</v>
      </c>
      <c r="I288" s="23"/>
      <c r="J288" s="235"/>
    </row>
    <row r="289" spans="2:10" x14ac:dyDescent="0.25">
      <c r="B289" s="236"/>
      <c r="C289" s="23"/>
      <c r="D289" s="23">
        <f t="shared" si="22"/>
        <v>262</v>
      </c>
      <c r="E289" s="238">
        <f t="shared" si="24"/>
        <v>5.9295192449532418E-9</v>
      </c>
      <c r="F289" s="238">
        <f t="shared" si="25"/>
        <v>5.6769910235603845E-11</v>
      </c>
      <c r="G289" s="238">
        <f t="shared" si="26"/>
        <v>-5.6769910235603845E-11</v>
      </c>
      <c r="H289" s="237">
        <f t="shared" si="23"/>
        <v>0</v>
      </c>
      <c r="I289" s="23"/>
      <c r="J289" s="235"/>
    </row>
    <row r="290" spans="2:10" x14ac:dyDescent="0.25">
      <c r="B290" s="236"/>
      <c r="C290" s="23"/>
      <c r="D290" s="23">
        <f t="shared" si="22"/>
        <v>263</v>
      </c>
      <c r="E290" s="238">
        <f t="shared" si="24"/>
        <v>5.9868379309877902E-9</v>
      </c>
      <c r="F290" s="238">
        <f t="shared" si="25"/>
        <v>5.7318686034548012E-11</v>
      </c>
      <c r="G290" s="238">
        <f t="shared" si="26"/>
        <v>-5.7318686034548012E-11</v>
      </c>
      <c r="H290" s="237">
        <f t="shared" si="23"/>
        <v>0</v>
      </c>
      <c r="I290" s="23"/>
      <c r="J290" s="235"/>
    </row>
    <row r="291" spans="2:10" x14ac:dyDescent="0.25">
      <c r="B291" s="236"/>
      <c r="C291" s="23"/>
      <c r="D291" s="23">
        <f t="shared" si="22"/>
        <v>264</v>
      </c>
      <c r="E291" s="238">
        <f t="shared" si="24"/>
        <v>6.0447106976540059E-9</v>
      </c>
      <c r="F291" s="238">
        <f t="shared" si="25"/>
        <v>5.7872766666215308E-11</v>
      </c>
      <c r="G291" s="238">
        <f t="shared" si="26"/>
        <v>-5.7872766666215308E-11</v>
      </c>
      <c r="H291" s="237">
        <f t="shared" si="23"/>
        <v>0</v>
      </c>
      <c r="I291" s="23"/>
      <c r="J291" s="235"/>
    </row>
    <row r="292" spans="2:10" x14ac:dyDescent="0.25">
      <c r="B292" s="236"/>
      <c r="C292" s="23"/>
      <c r="D292" s="23">
        <f t="shared" si="22"/>
        <v>265</v>
      </c>
      <c r="E292" s="238">
        <f t="shared" si="24"/>
        <v>6.103142901064661E-9</v>
      </c>
      <c r="F292" s="238">
        <f t="shared" si="25"/>
        <v>5.8432203410655389E-11</v>
      </c>
      <c r="G292" s="238">
        <f t="shared" si="26"/>
        <v>-5.8432203410655389E-11</v>
      </c>
      <c r="H292" s="237">
        <f t="shared" si="23"/>
        <v>0</v>
      </c>
      <c r="I292" s="23"/>
      <c r="J292" s="235"/>
    </row>
    <row r="293" spans="2:10" x14ac:dyDescent="0.25">
      <c r="B293" s="236"/>
      <c r="C293" s="23"/>
      <c r="D293" s="23">
        <f t="shared" ref="D293:D356" si="27">D292+1</f>
        <v>266</v>
      </c>
      <c r="E293" s="238">
        <f t="shared" si="24"/>
        <v>6.162139949108286E-9</v>
      </c>
      <c r="F293" s="238">
        <f t="shared" si="25"/>
        <v>5.8997048043625058E-11</v>
      </c>
      <c r="G293" s="238">
        <f t="shared" si="26"/>
        <v>-5.8997048043625058E-11</v>
      </c>
      <c r="H293" s="237">
        <f t="shared" si="23"/>
        <v>0</v>
      </c>
      <c r="I293" s="23"/>
      <c r="J293" s="235"/>
    </row>
    <row r="294" spans="2:10" x14ac:dyDescent="0.25">
      <c r="B294" s="236"/>
      <c r="C294" s="23"/>
      <c r="D294" s="23">
        <f t="shared" si="27"/>
        <v>267</v>
      </c>
      <c r="E294" s="238">
        <f t="shared" si="24"/>
        <v>6.2217073019496659E-9</v>
      </c>
      <c r="F294" s="238">
        <f t="shared" si="25"/>
        <v>5.9567352841380102E-11</v>
      </c>
      <c r="G294" s="238">
        <f t="shared" si="26"/>
        <v>-5.9567352841380102E-11</v>
      </c>
      <c r="H294" s="237">
        <f t="shared" si="23"/>
        <v>0</v>
      </c>
      <c r="I294" s="23"/>
      <c r="J294" s="235"/>
    </row>
    <row r="295" spans="2:10" x14ac:dyDescent="0.25">
      <c r="B295" s="236"/>
      <c r="C295" s="23"/>
      <c r="D295" s="23">
        <f t="shared" si="27"/>
        <v>268</v>
      </c>
      <c r="E295" s="238">
        <f t="shared" si="24"/>
        <v>6.2818504725351791E-9</v>
      </c>
      <c r="F295" s="238">
        <f t="shared" si="25"/>
        <v>6.0143170585513444E-11</v>
      </c>
      <c r="G295" s="238">
        <f t="shared" si="26"/>
        <v>-6.0143170585513444E-11</v>
      </c>
      <c r="H295" s="237">
        <f t="shared" si="23"/>
        <v>0</v>
      </c>
      <c r="I295" s="23"/>
      <c r="J295" s="235"/>
    </row>
    <row r="296" spans="2:10" x14ac:dyDescent="0.25">
      <c r="B296" s="236"/>
      <c r="C296" s="23"/>
      <c r="D296" s="23">
        <f t="shared" si="27"/>
        <v>269</v>
      </c>
      <c r="E296" s="238">
        <f t="shared" si="24"/>
        <v>6.3425750271030189E-9</v>
      </c>
      <c r="F296" s="238">
        <f t="shared" si="25"/>
        <v>6.0724554567840068E-11</v>
      </c>
      <c r="G296" s="238">
        <f t="shared" si="26"/>
        <v>-6.0724554567840068E-11</v>
      </c>
      <c r="H296" s="237">
        <f t="shared" si="23"/>
        <v>0</v>
      </c>
      <c r="I296" s="23"/>
      <c r="J296" s="235"/>
    </row>
    <row r="297" spans="2:10" x14ac:dyDescent="0.25">
      <c r="B297" s="236"/>
      <c r="C297" s="23"/>
      <c r="D297" s="23">
        <f t="shared" si="27"/>
        <v>270</v>
      </c>
      <c r="E297" s="238">
        <f t="shared" si="24"/>
        <v>6.4038865856983484E-9</v>
      </c>
      <c r="F297" s="238">
        <f t="shared" si="25"/>
        <v>6.131155859532919E-11</v>
      </c>
      <c r="G297" s="238">
        <f t="shared" si="26"/>
        <v>-6.131155859532919E-11</v>
      </c>
      <c r="H297" s="237">
        <f t="shared" si="23"/>
        <v>0</v>
      </c>
      <c r="I297" s="23"/>
      <c r="J297" s="235"/>
    </row>
    <row r="298" spans="2:10" x14ac:dyDescent="0.25">
      <c r="B298" s="236"/>
      <c r="C298" s="23"/>
      <c r="D298" s="23">
        <f t="shared" si="27"/>
        <v>271</v>
      </c>
      <c r="E298" s="238">
        <f t="shared" si="24"/>
        <v>6.4657908226934322E-9</v>
      </c>
      <c r="F298" s="238">
        <f t="shared" si="25"/>
        <v>6.1904236995084037E-11</v>
      </c>
      <c r="G298" s="238">
        <f t="shared" si="26"/>
        <v>-6.1904236995084037E-11</v>
      </c>
      <c r="H298" s="237">
        <f t="shared" si="23"/>
        <v>0</v>
      </c>
      <c r="I298" s="23"/>
      <c r="J298" s="235"/>
    </row>
    <row r="299" spans="2:10" x14ac:dyDescent="0.25">
      <c r="B299" s="236"/>
      <c r="C299" s="23"/>
      <c r="D299" s="23">
        <f t="shared" si="27"/>
        <v>272</v>
      </c>
      <c r="E299" s="238">
        <f t="shared" si="24"/>
        <v>6.5282934673128024E-9</v>
      </c>
      <c r="F299" s="238">
        <f t="shared" si="25"/>
        <v>6.2502644619369842E-11</v>
      </c>
      <c r="G299" s="238">
        <f t="shared" si="26"/>
        <v>-6.2502644619369842E-11</v>
      </c>
      <c r="H299" s="237">
        <f t="shared" si="23"/>
        <v>0</v>
      </c>
      <c r="I299" s="23"/>
      <c r="J299" s="235"/>
    </row>
    <row r="300" spans="2:10" x14ac:dyDescent="0.25">
      <c r="B300" s="236"/>
      <c r="C300" s="23"/>
      <c r="D300" s="23">
        <f t="shared" si="27"/>
        <v>273</v>
      </c>
      <c r="E300" s="238">
        <f t="shared" si="24"/>
        <v>6.5914003041634932E-9</v>
      </c>
      <c r="F300" s="238">
        <f t="shared" si="25"/>
        <v>6.3106836850690428E-11</v>
      </c>
      <c r="G300" s="238">
        <f t="shared" si="26"/>
        <v>-6.3106836850690428E-11</v>
      </c>
      <c r="H300" s="237">
        <f t="shared" si="23"/>
        <v>0</v>
      </c>
      <c r="I300" s="23"/>
      <c r="J300" s="235"/>
    </row>
    <row r="301" spans="2:10" x14ac:dyDescent="0.25">
      <c r="B301" s="236"/>
      <c r="C301" s="23"/>
      <c r="D301" s="23">
        <f t="shared" si="27"/>
        <v>274</v>
      </c>
      <c r="E301" s="238">
        <f t="shared" si="24"/>
        <v>6.6551171737704072E-9</v>
      </c>
      <c r="F301" s="238">
        <f t="shared" si="25"/>
        <v>6.3716869606913773E-11</v>
      </c>
      <c r="G301" s="238">
        <f t="shared" si="26"/>
        <v>-6.3716869606913773E-11</v>
      </c>
      <c r="H301" s="237">
        <f t="shared" si="23"/>
        <v>0</v>
      </c>
      <c r="I301" s="23"/>
      <c r="J301" s="235"/>
    </row>
    <row r="302" spans="2:10" x14ac:dyDescent="0.25">
      <c r="B302" s="236"/>
      <c r="C302" s="23"/>
      <c r="D302" s="23">
        <f t="shared" si="27"/>
        <v>275</v>
      </c>
      <c r="E302" s="238">
        <f t="shared" si="24"/>
        <v>6.7194499731168543E-9</v>
      </c>
      <c r="F302" s="238">
        <f t="shared" si="25"/>
        <v>6.4332799346447273E-11</v>
      </c>
      <c r="G302" s="238">
        <f t="shared" si="26"/>
        <v>-6.4332799346447273E-11</v>
      </c>
      <c r="H302" s="237">
        <f t="shared" si="23"/>
        <v>0</v>
      </c>
      <c r="I302" s="23"/>
      <c r="J302" s="235"/>
    </row>
    <row r="303" spans="2:10" x14ac:dyDescent="0.25">
      <c r="B303" s="236"/>
      <c r="C303" s="23"/>
      <c r="D303" s="23">
        <f t="shared" si="27"/>
        <v>276</v>
      </c>
      <c r="E303" s="238">
        <f t="shared" si="24"/>
        <v>6.7844046561903175E-9</v>
      </c>
      <c r="F303" s="238">
        <f t="shared" si="25"/>
        <v>6.495468307346292E-11</v>
      </c>
      <c r="G303" s="238">
        <f t="shared" si="26"/>
        <v>-6.495468307346292E-11</v>
      </c>
      <c r="H303" s="237">
        <f t="shared" si="23"/>
        <v>0</v>
      </c>
      <c r="I303" s="23"/>
      <c r="J303" s="235"/>
    </row>
    <row r="304" spans="2:10" x14ac:dyDescent="0.25">
      <c r="B304" s="236"/>
      <c r="C304" s="23"/>
      <c r="D304" s="23">
        <f t="shared" si="27"/>
        <v>277</v>
      </c>
      <c r="E304" s="238">
        <f t="shared" si="24"/>
        <v>6.8499872345334904E-9</v>
      </c>
      <c r="F304" s="238">
        <f t="shared" si="25"/>
        <v>6.5582578343173077E-11</v>
      </c>
      <c r="G304" s="238">
        <f t="shared" si="26"/>
        <v>-6.5582578343173077E-11</v>
      </c>
      <c r="H304" s="237">
        <f t="shared" si="23"/>
        <v>0</v>
      </c>
      <c r="I304" s="23"/>
      <c r="J304" s="235"/>
    </row>
    <row r="305" spans="2:10" x14ac:dyDescent="0.25">
      <c r="B305" s="236"/>
      <c r="C305" s="23"/>
      <c r="D305" s="23">
        <f t="shared" si="27"/>
        <v>278</v>
      </c>
      <c r="E305" s="238">
        <f t="shared" si="24"/>
        <v>6.9162037778006472E-9</v>
      </c>
      <c r="F305" s="238">
        <f t="shared" si="25"/>
        <v>6.6216543267157075E-11</v>
      </c>
      <c r="G305" s="238">
        <f t="shared" si="26"/>
        <v>-6.6216543267157075E-11</v>
      </c>
      <c r="H305" s="237">
        <f t="shared" si="23"/>
        <v>0</v>
      </c>
      <c r="I305" s="23"/>
      <c r="J305" s="235"/>
    </row>
    <row r="306" spans="2:10" x14ac:dyDescent="0.25">
      <c r="B306" s="236"/>
      <c r="C306" s="23"/>
      <c r="D306" s="23">
        <f t="shared" si="27"/>
        <v>279</v>
      </c>
      <c r="E306" s="238">
        <f t="shared" si="24"/>
        <v>6.9830604143193871E-9</v>
      </c>
      <c r="F306" s="238">
        <f t="shared" si="25"/>
        <v>6.6856636518739592E-11</v>
      </c>
      <c r="G306" s="238">
        <f t="shared" si="26"/>
        <v>-6.6856636518739592E-11</v>
      </c>
      <c r="H306" s="237">
        <f t="shared" si="23"/>
        <v>0</v>
      </c>
      <c r="I306" s="23"/>
      <c r="J306" s="235"/>
    </row>
    <row r="307" spans="2:10" x14ac:dyDescent="0.25">
      <c r="B307" s="236"/>
      <c r="C307" s="23"/>
      <c r="D307" s="23">
        <f t="shared" si="27"/>
        <v>280</v>
      </c>
      <c r="E307" s="238">
        <f t="shared" si="24"/>
        <v>7.0505633316578079E-9</v>
      </c>
      <c r="F307" s="238">
        <f t="shared" si="25"/>
        <v>6.7502917338420743E-11</v>
      </c>
      <c r="G307" s="238">
        <f t="shared" si="26"/>
        <v>-6.7502917338420743E-11</v>
      </c>
      <c r="H307" s="237">
        <f t="shared" si="23"/>
        <v>0</v>
      </c>
      <c r="I307" s="23"/>
      <c r="J307" s="235"/>
    </row>
    <row r="308" spans="2:10" x14ac:dyDescent="0.25">
      <c r="B308" s="236"/>
      <c r="C308" s="23"/>
      <c r="D308" s="23">
        <f t="shared" si="27"/>
        <v>281</v>
      </c>
      <c r="E308" s="238">
        <f t="shared" si="24"/>
        <v>7.1187187771971671E-9</v>
      </c>
      <c r="F308" s="238">
        <f t="shared" si="25"/>
        <v>6.8155445539358816E-11</v>
      </c>
      <c r="G308" s="238">
        <f t="shared" si="26"/>
        <v>-6.8155445539358816E-11</v>
      </c>
      <c r="H308" s="237">
        <f t="shared" si="23"/>
        <v>0</v>
      </c>
      <c r="I308" s="23"/>
      <c r="J308" s="235"/>
    </row>
    <row r="309" spans="2:10" x14ac:dyDescent="0.25">
      <c r="B309" s="236"/>
      <c r="C309" s="23"/>
      <c r="D309" s="23">
        <f t="shared" si="27"/>
        <v>282</v>
      </c>
      <c r="E309" s="238">
        <f t="shared" si="24"/>
        <v>7.1875330587100733E-9</v>
      </c>
      <c r="F309" s="238">
        <f t="shared" si="25"/>
        <v>6.8814281512905955E-11</v>
      </c>
      <c r="G309" s="238">
        <f t="shared" si="26"/>
        <v>-6.8814281512905955E-11</v>
      </c>
      <c r="H309" s="237">
        <f t="shared" si="23"/>
        <v>0</v>
      </c>
      <c r="I309" s="23"/>
      <c r="J309" s="235"/>
    </row>
    <row r="310" spans="2:10" x14ac:dyDescent="0.25">
      <c r="B310" s="236"/>
      <c r="C310" s="23"/>
      <c r="D310" s="23">
        <f t="shared" si="27"/>
        <v>283</v>
      </c>
      <c r="E310" s="238">
        <f t="shared" si="24"/>
        <v>7.2570125449442704E-9</v>
      </c>
      <c r="F310" s="238">
        <f t="shared" si="25"/>
        <v>6.9479486234197388E-11</v>
      </c>
      <c r="G310" s="238">
        <f t="shared" si="26"/>
        <v>-6.9479486234197388E-11</v>
      </c>
      <c r="H310" s="237">
        <f t="shared" si="23"/>
        <v>0</v>
      </c>
      <c r="I310" s="23"/>
      <c r="J310" s="235"/>
    </row>
    <row r="311" spans="2:10" x14ac:dyDescent="0.25">
      <c r="B311" s="236"/>
      <c r="C311" s="23"/>
      <c r="D311" s="23">
        <f t="shared" si="27"/>
        <v>284</v>
      </c>
      <c r="E311" s="238">
        <f t="shared" si="24"/>
        <v>7.3271636662120651E-9</v>
      </c>
      <c r="F311" s="238">
        <f t="shared" si="25"/>
        <v>7.0151121267794624E-11</v>
      </c>
      <c r="G311" s="238">
        <f t="shared" si="26"/>
        <v>-7.0151121267794624E-11</v>
      </c>
      <c r="H311" s="237">
        <f t="shared" si="23"/>
        <v>0</v>
      </c>
      <c r="I311" s="23"/>
      <c r="J311" s="235"/>
    </row>
    <row r="312" spans="2:10" x14ac:dyDescent="0.25">
      <c r="B312" s="236"/>
      <c r="C312" s="23"/>
      <c r="D312" s="23">
        <f t="shared" si="27"/>
        <v>285</v>
      </c>
      <c r="E312" s="238">
        <f t="shared" si="24"/>
        <v>7.3979929149854485E-9</v>
      </c>
      <c r="F312" s="238">
        <f t="shared" si="25"/>
        <v>7.0829248773383301E-11</v>
      </c>
      <c r="G312" s="238">
        <f t="shared" si="26"/>
        <v>-7.0829248773383301E-11</v>
      </c>
      <c r="H312" s="237">
        <f t="shared" si="23"/>
        <v>0</v>
      </c>
      <c r="I312" s="23"/>
      <c r="J312" s="235"/>
    </row>
    <row r="313" spans="2:10" x14ac:dyDescent="0.25">
      <c r="B313" s="236"/>
      <c r="C313" s="23"/>
      <c r="D313" s="23">
        <f t="shared" si="27"/>
        <v>286</v>
      </c>
      <c r="E313" s="238">
        <f t="shared" si="24"/>
        <v>7.4695068464969753E-9</v>
      </c>
      <c r="F313" s="238">
        <f t="shared" si="25"/>
        <v>7.1513931511526004E-11</v>
      </c>
      <c r="G313" s="238">
        <f t="shared" si="26"/>
        <v>-7.1513931511526004E-11</v>
      </c>
      <c r="H313" s="237">
        <f t="shared" si="23"/>
        <v>0</v>
      </c>
      <c r="I313" s="23"/>
      <c r="J313" s="235"/>
    </row>
    <row r="314" spans="2:10" x14ac:dyDescent="0.25">
      <c r="B314" s="236"/>
      <c r="C314" s="23"/>
      <c r="D314" s="23">
        <f t="shared" si="27"/>
        <v>287</v>
      </c>
      <c r="E314" s="238">
        <f t="shared" si="24"/>
        <v>7.5417120793464464E-9</v>
      </c>
      <c r="F314" s="238">
        <f t="shared" si="25"/>
        <v>7.2205232849470767E-11</v>
      </c>
      <c r="G314" s="238">
        <f t="shared" si="26"/>
        <v>-7.2205232849470767E-11</v>
      </c>
      <c r="H314" s="237">
        <f t="shared" si="23"/>
        <v>0</v>
      </c>
      <c r="I314" s="23"/>
      <c r="J314" s="235"/>
    </row>
    <row r="315" spans="2:10" x14ac:dyDescent="0.25">
      <c r="B315" s="236"/>
      <c r="C315" s="23"/>
      <c r="D315" s="23">
        <f t="shared" si="27"/>
        <v>288</v>
      </c>
      <c r="E315" s="238">
        <f t="shared" si="24"/>
        <v>7.6146152961134626E-9</v>
      </c>
      <c r="F315" s="238">
        <f t="shared" si="25"/>
        <v>7.2903216767015653E-11</v>
      </c>
      <c r="G315" s="238">
        <f t="shared" si="26"/>
        <v>-7.2903216767015653E-11</v>
      </c>
      <c r="H315" s="237">
        <f t="shared" si="23"/>
        <v>0</v>
      </c>
      <c r="I315" s="23"/>
      <c r="J315" s="235"/>
    </row>
    <row r="316" spans="2:10" x14ac:dyDescent="0.25">
      <c r="B316" s="236"/>
      <c r="C316" s="23"/>
      <c r="D316" s="23">
        <f t="shared" si="27"/>
        <v>289</v>
      </c>
      <c r="E316" s="238">
        <f t="shared" si="24"/>
        <v>7.6882232439758934E-9</v>
      </c>
      <c r="F316" s="238">
        <f t="shared" si="25"/>
        <v>7.3607947862430141E-11</v>
      </c>
      <c r="G316" s="238">
        <f t="shared" si="26"/>
        <v>-7.3607947862430141E-11</v>
      </c>
      <c r="H316" s="237">
        <f t="shared" si="23"/>
        <v>0</v>
      </c>
      <c r="I316" s="23"/>
      <c r="J316" s="235"/>
    </row>
    <row r="317" spans="2:10" x14ac:dyDescent="0.25">
      <c r="B317" s="236"/>
      <c r="C317" s="23"/>
      <c r="D317" s="23">
        <f t="shared" si="27"/>
        <v>290</v>
      </c>
      <c r="E317" s="238">
        <f t="shared" si="24"/>
        <v>7.7625427353343264E-9</v>
      </c>
      <c r="F317" s="238">
        <f t="shared" si="25"/>
        <v>7.4319491358433637E-11</v>
      </c>
      <c r="G317" s="238">
        <f t="shared" si="26"/>
        <v>-7.4319491358433637E-11</v>
      </c>
      <c r="H317" s="237">
        <f t="shared" si="23"/>
        <v>0</v>
      </c>
      <c r="I317" s="23"/>
      <c r="J317" s="235"/>
    </row>
    <row r="318" spans="2:10" x14ac:dyDescent="0.25">
      <c r="B318" s="236"/>
      <c r="C318" s="23"/>
      <c r="D318" s="23">
        <f t="shared" si="27"/>
        <v>291</v>
      </c>
      <c r="E318" s="238">
        <f t="shared" si="24"/>
        <v>7.8375806484425578E-9</v>
      </c>
      <c r="F318" s="238">
        <f t="shared" si="25"/>
        <v>7.5037913108231824E-11</v>
      </c>
      <c r="G318" s="238">
        <f t="shared" si="26"/>
        <v>-7.5037913108231824E-11</v>
      </c>
      <c r="H318" s="237">
        <f t="shared" si="23"/>
        <v>0</v>
      </c>
      <c r="I318" s="23"/>
      <c r="J318" s="235"/>
    </row>
    <row r="319" spans="2:10" x14ac:dyDescent="0.25">
      <c r="B319" s="236"/>
      <c r="C319" s="23"/>
      <c r="D319" s="23">
        <f t="shared" si="27"/>
        <v>292</v>
      </c>
      <c r="E319" s="238">
        <f t="shared" si="24"/>
        <v>7.9133439280441689E-9</v>
      </c>
      <c r="F319" s="238">
        <f t="shared" si="25"/>
        <v>7.5763279601611398E-11</v>
      </c>
      <c r="G319" s="238">
        <f t="shared" si="26"/>
        <v>-7.5763279601611398E-11</v>
      </c>
      <c r="H319" s="237">
        <f t="shared" si="23"/>
        <v>0</v>
      </c>
      <c r="I319" s="23"/>
      <c r="J319" s="235"/>
    </row>
    <row r="320" spans="2:10" x14ac:dyDescent="0.25">
      <c r="B320" s="236"/>
      <c r="C320" s="23"/>
      <c r="D320" s="23">
        <f t="shared" si="27"/>
        <v>293</v>
      </c>
      <c r="E320" s="238">
        <f t="shared" si="24"/>
        <v>7.9898395860152619E-9</v>
      </c>
      <c r="F320" s="238">
        <f t="shared" si="25"/>
        <v>7.6495657971093639E-11</v>
      </c>
      <c r="G320" s="238">
        <f t="shared" si="26"/>
        <v>-7.6495657971093639E-11</v>
      </c>
      <c r="H320" s="237">
        <f t="shared" si="23"/>
        <v>0</v>
      </c>
      <c r="I320" s="23"/>
      <c r="J320" s="235"/>
    </row>
    <row r="321" spans="2:10" x14ac:dyDescent="0.25">
      <c r="B321" s="236"/>
      <c r="C321" s="23"/>
      <c r="D321" s="23">
        <f t="shared" si="27"/>
        <v>294</v>
      </c>
      <c r="E321" s="238">
        <f t="shared" si="24"/>
        <v>8.0670747020134099E-9</v>
      </c>
      <c r="F321" s="238">
        <f t="shared" si="25"/>
        <v>7.7235115998147537E-11</v>
      </c>
      <c r="G321" s="238">
        <f t="shared" si="26"/>
        <v>-7.7235115998147537E-11</v>
      </c>
      <c r="H321" s="237">
        <f t="shared" si="23"/>
        <v>0</v>
      </c>
      <c r="I321" s="23"/>
      <c r="J321" s="235"/>
    </row>
    <row r="322" spans="2:10" x14ac:dyDescent="0.25">
      <c r="B322" s="236"/>
      <c r="C322" s="23"/>
      <c r="D322" s="23">
        <f t="shared" si="27"/>
        <v>295</v>
      </c>
      <c r="E322" s="238">
        <f t="shared" si="24"/>
        <v>8.1450564241328729E-9</v>
      </c>
      <c r="F322" s="238">
        <f t="shared" si="25"/>
        <v>7.7981722119462959E-11</v>
      </c>
      <c r="G322" s="238">
        <f t="shared" si="26"/>
        <v>-7.7981722119462959E-11</v>
      </c>
      <c r="H322" s="237">
        <f t="shared" si="23"/>
        <v>0</v>
      </c>
      <c r="I322" s="23"/>
      <c r="J322" s="235"/>
    </row>
    <row r="323" spans="2:10" x14ac:dyDescent="0.25">
      <c r="B323" s="236"/>
      <c r="C323" s="23"/>
      <c r="D323" s="23">
        <f t="shared" si="27"/>
        <v>296</v>
      </c>
      <c r="E323" s="238">
        <f t="shared" si="24"/>
        <v>8.2237919695661571E-9</v>
      </c>
      <c r="F323" s="238">
        <f t="shared" si="25"/>
        <v>7.8735545433284441E-11</v>
      </c>
      <c r="G323" s="238">
        <f t="shared" si="26"/>
        <v>-7.8735545433284441E-11</v>
      </c>
      <c r="H323" s="237">
        <f t="shared" si="23"/>
        <v>0</v>
      </c>
      <c r="I323" s="23"/>
      <c r="J323" s="235"/>
    </row>
    <row r="324" spans="2:10" x14ac:dyDescent="0.25">
      <c r="B324" s="236"/>
      <c r="C324" s="23"/>
      <c r="D324" s="23">
        <f t="shared" si="27"/>
        <v>297</v>
      </c>
      <c r="E324" s="238">
        <f t="shared" si="24"/>
        <v>8.3032886252719635E-9</v>
      </c>
      <c r="F324" s="238">
        <f t="shared" si="25"/>
        <v>7.9496655705806189E-11</v>
      </c>
      <c r="G324" s="238">
        <f t="shared" si="26"/>
        <v>-7.9496655705806189E-11</v>
      </c>
      <c r="H324" s="237">
        <f t="shared" si="23"/>
        <v>0</v>
      </c>
      <c r="I324" s="23"/>
      <c r="J324" s="235"/>
    </row>
    <row r="325" spans="2:10" x14ac:dyDescent="0.25">
      <c r="B325" s="236"/>
      <c r="C325" s="23"/>
      <c r="D325" s="23">
        <f t="shared" si="27"/>
        <v>298</v>
      </c>
      <c r="E325" s="238">
        <f t="shared" si="24"/>
        <v>8.3835537486495929E-9</v>
      </c>
      <c r="F325" s="238">
        <f t="shared" si="25"/>
        <v>8.0265123377628985E-11</v>
      </c>
      <c r="G325" s="238">
        <f t="shared" si="26"/>
        <v>-8.0265123377628985E-11</v>
      </c>
      <c r="H325" s="237">
        <f t="shared" si="23"/>
        <v>0</v>
      </c>
      <c r="I325" s="23"/>
      <c r="J325" s="235"/>
    </row>
    <row r="326" spans="2:10" x14ac:dyDescent="0.25">
      <c r="B326" s="236"/>
      <c r="C326" s="23"/>
      <c r="D326" s="23">
        <f t="shared" si="27"/>
        <v>299</v>
      </c>
      <c r="E326" s="238">
        <f t="shared" si="24"/>
        <v>8.464594768219873E-9</v>
      </c>
      <c r="F326" s="238">
        <f t="shared" si="25"/>
        <v>8.1041019570279406E-11</v>
      </c>
      <c r="G326" s="238">
        <f t="shared" si="26"/>
        <v>-8.1041019570279406E-11</v>
      </c>
      <c r="H326" s="237">
        <f t="shared" si="23"/>
        <v>0</v>
      </c>
      <c r="I326" s="23"/>
      <c r="J326" s="235"/>
    </row>
    <row r="327" spans="2:10" x14ac:dyDescent="0.25">
      <c r="B327" s="236"/>
      <c r="C327" s="23"/>
      <c r="D327" s="23">
        <f t="shared" si="27"/>
        <v>300</v>
      </c>
      <c r="E327" s="238">
        <f t="shared" si="24"/>
        <v>8.5464191843126658E-9</v>
      </c>
      <c r="F327" s="238">
        <f t="shared" si="25"/>
        <v>8.1824416092792098E-11</v>
      </c>
      <c r="G327" s="238">
        <f t="shared" si="26"/>
        <v>-8.1824416092792098E-11</v>
      </c>
      <c r="H327" s="237">
        <f t="shared" si="23"/>
        <v>0</v>
      </c>
      <c r="I327" s="23"/>
      <c r="J327" s="235"/>
    </row>
    <row r="328" spans="2:10" x14ac:dyDescent="0.25">
      <c r="B328" s="236"/>
      <c r="C328" s="23"/>
      <c r="D328" s="23">
        <f t="shared" si="27"/>
        <v>301</v>
      </c>
      <c r="E328" s="238">
        <f t="shared" si="24"/>
        <v>8.6290345697610215E-9</v>
      </c>
      <c r="F328" s="238">
        <f t="shared" si="25"/>
        <v>8.2615385448355777E-11</v>
      </c>
      <c r="G328" s="238">
        <f t="shared" si="26"/>
        <v>-8.2615385448355777E-11</v>
      </c>
      <c r="H328" s="237">
        <f t="shared" si="23"/>
        <v>0</v>
      </c>
      <c r="I328" s="23"/>
      <c r="J328" s="235"/>
    </row>
    <row r="329" spans="2:10" x14ac:dyDescent="0.25">
      <c r="B329" s="236"/>
      <c r="C329" s="23"/>
      <c r="D329" s="23">
        <f t="shared" si="27"/>
        <v>302</v>
      </c>
      <c r="E329" s="238">
        <f t="shared" si="24"/>
        <v>8.7124485706020453E-9</v>
      </c>
      <c r="F329" s="238">
        <f t="shared" si="25"/>
        <v>8.3414000841023217E-11</v>
      </c>
      <c r="G329" s="238">
        <f t="shared" si="26"/>
        <v>-8.3414000841023217E-11</v>
      </c>
      <c r="H329" s="237">
        <f t="shared" si="23"/>
        <v>0</v>
      </c>
      <c r="I329" s="23"/>
      <c r="J329" s="235"/>
    </row>
    <row r="330" spans="2:10" x14ac:dyDescent="0.25">
      <c r="B330" s="236"/>
      <c r="C330" s="23"/>
      <c r="D330" s="23">
        <f t="shared" si="27"/>
        <v>303</v>
      </c>
      <c r="E330" s="238">
        <f t="shared" si="24"/>
        <v>8.7966689067845317E-9</v>
      </c>
      <c r="F330" s="238">
        <f t="shared" si="25"/>
        <v>8.4220336182486429E-11</v>
      </c>
      <c r="G330" s="238">
        <f t="shared" si="26"/>
        <v>-8.4220336182486429E-11</v>
      </c>
      <c r="H330" s="237">
        <f t="shared" si="23"/>
        <v>0</v>
      </c>
      <c r="I330" s="23"/>
      <c r="J330" s="235"/>
    </row>
    <row r="331" spans="2:10" x14ac:dyDescent="0.25">
      <c r="B331" s="236"/>
      <c r="C331" s="23"/>
      <c r="D331" s="23">
        <f t="shared" si="27"/>
        <v>304</v>
      </c>
      <c r="E331" s="238">
        <f t="shared" si="24"/>
        <v>8.881703372883449E-9</v>
      </c>
      <c r="F331" s="238">
        <f t="shared" si="25"/>
        <v>8.5034466098917149E-11</v>
      </c>
      <c r="G331" s="238">
        <f t="shared" si="26"/>
        <v>-8.5034466098917149E-11</v>
      </c>
      <c r="H331" s="237">
        <f t="shared" si="23"/>
        <v>0</v>
      </c>
      <c r="I331" s="23"/>
      <c r="J331" s="235"/>
    </row>
    <row r="332" spans="2:10" x14ac:dyDescent="0.25">
      <c r="B332" s="236"/>
      <c r="C332" s="23"/>
      <c r="D332" s="23">
        <f t="shared" si="27"/>
        <v>305</v>
      </c>
      <c r="E332" s="238">
        <f t="shared" si="24"/>
        <v>8.9675598388213232E-9</v>
      </c>
      <c r="F332" s="238">
        <f t="shared" si="25"/>
        <v>8.5856465937873337E-11</v>
      </c>
      <c r="G332" s="238">
        <f t="shared" si="26"/>
        <v>-8.5856465937873337E-11</v>
      </c>
      <c r="H332" s="237">
        <f t="shared" si="23"/>
        <v>0</v>
      </c>
      <c r="I332" s="23"/>
      <c r="J332" s="235"/>
    </row>
    <row r="333" spans="2:10" x14ac:dyDescent="0.25">
      <c r="B333" s="236"/>
      <c r="C333" s="23"/>
      <c r="D333" s="23">
        <f t="shared" si="27"/>
        <v>306</v>
      </c>
      <c r="E333" s="238">
        <f t="shared" si="24"/>
        <v>9.0542462505965952E-9</v>
      </c>
      <c r="F333" s="238">
        <f t="shared" si="25"/>
        <v>8.6686411775272783E-11</v>
      </c>
      <c r="G333" s="238">
        <f t="shared" si="26"/>
        <v>-8.6686411775272783E-11</v>
      </c>
      <c r="H333" s="237">
        <f t="shared" si="23"/>
        <v>0</v>
      </c>
      <c r="I333" s="23"/>
      <c r="J333" s="235"/>
    </row>
    <row r="334" spans="2:10" x14ac:dyDescent="0.25">
      <c r="B334" s="236"/>
      <c r="C334" s="23"/>
      <c r="D334" s="23">
        <f t="shared" si="27"/>
        <v>307</v>
      </c>
      <c r="E334" s="238">
        <f t="shared" si="24"/>
        <v>9.1417706310190295E-9</v>
      </c>
      <c r="F334" s="238">
        <f t="shared" si="25"/>
        <v>8.7524380422433753E-11</v>
      </c>
      <c r="G334" s="238">
        <f t="shared" si="26"/>
        <v>-8.7524380422433753E-11</v>
      </c>
      <c r="H334" s="237">
        <f t="shared" si="23"/>
        <v>0</v>
      </c>
      <c r="I334" s="23"/>
      <c r="J334" s="235"/>
    </row>
    <row r="335" spans="2:10" x14ac:dyDescent="0.25">
      <c r="B335" s="236"/>
      <c r="C335" s="23"/>
      <c r="D335" s="23">
        <f t="shared" si="27"/>
        <v>308</v>
      </c>
      <c r="E335" s="238">
        <f t="shared" si="24"/>
        <v>9.2301410804522143E-9</v>
      </c>
      <c r="F335" s="238">
        <f t="shared" si="25"/>
        <v>8.8370449433183961E-11</v>
      </c>
      <c r="G335" s="238">
        <f t="shared" si="26"/>
        <v>-8.8370449433183961E-11</v>
      </c>
      <c r="H335" s="237">
        <f t="shared" si="23"/>
        <v>0</v>
      </c>
      <c r="I335" s="23"/>
      <c r="J335" s="235"/>
    </row>
    <row r="336" spans="2:10" x14ac:dyDescent="0.25">
      <c r="B336" s="236"/>
      <c r="C336" s="23"/>
      <c r="D336" s="23">
        <f t="shared" si="27"/>
        <v>309</v>
      </c>
      <c r="E336" s="238">
        <f t="shared" si="24"/>
        <v>9.3193657775632517E-9</v>
      </c>
      <c r="F336" s="238">
        <f t="shared" si="25"/>
        <v>8.9224697111038083E-11</v>
      </c>
      <c r="G336" s="238">
        <f t="shared" si="26"/>
        <v>-8.9224697111038083E-11</v>
      </c>
      <c r="H336" s="237">
        <f t="shared" si="23"/>
        <v>0</v>
      </c>
      <c r="I336" s="23"/>
      <c r="J336" s="235"/>
    </row>
    <row r="337" spans="2:10" x14ac:dyDescent="0.25">
      <c r="B337" s="236"/>
      <c r="C337" s="23"/>
      <c r="D337" s="23">
        <f t="shared" si="27"/>
        <v>310</v>
      </c>
      <c r="E337" s="238">
        <f t="shared" si="24"/>
        <v>9.4094529800796964E-9</v>
      </c>
      <c r="F337" s="238">
        <f t="shared" si="25"/>
        <v>9.0087202516444771E-11</v>
      </c>
      <c r="G337" s="238">
        <f t="shared" si="26"/>
        <v>-9.0087202516444771E-11</v>
      </c>
      <c r="H337" s="237">
        <f t="shared" si="23"/>
        <v>0</v>
      </c>
      <c r="I337" s="23"/>
      <c r="J337" s="235"/>
    </row>
    <row r="338" spans="2:10" x14ac:dyDescent="0.25">
      <c r="B338" s="236"/>
      <c r="C338" s="23"/>
      <c r="D338" s="23">
        <f t="shared" si="27"/>
        <v>311</v>
      </c>
      <c r="E338" s="238">
        <f t="shared" si="24"/>
        <v>9.5004110255538005E-9</v>
      </c>
      <c r="F338" s="238">
        <f t="shared" si="25"/>
        <v>9.0958045474103729E-11</v>
      </c>
      <c r="G338" s="238">
        <f t="shared" si="26"/>
        <v>-9.0958045474103729E-11</v>
      </c>
      <c r="H338" s="237">
        <f t="shared" si="23"/>
        <v>0</v>
      </c>
      <c r="I338" s="23"/>
      <c r="J338" s="235"/>
    </row>
    <row r="339" spans="2:10" x14ac:dyDescent="0.25">
      <c r="B339" s="236"/>
      <c r="C339" s="23"/>
      <c r="D339" s="23">
        <f t="shared" si="27"/>
        <v>312</v>
      </c>
      <c r="E339" s="238">
        <f t="shared" si="24"/>
        <v>9.5922483321341542E-9</v>
      </c>
      <c r="F339" s="238">
        <f t="shared" si="25"/>
        <v>9.1837306580353419E-11</v>
      </c>
      <c r="G339" s="238">
        <f t="shared" si="26"/>
        <v>-9.1837306580353419E-11</v>
      </c>
      <c r="H339" s="237">
        <f t="shared" si="23"/>
        <v>0</v>
      </c>
      <c r="I339" s="23"/>
      <c r="J339" s="235"/>
    </row>
    <row r="340" spans="2:10" x14ac:dyDescent="0.25">
      <c r="B340" s="236"/>
      <c r="C340" s="23"/>
      <c r="D340" s="23">
        <f t="shared" si="27"/>
        <v>313</v>
      </c>
      <c r="E340" s="238">
        <f t="shared" si="24"/>
        <v>9.6849733993447838E-9</v>
      </c>
      <c r="F340" s="238">
        <f t="shared" si="25"/>
        <v>9.2725067210630158E-11</v>
      </c>
      <c r="G340" s="238">
        <f t="shared" si="26"/>
        <v>-9.2725067210630158E-11</v>
      </c>
      <c r="H340" s="237">
        <f t="shared" si="23"/>
        <v>0</v>
      </c>
      <c r="I340" s="23"/>
      <c r="J340" s="235"/>
    </row>
    <row r="341" spans="2:10" x14ac:dyDescent="0.25">
      <c r="B341" s="236"/>
      <c r="C341" s="23"/>
      <c r="D341" s="23">
        <f t="shared" si="27"/>
        <v>314</v>
      </c>
      <c r="E341" s="238">
        <f t="shared" si="24"/>
        <v>9.7785948088717827E-9</v>
      </c>
      <c r="F341" s="238">
        <f t="shared" si="25"/>
        <v>9.3621409526999574E-11</v>
      </c>
      <c r="G341" s="238">
        <f t="shared" si="26"/>
        <v>-9.3621409526999574E-11</v>
      </c>
      <c r="H341" s="237">
        <f t="shared" si="23"/>
        <v>0</v>
      </c>
      <c r="I341" s="23"/>
      <c r="J341" s="235"/>
    </row>
    <row r="342" spans="2:10" x14ac:dyDescent="0.25">
      <c r="B342" s="236"/>
      <c r="C342" s="23"/>
      <c r="D342" s="23">
        <f t="shared" si="27"/>
        <v>315</v>
      </c>
      <c r="E342" s="238">
        <f t="shared" si="24"/>
        <v>9.8731212253575433E-9</v>
      </c>
      <c r="F342" s="238">
        <f t="shared" si="25"/>
        <v>9.4526416485760569E-11</v>
      </c>
      <c r="G342" s="238">
        <f t="shared" si="26"/>
        <v>-9.4526416485760569E-11</v>
      </c>
      <c r="H342" s="237">
        <f t="shared" si="23"/>
        <v>0</v>
      </c>
      <c r="I342" s="23"/>
      <c r="J342" s="235"/>
    </row>
    <row r="343" spans="2:10" x14ac:dyDescent="0.25">
      <c r="B343" s="236"/>
      <c r="C343" s="23"/>
      <c r="D343" s="23">
        <f t="shared" si="27"/>
        <v>316</v>
      </c>
      <c r="E343" s="238">
        <f t="shared" si="24"/>
        <v>9.968561397202666E-9</v>
      </c>
      <c r="F343" s="238">
        <f t="shared" si="25"/>
        <v>9.5440171845122933E-11</v>
      </c>
      <c r="G343" s="238">
        <f t="shared" si="26"/>
        <v>-9.5440171845122933E-11</v>
      </c>
      <c r="H343" s="237">
        <f t="shared" si="23"/>
        <v>0</v>
      </c>
      <c r="I343" s="23"/>
      <c r="J343" s="235"/>
    </row>
    <row r="344" spans="2:10" x14ac:dyDescent="0.25">
      <c r="B344" s="236"/>
      <c r="C344" s="23"/>
      <c r="D344" s="23">
        <f t="shared" si="27"/>
        <v>317</v>
      </c>
      <c r="E344" s="238">
        <f t="shared" si="24"/>
        <v>1.0064924157375625E-8</v>
      </c>
      <c r="F344" s="238">
        <f t="shared" si="25"/>
        <v>9.6362760172959118E-11</v>
      </c>
      <c r="G344" s="238">
        <f t="shared" si="26"/>
        <v>-9.6362760172959118E-11</v>
      </c>
      <c r="H344" s="237">
        <f t="shared" si="23"/>
        <v>0</v>
      </c>
      <c r="I344" s="23"/>
      <c r="J344" s="235"/>
    </row>
    <row r="345" spans="2:10" x14ac:dyDescent="0.25">
      <c r="B345" s="236"/>
      <c r="C345" s="23"/>
      <c r="D345" s="23">
        <f t="shared" si="27"/>
        <v>318</v>
      </c>
      <c r="E345" s="238">
        <f t="shared" si="24"/>
        <v>1.0162218424230256E-8</v>
      </c>
      <c r="F345" s="238">
        <f t="shared" si="25"/>
        <v>9.7294266854631055E-11</v>
      </c>
      <c r="G345" s="238">
        <f t="shared" si="26"/>
        <v>-9.7294266854631055E-11</v>
      </c>
      <c r="H345" s="237">
        <f t="shared" si="23"/>
        <v>0</v>
      </c>
      <c r="I345" s="23"/>
      <c r="J345" s="235"/>
    </row>
    <row r="346" spans="2:10" x14ac:dyDescent="0.25">
      <c r="B346" s="236"/>
      <c r="C346" s="23"/>
      <c r="D346" s="23">
        <f t="shared" si="27"/>
        <v>319</v>
      </c>
      <c r="E346" s="238">
        <f t="shared" si="24"/>
        <v>1.0260453202331148E-8</v>
      </c>
      <c r="F346" s="238">
        <f t="shared" si="25"/>
        <v>9.8234778100892484E-11</v>
      </c>
      <c r="G346" s="238">
        <f t="shared" si="26"/>
        <v>-9.8234778100892484E-11</v>
      </c>
      <c r="H346" s="237">
        <f t="shared" si="23"/>
        <v>0</v>
      </c>
      <c r="I346" s="23"/>
      <c r="J346" s="235"/>
    </row>
    <row r="347" spans="2:10" x14ac:dyDescent="0.25">
      <c r="B347" s="236"/>
      <c r="C347" s="23"/>
      <c r="D347" s="23">
        <f t="shared" si="27"/>
        <v>320</v>
      </c>
      <c r="E347" s="238">
        <f t="shared" si="24"/>
        <v>1.0359637583287016E-8</v>
      </c>
      <c r="F347" s="238">
        <f t="shared" si="25"/>
        <v>9.9184380955867771E-11</v>
      </c>
      <c r="G347" s="238">
        <f t="shared" si="26"/>
        <v>-9.9184380955867771E-11</v>
      </c>
      <c r="H347" s="237">
        <f t="shared" si="23"/>
        <v>0</v>
      </c>
      <c r="I347" s="23"/>
      <c r="J347" s="235"/>
    </row>
    <row r="348" spans="2:10" x14ac:dyDescent="0.25">
      <c r="B348" s="236"/>
      <c r="C348" s="23"/>
      <c r="D348" s="23">
        <f t="shared" si="27"/>
        <v>321</v>
      </c>
      <c r="E348" s="238">
        <f t="shared" si="24"/>
        <v>1.0459780746592125E-8</v>
      </c>
      <c r="F348" s="238">
        <f t="shared" si="25"/>
        <v>1.0014316330510783E-10</v>
      </c>
      <c r="G348" s="238">
        <f t="shared" si="26"/>
        <v>-1.0014316330510783E-10</v>
      </c>
      <c r="H348" s="237">
        <f t="shared" ref="H348:H387" si="28">IF(D348&gt;$D$9,0,E347*($D$19/12/(1-(1+$D$19/12)^(-($D$9-D347)))))</f>
        <v>0</v>
      </c>
      <c r="I348" s="23"/>
      <c r="J348" s="235"/>
    </row>
    <row r="349" spans="2:10" x14ac:dyDescent="0.25">
      <c r="B349" s="236"/>
      <c r="C349" s="23"/>
      <c r="D349" s="23">
        <f t="shared" si="27"/>
        <v>322</v>
      </c>
      <c r="E349" s="238">
        <f t="shared" ref="E349:E387" si="29">MAX(E348-G349,0)</f>
        <v>1.0560891960475848E-8</v>
      </c>
      <c r="F349" s="238">
        <f t="shared" ref="F349:F387" si="30">MAX(E348*$D$19/12,0)</f>
        <v>1.0111121388372387E-10</v>
      </c>
      <c r="G349" s="238">
        <f t="shared" ref="G349:G387" si="31">H349-F349</f>
        <v>-1.0111121388372387E-10</v>
      </c>
      <c r="H349" s="237">
        <f t="shared" si="28"/>
        <v>0</v>
      </c>
      <c r="I349" s="23"/>
      <c r="J349" s="235"/>
    </row>
    <row r="350" spans="2:10" x14ac:dyDescent="0.25">
      <c r="B350" s="236"/>
      <c r="C350" s="23"/>
      <c r="D350" s="23">
        <f t="shared" si="27"/>
        <v>323</v>
      </c>
      <c r="E350" s="238">
        <f t="shared" si="29"/>
        <v>1.0662980582760447E-8</v>
      </c>
      <c r="F350" s="238">
        <f t="shared" si="30"/>
        <v>1.0208862228459986E-10</v>
      </c>
      <c r="G350" s="238">
        <f t="shared" si="31"/>
        <v>-1.0208862228459986E-10</v>
      </c>
      <c r="H350" s="237">
        <f t="shared" si="28"/>
        <v>0</v>
      </c>
      <c r="I350" s="23"/>
      <c r="J350" s="235"/>
    </row>
    <row r="351" spans="2:10" x14ac:dyDescent="0.25">
      <c r="B351" s="236"/>
      <c r="C351" s="23"/>
      <c r="D351" s="23">
        <f t="shared" si="27"/>
        <v>324</v>
      </c>
      <c r="E351" s="238">
        <f t="shared" si="29"/>
        <v>1.0766056061727132E-8</v>
      </c>
      <c r="F351" s="238">
        <f t="shared" si="30"/>
        <v>1.0307547896668433E-10</v>
      </c>
      <c r="G351" s="238">
        <f t="shared" si="31"/>
        <v>-1.0307547896668433E-10</v>
      </c>
      <c r="H351" s="237">
        <f t="shared" si="28"/>
        <v>0</v>
      </c>
      <c r="I351" s="23"/>
      <c r="J351" s="235"/>
    </row>
    <row r="352" spans="2:10" x14ac:dyDescent="0.25">
      <c r="B352" s="236"/>
      <c r="C352" s="23"/>
      <c r="D352" s="23">
        <f t="shared" si="27"/>
        <v>325</v>
      </c>
      <c r="E352" s="238">
        <f t="shared" si="29"/>
        <v>1.0870127936990495E-8</v>
      </c>
      <c r="F352" s="238">
        <f t="shared" si="30"/>
        <v>1.0407187526336229E-10</v>
      </c>
      <c r="G352" s="238">
        <f t="shared" si="31"/>
        <v>-1.0407187526336229E-10</v>
      </c>
      <c r="H352" s="237">
        <f t="shared" si="28"/>
        <v>0</v>
      </c>
      <c r="I352" s="23"/>
      <c r="J352" s="235"/>
    </row>
    <row r="353" spans="2:10" x14ac:dyDescent="0.25">
      <c r="B353" s="236"/>
      <c r="C353" s="23"/>
      <c r="D353" s="23">
        <f t="shared" si="27"/>
        <v>326</v>
      </c>
      <c r="E353" s="238">
        <f t="shared" si="29"/>
        <v>1.0975205840381403E-8</v>
      </c>
      <c r="F353" s="238">
        <f t="shared" si="30"/>
        <v>1.0507790339090812E-10</v>
      </c>
      <c r="G353" s="238">
        <f t="shared" si="31"/>
        <v>-1.0507790339090812E-10</v>
      </c>
      <c r="H353" s="237">
        <f t="shared" si="28"/>
        <v>0</v>
      </c>
      <c r="I353" s="23"/>
      <c r="J353" s="235"/>
    </row>
    <row r="354" spans="2:10" x14ac:dyDescent="0.25">
      <c r="B354" s="236"/>
      <c r="C354" s="23"/>
      <c r="D354" s="23">
        <f t="shared" si="27"/>
        <v>327</v>
      </c>
      <c r="E354" s="238">
        <f t="shared" si="29"/>
        <v>1.1081299496838423E-8</v>
      </c>
      <c r="F354" s="238">
        <f t="shared" si="30"/>
        <v>1.0609365645702023E-10</v>
      </c>
      <c r="G354" s="238">
        <f t="shared" si="31"/>
        <v>-1.0609365645702023E-10</v>
      </c>
      <c r="H354" s="237">
        <f t="shared" si="28"/>
        <v>0</v>
      </c>
      <c r="I354" s="23"/>
      <c r="J354" s="235"/>
    </row>
    <row r="355" spans="2:10" x14ac:dyDescent="0.25">
      <c r="B355" s="236"/>
      <c r="C355" s="23"/>
      <c r="D355" s="23">
        <f t="shared" si="27"/>
        <v>328</v>
      </c>
      <c r="E355" s="238">
        <f t="shared" si="29"/>
        <v>1.1188418725307861E-8</v>
      </c>
      <c r="F355" s="238">
        <f t="shared" si="30"/>
        <v>1.071192284694381E-10</v>
      </c>
      <c r="G355" s="238">
        <f t="shared" si="31"/>
        <v>-1.071192284694381E-10</v>
      </c>
      <c r="H355" s="237">
        <f t="shared" si="28"/>
        <v>0</v>
      </c>
      <c r="I355" s="23"/>
      <c r="J355" s="235"/>
    </row>
    <row r="356" spans="2:10" x14ac:dyDescent="0.25">
      <c r="B356" s="236"/>
      <c r="C356" s="23"/>
      <c r="D356" s="23">
        <f t="shared" si="27"/>
        <v>329</v>
      </c>
      <c r="E356" s="238">
        <f t="shared" si="29"/>
        <v>1.1296573439652504E-8</v>
      </c>
      <c r="F356" s="238">
        <f t="shared" si="30"/>
        <v>1.0815471434464265E-10</v>
      </c>
      <c r="G356" s="238">
        <f t="shared" si="31"/>
        <v>-1.0815471434464265E-10</v>
      </c>
      <c r="H356" s="237">
        <f t="shared" si="28"/>
        <v>0</v>
      </c>
      <c r="I356" s="23"/>
      <c r="J356" s="235"/>
    </row>
    <row r="357" spans="2:10" x14ac:dyDescent="0.25">
      <c r="B357" s="236"/>
      <c r="C357" s="23"/>
      <c r="D357" s="23">
        <f t="shared" ref="D357:D387" si="32">D356+1</f>
        <v>330</v>
      </c>
      <c r="E357" s="238">
        <f t="shared" si="29"/>
        <v>1.1405773649569144E-8</v>
      </c>
      <c r="F357" s="238">
        <f t="shared" si="30"/>
        <v>1.0920020991664087E-10</v>
      </c>
      <c r="G357" s="238">
        <f t="shared" si="31"/>
        <v>-1.0920020991664087E-10</v>
      </c>
      <c r="H357" s="237">
        <f t="shared" si="28"/>
        <v>0</v>
      </c>
      <c r="I357" s="23"/>
      <c r="J357" s="235"/>
    </row>
    <row r="358" spans="2:10" x14ac:dyDescent="0.25">
      <c r="B358" s="236"/>
      <c r="C358" s="23"/>
      <c r="D358" s="23">
        <f t="shared" si="32"/>
        <v>331</v>
      </c>
      <c r="E358" s="238">
        <f t="shared" si="29"/>
        <v>1.151602946151498E-8</v>
      </c>
      <c r="F358" s="238">
        <f t="shared" si="30"/>
        <v>1.1025581194583506E-10</v>
      </c>
      <c r="G358" s="238">
        <f t="shared" si="31"/>
        <v>-1.1025581194583506E-10</v>
      </c>
      <c r="H358" s="237">
        <f t="shared" si="28"/>
        <v>0</v>
      </c>
      <c r="I358" s="23"/>
      <c r="J358" s="235"/>
    </row>
    <row r="359" spans="2:10" x14ac:dyDescent="0.25">
      <c r="B359" s="236"/>
      <c r="C359" s="23"/>
      <c r="D359" s="23">
        <f t="shared" si="32"/>
        <v>332</v>
      </c>
      <c r="E359" s="238">
        <f t="shared" si="29"/>
        <v>1.1627351079642958E-8</v>
      </c>
      <c r="F359" s="238">
        <f t="shared" si="30"/>
        <v>1.1132161812797815E-10</v>
      </c>
      <c r="G359" s="238">
        <f t="shared" si="31"/>
        <v>-1.1132161812797815E-10</v>
      </c>
      <c r="H359" s="237">
        <f t="shared" si="28"/>
        <v>0</v>
      </c>
      <c r="I359" s="23"/>
      <c r="J359" s="235"/>
    </row>
    <row r="360" spans="2:10" x14ac:dyDescent="0.25">
      <c r="B360" s="236"/>
      <c r="C360" s="23"/>
      <c r="D360" s="23">
        <f t="shared" si="32"/>
        <v>333</v>
      </c>
      <c r="E360" s="238">
        <f t="shared" si="29"/>
        <v>1.1739748806746173E-8</v>
      </c>
      <c r="F360" s="238">
        <f t="shared" si="30"/>
        <v>1.1239772710321527E-10</v>
      </c>
      <c r="G360" s="238">
        <f t="shared" si="31"/>
        <v>-1.1239772710321527E-10</v>
      </c>
      <c r="H360" s="237">
        <f t="shared" si="28"/>
        <v>0</v>
      </c>
      <c r="I360" s="23"/>
      <c r="J360" s="235"/>
    </row>
    <row r="361" spans="2:10" x14ac:dyDescent="0.25">
      <c r="B361" s="236"/>
      <c r="C361" s="23"/>
      <c r="D361" s="23">
        <f t="shared" si="32"/>
        <v>334</v>
      </c>
      <c r="E361" s="238">
        <f t="shared" si="29"/>
        <v>1.1853233045211386E-8</v>
      </c>
      <c r="F361" s="238">
        <f t="shared" si="30"/>
        <v>1.1348423846521302E-10</v>
      </c>
      <c r="G361" s="238">
        <f t="shared" si="31"/>
        <v>-1.1348423846521302E-10</v>
      </c>
      <c r="H361" s="237">
        <f t="shared" si="28"/>
        <v>0</v>
      </c>
      <c r="I361" s="23"/>
      <c r="J361" s="235"/>
    </row>
    <row r="362" spans="2:10" x14ac:dyDescent="0.25">
      <c r="B362" s="236"/>
      <c r="C362" s="23"/>
      <c r="D362" s="23">
        <f t="shared" si="32"/>
        <v>335</v>
      </c>
      <c r="E362" s="238">
        <f t="shared" si="29"/>
        <v>1.1967814297981762E-8</v>
      </c>
      <c r="F362" s="238">
        <f t="shared" si="30"/>
        <v>1.1458125277037674E-10</v>
      </c>
      <c r="G362" s="238">
        <f t="shared" si="31"/>
        <v>-1.1458125277037674E-10</v>
      </c>
      <c r="H362" s="237">
        <f t="shared" si="28"/>
        <v>0</v>
      </c>
      <c r="I362" s="23"/>
      <c r="J362" s="235"/>
    </row>
    <row r="363" spans="2:10" x14ac:dyDescent="0.25">
      <c r="B363" s="236"/>
      <c r="C363" s="23"/>
      <c r="D363" s="23">
        <f t="shared" si="32"/>
        <v>336</v>
      </c>
      <c r="E363" s="238">
        <f t="shared" si="29"/>
        <v>1.2083503169528919E-8</v>
      </c>
      <c r="F363" s="238">
        <f t="shared" si="30"/>
        <v>1.1568887154715704E-10</v>
      </c>
      <c r="G363" s="238">
        <f t="shared" si="31"/>
        <v>-1.1568887154715704E-10</v>
      </c>
      <c r="H363" s="237">
        <f t="shared" si="28"/>
        <v>0</v>
      </c>
      <c r="I363" s="23"/>
      <c r="J363" s="235"/>
    </row>
    <row r="364" spans="2:10" x14ac:dyDescent="0.25">
      <c r="B364" s="236"/>
      <c r="C364" s="23"/>
      <c r="D364" s="23">
        <f t="shared" si="32"/>
        <v>337</v>
      </c>
      <c r="E364" s="238">
        <f t="shared" si="29"/>
        <v>1.2200310366834365E-8</v>
      </c>
      <c r="F364" s="238">
        <f t="shared" si="30"/>
        <v>1.1680719730544622E-10</v>
      </c>
      <c r="G364" s="238">
        <f t="shared" si="31"/>
        <v>-1.1680719730544622E-10</v>
      </c>
      <c r="H364" s="237">
        <f t="shared" si="28"/>
        <v>0</v>
      </c>
      <c r="I364" s="23"/>
      <c r="J364" s="235"/>
    </row>
    <row r="365" spans="2:10" x14ac:dyDescent="0.25">
      <c r="B365" s="236"/>
      <c r="C365" s="23"/>
      <c r="D365" s="23">
        <f t="shared" si="32"/>
        <v>338</v>
      </c>
      <c r="E365" s="238">
        <f t="shared" si="29"/>
        <v>1.2318246700380431E-8</v>
      </c>
      <c r="F365" s="238">
        <f t="shared" si="30"/>
        <v>1.1793633354606554E-10</v>
      </c>
      <c r="G365" s="238">
        <f t="shared" si="31"/>
        <v>-1.1793633354606554E-10</v>
      </c>
      <c r="H365" s="237">
        <f t="shared" si="28"/>
        <v>0</v>
      </c>
      <c r="I365" s="23"/>
      <c r="J365" s="235"/>
    </row>
    <row r="366" spans="2:10" x14ac:dyDescent="0.25">
      <c r="B366" s="236"/>
      <c r="C366" s="23"/>
      <c r="D366" s="23">
        <f t="shared" si="32"/>
        <v>339</v>
      </c>
      <c r="E366" s="238">
        <f t="shared" si="29"/>
        <v>1.2437323085150776E-8</v>
      </c>
      <c r="F366" s="238">
        <f t="shared" si="30"/>
        <v>1.1907638477034418E-10</v>
      </c>
      <c r="G366" s="238">
        <f t="shared" si="31"/>
        <v>-1.1907638477034418E-10</v>
      </c>
      <c r="H366" s="237">
        <f t="shared" si="28"/>
        <v>0</v>
      </c>
      <c r="I366" s="23"/>
      <c r="J366" s="235"/>
    </row>
    <row r="367" spans="2:10" x14ac:dyDescent="0.25">
      <c r="B367" s="236"/>
      <c r="C367" s="23"/>
      <c r="D367" s="23">
        <f t="shared" si="32"/>
        <v>340</v>
      </c>
      <c r="E367" s="238">
        <f t="shared" si="29"/>
        <v>1.2557550541640566E-8</v>
      </c>
      <c r="F367" s="238">
        <f t="shared" si="30"/>
        <v>1.2022745648979084E-10</v>
      </c>
      <c r="G367" s="238">
        <f t="shared" si="31"/>
        <v>-1.2022745648979084E-10</v>
      </c>
      <c r="H367" s="237">
        <f t="shared" si="28"/>
        <v>0</v>
      </c>
      <c r="I367" s="23"/>
      <c r="J367" s="235"/>
    </row>
    <row r="368" spans="2:10" x14ac:dyDescent="0.25">
      <c r="B368" s="236"/>
      <c r="C368" s="23"/>
      <c r="D368" s="23">
        <f t="shared" si="32"/>
        <v>341</v>
      </c>
      <c r="E368" s="238">
        <f t="shared" si="29"/>
        <v>1.2678940196876425E-8</v>
      </c>
      <c r="F368" s="238">
        <f t="shared" si="30"/>
        <v>1.2138965523585881E-10</v>
      </c>
      <c r="G368" s="238">
        <f t="shared" si="31"/>
        <v>-1.2138965523585881E-10</v>
      </c>
      <c r="H368" s="237">
        <f t="shared" si="28"/>
        <v>0</v>
      </c>
      <c r="I368" s="23"/>
      <c r="J368" s="235"/>
    </row>
    <row r="369" spans="2:10" x14ac:dyDescent="0.25">
      <c r="B369" s="236"/>
      <c r="C369" s="23"/>
      <c r="D369" s="23">
        <f t="shared" si="32"/>
        <v>342</v>
      </c>
      <c r="E369" s="238">
        <f t="shared" si="29"/>
        <v>1.280150328544623E-8</v>
      </c>
      <c r="F369" s="238">
        <f t="shared" si="30"/>
        <v>1.2256308856980545E-10</v>
      </c>
      <c r="G369" s="238">
        <f t="shared" si="31"/>
        <v>-1.2256308856980545E-10</v>
      </c>
      <c r="H369" s="237">
        <f t="shared" si="28"/>
        <v>0</v>
      </c>
      <c r="I369" s="23"/>
      <c r="J369" s="235"/>
    </row>
    <row r="370" spans="2:10" x14ac:dyDescent="0.25">
      <c r="B370" s="236"/>
      <c r="C370" s="23"/>
      <c r="D370" s="23">
        <f t="shared" si="32"/>
        <v>343</v>
      </c>
      <c r="E370" s="238">
        <f t="shared" si="29"/>
        <v>1.2925251150538876E-8</v>
      </c>
      <c r="F370" s="238">
        <f t="shared" si="30"/>
        <v>1.2374786509264691E-10</v>
      </c>
      <c r="G370" s="238">
        <f t="shared" si="31"/>
        <v>-1.2374786509264691E-10</v>
      </c>
      <c r="H370" s="237">
        <f t="shared" si="28"/>
        <v>0</v>
      </c>
      <c r="I370" s="23"/>
      <c r="J370" s="235"/>
    </row>
    <row r="371" spans="2:10" x14ac:dyDescent="0.25">
      <c r="B371" s="236"/>
      <c r="C371" s="23"/>
      <c r="D371" s="23">
        <f t="shared" si="32"/>
        <v>344</v>
      </c>
      <c r="E371" s="238">
        <f t="shared" si="29"/>
        <v>1.3050195244994086E-8</v>
      </c>
      <c r="F371" s="238">
        <f t="shared" si="30"/>
        <v>1.2494409445520913E-10</v>
      </c>
      <c r="G371" s="238">
        <f t="shared" si="31"/>
        <v>-1.2494409445520913E-10</v>
      </c>
      <c r="H371" s="237">
        <f t="shared" si="28"/>
        <v>0</v>
      </c>
      <c r="I371" s="23"/>
      <c r="J371" s="235"/>
    </row>
    <row r="372" spans="2:10" x14ac:dyDescent="0.25">
      <c r="B372" s="236"/>
      <c r="C372" s="23"/>
      <c r="D372" s="23">
        <f t="shared" si="32"/>
        <v>345</v>
      </c>
      <c r="E372" s="238">
        <f t="shared" si="29"/>
        <v>1.3176347132362363E-8</v>
      </c>
      <c r="F372" s="238">
        <f t="shared" si="30"/>
        <v>1.2615188736827617E-10</v>
      </c>
      <c r="G372" s="238">
        <f t="shared" si="31"/>
        <v>-1.2615188736827617E-10</v>
      </c>
      <c r="H372" s="237">
        <f t="shared" si="28"/>
        <v>0</v>
      </c>
      <c r="I372" s="23"/>
      <c r="J372" s="235"/>
    </row>
    <row r="373" spans="2:10" x14ac:dyDescent="0.25">
      <c r="B373" s="236"/>
      <c r="C373" s="23"/>
      <c r="D373" s="23">
        <f t="shared" si="32"/>
        <v>346</v>
      </c>
      <c r="E373" s="238">
        <f t="shared" si="29"/>
        <v>1.3303718487975198E-8</v>
      </c>
      <c r="F373" s="238">
        <f t="shared" si="30"/>
        <v>1.2737135561283618E-10</v>
      </c>
      <c r="G373" s="238">
        <f t="shared" si="31"/>
        <v>-1.2737135561283618E-10</v>
      </c>
      <c r="H373" s="237">
        <f t="shared" si="28"/>
        <v>0</v>
      </c>
      <c r="I373" s="23"/>
      <c r="J373" s="235"/>
    </row>
    <row r="374" spans="2:10" x14ac:dyDescent="0.25">
      <c r="B374" s="236"/>
      <c r="C374" s="23"/>
      <c r="D374" s="23">
        <f t="shared" si="32"/>
        <v>347</v>
      </c>
      <c r="E374" s="238">
        <f t="shared" si="29"/>
        <v>1.3432321100025625E-8</v>
      </c>
      <c r="F374" s="238">
        <f t="shared" si="30"/>
        <v>1.2860261205042693E-10</v>
      </c>
      <c r="G374" s="238">
        <f t="shared" si="31"/>
        <v>-1.2860261205042693E-10</v>
      </c>
      <c r="H374" s="237">
        <f t="shared" si="28"/>
        <v>0</v>
      </c>
      <c r="I374" s="23"/>
      <c r="J374" s="235"/>
    </row>
    <row r="375" spans="2:10" x14ac:dyDescent="0.25">
      <c r="B375" s="236"/>
      <c r="C375" s="23"/>
      <c r="D375" s="23">
        <f t="shared" si="32"/>
        <v>348</v>
      </c>
      <c r="E375" s="238">
        <f t="shared" si="29"/>
        <v>1.3562166870659207E-8</v>
      </c>
      <c r="F375" s="238">
        <f t="shared" si="30"/>
        <v>1.2984577063358106E-10</v>
      </c>
      <c r="G375" s="238">
        <f t="shared" si="31"/>
        <v>-1.2984577063358106E-10</v>
      </c>
      <c r="H375" s="237">
        <f t="shared" si="28"/>
        <v>0</v>
      </c>
      <c r="I375" s="23"/>
      <c r="J375" s="235"/>
    </row>
    <row r="376" spans="2:10" x14ac:dyDescent="0.25">
      <c r="B376" s="236"/>
      <c r="C376" s="23"/>
      <c r="D376" s="23">
        <f t="shared" si="32"/>
        <v>349</v>
      </c>
      <c r="E376" s="238">
        <f t="shared" si="29"/>
        <v>1.3693267817075579E-8</v>
      </c>
      <c r="F376" s="238">
        <f t="shared" si="30"/>
        <v>1.3110094641637236E-10</v>
      </c>
      <c r="G376" s="238">
        <f t="shared" si="31"/>
        <v>-1.3110094641637236E-10</v>
      </c>
      <c r="H376" s="237">
        <f t="shared" si="28"/>
        <v>0</v>
      </c>
      <c r="I376" s="23"/>
      <c r="J376" s="235"/>
    </row>
    <row r="377" spans="2:10" x14ac:dyDescent="0.25">
      <c r="B377" s="236"/>
      <c r="C377" s="23"/>
      <c r="D377" s="23">
        <f t="shared" si="32"/>
        <v>350</v>
      </c>
      <c r="E377" s="238">
        <f t="shared" si="29"/>
        <v>1.3825636072640643E-8</v>
      </c>
      <c r="F377" s="238">
        <f t="shared" si="30"/>
        <v>1.3236825556506394E-10</v>
      </c>
      <c r="G377" s="238">
        <f t="shared" si="31"/>
        <v>-1.3236825556506394E-10</v>
      </c>
      <c r="H377" s="237">
        <f t="shared" si="28"/>
        <v>0</v>
      </c>
      <c r="I377" s="23"/>
      <c r="J377" s="235"/>
    </row>
    <row r="378" spans="2:10" x14ac:dyDescent="0.25">
      <c r="B378" s="236"/>
      <c r="C378" s="23"/>
      <c r="D378" s="23">
        <f t="shared" si="32"/>
        <v>351</v>
      </c>
      <c r="E378" s="238">
        <f t="shared" si="29"/>
        <v>1.3959283888009503E-8</v>
      </c>
      <c r="F378" s="238">
        <f t="shared" si="30"/>
        <v>1.3364781536885954E-10</v>
      </c>
      <c r="G378" s="238">
        <f t="shared" si="31"/>
        <v>-1.3364781536885954E-10</v>
      </c>
      <c r="H378" s="237">
        <f t="shared" si="28"/>
        <v>0</v>
      </c>
      <c r="I378" s="23"/>
      <c r="J378" s="235"/>
    </row>
    <row r="379" spans="2:10" x14ac:dyDescent="0.25">
      <c r="B379" s="236"/>
      <c r="C379" s="23"/>
      <c r="D379" s="23">
        <f t="shared" si="32"/>
        <v>352</v>
      </c>
      <c r="E379" s="238">
        <f t="shared" si="29"/>
        <v>1.4094223632260261E-8</v>
      </c>
      <c r="F379" s="238">
        <f t="shared" si="30"/>
        <v>1.3493974425075854E-10</v>
      </c>
      <c r="G379" s="238">
        <f t="shared" si="31"/>
        <v>-1.3493974425075854E-10</v>
      </c>
      <c r="H379" s="237">
        <f t="shared" si="28"/>
        <v>0</v>
      </c>
      <c r="I379" s="23"/>
      <c r="J379" s="235"/>
    </row>
    <row r="380" spans="2:10" x14ac:dyDescent="0.25">
      <c r="B380" s="236"/>
      <c r="C380" s="23"/>
      <c r="D380" s="23">
        <f t="shared" si="32"/>
        <v>353</v>
      </c>
      <c r="E380" s="238">
        <f t="shared" si="29"/>
        <v>1.4230467794038777E-8</v>
      </c>
      <c r="F380" s="238">
        <f t="shared" si="30"/>
        <v>1.3624416177851585E-10</v>
      </c>
      <c r="G380" s="238">
        <f t="shared" si="31"/>
        <v>-1.3624416177851585E-10</v>
      </c>
      <c r="H380" s="237">
        <f t="shared" si="28"/>
        <v>0</v>
      </c>
      <c r="I380" s="23"/>
      <c r="J380" s="235"/>
    </row>
    <row r="381" spans="2:10" x14ac:dyDescent="0.25">
      <c r="B381" s="236"/>
      <c r="C381" s="23"/>
      <c r="D381" s="23">
        <f t="shared" si="32"/>
        <v>354</v>
      </c>
      <c r="E381" s="238">
        <f t="shared" si="29"/>
        <v>1.4368028982714485E-8</v>
      </c>
      <c r="F381" s="238">
        <f t="shared" si="30"/>
        <v>1.3756118867570818E-10</v>
      </c>
      <c r="G381" s="238">
        <f t="shared" si="31"/>
        <v>-1.3756118867570818E-10</v>
      </c>
      <c r="H381" s="237">
        <f t="shared" si="28"/>
        <v>0</v>
      </c>
      <c r="I381" s="23"/>
      <c r="J381" s="235"/>
    </row>
    <row r="382" spans="2:10" x14ac:dyDescent="0.25">
      <c r="B382" s="236"/>
      <c r="C382" s="23"/>
      <c r="D382" s="23">
        <f t="shared" si="32"/>
        <v>355</v>
      </c>
      <c r="E382" s="238">
        <f t="shared" si="29"/>
        <v>1.4506919929547392E-8</v>
      </c>
      <c r="F382" s="238">
        <f t="shared" si="30"/>
        <v>1.3889094683290671E-10</v>
      </c>
      <c r="G382" s="238">
        <f t="shared" si="31"/>
        <v>-1.3889094683290671E-10</v>
      </c>
      <c r="H382" s="237">
        <f t="shared" si="28"/>
        <v>0</v>
      </c>
      <c r="I382" s="23"/>
      <c r="J382" s="235"/>
    </row>
    <row r="383" spans="2:10" x14ac:dyDescent="0.25">
      <c r="B383" s="236"/>
      <c r="C383" s="23"/>
      <c r="D383" s="23">
        <f t="shared" si="32"/>
        <v>356</v>
      </c>
      <c r="E383" s="238">
        <f t="shared" si="29"/>
        <v>1.464715348886635E-8</v>
      </c>
      <c r="F383" s="238">
        <f t="shared" si="30"/>
        <v>1.4023355931895814E-10</v>
      </c>
      <c r="G383" s="238">
        <f t="shared" si="31"/>
        <v>-1.4023355931895814E-10</v>
      </c>
      <c r="H383" s="237">
        <f t="shared" si="28"/>
        <v>0</v>
      </c>
      <c r="I383" s="23"/>
      <c r="J383" s="235"/>
    </row>
    <row r="384" spans="2:10" x14ac:dyDescent="0.25">
      <c r="B384" s="236"/>
      <c r="C384" s="23"/>
      <c r="D384" s="23">
        <f t="shared" si="32"/>
        <v>357</v>
      </c>
      <c r="E384" s="238">
        <f t="shared" si="29"/>
        <v>1.4788742639258725E-8</v>
      </c>
      <c r="F384" s="238">
        <f t="shared" si="30"/>
        <v>1.4158915039237471E-10</v>
      </c>
      <c r="G384" s="238">
        <f t="shared" si="31"/>
        <v>-1.4158915039237471E-10</v>
      </c>
      <c r="H384" s="237">
        <f t="shared" si="28"/>
        <v>0</v>
      </c>
      <c r="I384" s="23"/>
      <c r="J384" s="235"/>
    </row>
    <row r="385" spans="2:10" x14ac:dyDescent="0.25">
      <c r="B385" s="236"/>
      <c r="C385" s="23"/>
      <c r="D385" s="23">
        <f t="shared" si="32"/>
        <v>358</v>
      </c>
      <c r="E385" s="238">
        <f t="shared" si="29"/>
        <v>1.4931700484771558E-8</v>
      </c>
      <c r="F385" s="238">
        <f t="shared" si="30"/>
        <v>1.4295784551283433E-10</v>
      </c>
      <c r="G385" s="238">
        <f t="shared" si="31"/>
        <v>-1.4295784551283433E-10</v>
      </c>
      <c r="H385" s="237">
        <f t="shared" si="28"/>
        <v>0</v>
      </c>
      <c r="I385" s="23"/>
      <c r="J385" s="235"/>
    </row>
    <row r="386" spans="2:10" x14ac:dyDescent="0.25">
      <c r="B386" s="236"/>
      <c r="C386" s="23"/>
      <c r="D386" s="23">
        <f t="shared" si="32"/>
        <v>359</v>
      </c>
      <c r="E386" s="238">
        <f t="shared" si="29"/>
        <v>1.5076040256124349E-8</v>
      </c>
      <c r="F386" s="238">
        <f t="shared" si="30"/>
        <v>1.4433977135279172E-10</v>
      </c>
      <c r="G386" s="238">
        <f t="shared" si="31"/>
        <v>-1.4433977135279172E-10</v>
      </c>
      <c r="H386" s="237">
        <f t="shared" si="28"/>
        <v>0</v>
      </c>
      <c r="I386" s="23"/>
      <c r="J386" s="235"/>
    </row>
    <row r="387" spans="2:10" x14ac:dyDescent="0.25">
      <c r="B387" s="236"/>
      <c r="C387" s="23"/>
      <c r="D387" s="23">
        <f t="shared" si="32"/>
        <v>360</v>
      </c>
      <c r="E387" s="238">
        <f t="shared" si="29"/>
        <v>1.5221775311933551E-8</v>
      </c>
      <c r="F387" s="238">
        <f t="shared" si="30"/>
        <v>1.4573505580920205E-10</v>
      </c>
      <c r="G387" s="238">
        <f t="shared" si="31"/>
        <v>-1.4573505580920205E-10</v>
      </c>
      <c r="H387" s="237">
        <f t="shared" si="28"/>
        <v>0</v>
      </c>
      <c r="I387" s="23"/>
      <c r="J387" s="235"/>
    </row>
    <row r="388" spans="2:10" ht="15.75" thickBot="1" x14ac:dyDescent="0.3">
      <c r="B388" s="240"/>
      <c r="C388" s="241"/>
      <c r="D388" s="241"/>
      <c r="E388" s="242"/>
      <c r="F388" s="242"/>
      <c r="G388" s="242"/>
      <c r="H388" s="243"/>
      <c r="I388" s="241"/>
      <c r="J388" s="244"/>
    </row>
    <row r="389" spans="2:10" x14ac:dyDescent="0.25">
      <c r="E389" s="96"/>
      <c r="F389" s="96"/>
      <c r="G389" s="96"/>
      <c r="H389" s="50"/>
    </row>
    <row r="390" spans="2:10" x14ac:dyDescent="0.25">
      <c r="E390" s="96"/>
      <c r="F390" s="96"/>
      <c r="G390" s="96"/>
      <c r="H390" s="50"/>
    </row>
    <row r="391" spans="2:10" x14ac:dyDescent="0.25">
      <c r="E391" s="96"/>
      <c r="F391" s="96"/>
      <c r="G391" s="96"/>
      <c r="H391" s="50"/>
    </row>
    <row r="392" spans="2:10" x14ac:dyDescent="0.25">
      <c r="E392" s="96"/>
      <c r="F392" s="96"/>
      <c r="G392" s="96"/>
      <c r="H392" s="50"/>
    </row>
    <row r="393" spans="2:10" x14ac:dyDescent="0.25">
      <c r="E393" s="96"/>
      <c r="F393" s="96"/>
      <c r="G393" s="96"/>
      <c r="H393" s="50"/>
    </row>
    <row r="394" spans="2:10" x14ac:dyDescent="0.25">
      <c r="E394" s="96"/>
      <c r="F394" s="96"/>
      <c r="G394" s="96"/>
      <c r="H394" s="50"/>
    </row>
    <row r="395" spans="2:10" x14ac:dyDescent="0.25">
      <c r="E395" s="96"/>
      <c r="F395" s="96"/>
      <c r="G395" s="96"/>
      <c r="H395" s="50"/>
    </row>
    <row r="396" spans="2:10" x14ac:dyDescent="0.25">
      <c r="E396" s="96"/>
      <c r="F396" s="96"/>
      <c r="G396" s="96"/>
      <c r="H396" s="50"/>
    </row>
    <row r="397" spans="2:10" x14ac:dyDescent="0.25">
      <c r="E397" s="96"/>
      <c r="F397" s="96"/>
      <c r="G397" s="96"/>
      <c r="H397" s="50"/>
    </row>
    <row r="398" spans="2:10" x14ac:dyDescent="0.25">
      <c r="E398" s="96"/>
      <c r="F398" s="96"/>
      <c r="G398" s="96"/>
      <c r="H398" s="50"/>
    </row>
    <row r="399" spans="2:10" x14ac:dyDescent="0.25">
      <c r="E399" s="96"/>
      <c r="F399" s="96"/>
      <c r="G399" s="96"/>
      <c r="H399" s="50"/>
    </row>
    <row r="400" spans="2:10" x14ac:dyDescent="0.25">
      <c r="E400" s="96"/>
      <c r="F400" s="96"/>
      <c r="G400" s="96"/>
      <c r="H400" s="50"/>
    </row>
    <row r="401" spans="5:8" x14ac:dyDescent="0.25">
      <c r="E401" s="96"/>
      <c r="F401" s="96"/>
      <c r="G401" s="96"/>
      <c r="H401" s="50"/>
    </row>
    <row r="402" spans="5:8" x14ac:dyDescent="0.25">
      <c r="E402" s="96"/>
      <c r="F402" s="96"/>
      <c r="G402" s="96"/>
      <c r="H402" s="50"/>
    </row>
    <row r="403" spans="5:8" x14ac:dyDescent="0.25">
      <c r="E403" s="96"/>
      <c r="F403" s="96"/>
      <c r="G403" s="96"/>
      <c r="H403" s="50"/>
    </row>
    <row r="404" spans="5:8" x14ac:dyDescent="0.25">
      <c r="E404" s="96"/>
      <c r="F404" s="96"/>
      <c r="G404" s="96"/>
      <c r="H404" s="50"/>
    </row>
    <row r="405" spans="5:8" x14ac:dyDescent="0.25">
      <c r="E405" s="96"/>
      <c r="F405" s="96"/>
      <c r="G405" s="96"/>
      <c r="H405" s="50"/>
    </row>
    <row r="406" spans="5:8" x14ac:dyDescent="0.25">
      <c r="E406" s="96"/>
      <c r="F406" s="96"/>
      <c r="G406" s="96"/>
      <c r="H406" s="50"/>
    </row>
    <row r="407" spans="5:8" x14ac:dyDescent="0.25">
      <c r="E407" s="96"/>
      <c r="F407" s="96"/>
      <c r="G407" s="96"/>
      <c r="H407" s="50"/>
    </row>
    <row r="408" spans="5:8" x14ac:dyDescent="0.25">
      <c r="E408" s="96"/>
      <c r="F408" s="96"/>
      <c r="G408" s="96"/>
      <c r="H408" s="50"/>
    </row>
    <row r="409" spans="5:8" x14ac:dyDescent="0.25">
      <c r="E409" s="96"/>
      <c r="F409" s="96"/>
      <c r="G409" s="96"/>
      <c r="H409" s="50"/>
    </row>
    <row r="410" spans="5:8" x14ac:dyDescent="0.25">
      <c r="E410" s="96"/>
      <c r="F410" s="96"/>
      <c r="G410" s="96"/>
      <c r="H410" s="50"/>
    </row>
    <row r="411" spans="5:8" x14ac:dyDescent="0.25">
      <c r="E411" s="96"/>
      <c r="F411" s="96"/>
      <c r="G411" s="96"/>
      <c r="H411" s="50"/>
    </row>
    <row r="412" spans="5:8" x14ac:dyDescent="0.25">
      <c r="E412" s="96"/>
      <c r="F412" s="96"/>
      <c r="G412" s="96"/>
      <c r="H412" s="50"/>
    </row>
    <row r="413" spans="5:8" x14ac:dyDescent="0.25">
      <c r="E413" s="96"/>
      <c r="F413" s="96"/>
      <c r="G413" s="96"/>
      <c r="H413" s="50"/>
    </row>
    <row r="414" spans="5:8" x14ac:dyDescent="0.25">
      <c r="E414" s="96"/>
      <c r="F414" s="96"/>
      <c r="G414" s="96"/>
      <c r="H414" s="50"/>
    </row>
    <row r="415" spans="5:8" x14ac:dyDescent="0.25">
      <c r="E415" s="96"/>
      <c r="F415" s="96"/>
      <c r="G415" s="96"/>
      <c r="H415" s="50"/>
    </row>
    <row r="416" spans="5:8" x14ac:dyDescent="0.25">
      <c r="E416" s="96"/>
      <c r="F416" s="96"/>
      <c r="G416" s="96"/>
      <c r="H416" s="50"/>
    </row>
    <row r="417" spans="5:8" x14ac:dyDescent="0.25">
      <c r="E417" s="96"/>
      <c r="F417" s="96"/>
      <c r="G417" s="96"/>
      <c r="H417" s="50"/>
    </row>
    <row r="418" spans="5:8" x14ac:dyDescent="0.25">
      <c r="E418" s="96"/>
      <c r="F418" s="96"/>
      <c r="G418" s="96"/>
      <c r="H418" s="50"/>
    </row>
    <row r="419" spans="5:8" x14ac:dyDescent="0.25">
      <c r="E419" s="96"/>
      <c r="F419" s="96"/>
      <c r="G419" s="96"/>
      <c r="H419" s="50"/>
    </row>
    <row r="420" spans="5:8" x14ac:dyDescent="0.25">
      <c r="E420" s="96"/>
      <c r="F420" s="96"/>
      <c r="G420" s="96"/>
      <c r="H420" s="50"/>
    </row>
    <row r="421" spans="5:8" x14ac:dyDescent="0.25">
      <c r="E421" s="96"/>
      <c r="F421" s="96"/>
      <c r="G421" s="96"/>
      <c r="H421" s="50"/>
    </row>
    <row r="422" spans="5:8" x14ac:dyDescent="0.25">
      <c r="E422" s="96"/>
      <c r="F422" s="96"/>
      <c r="G422" s="96"/>
      <c r="H422" s="50"/>
    </row>
    <row r="423" spans="5:8" x14ac:dyDescent="0.25">
      <c r="E423" s="96"/>
      <c r="F423" s="96"/>
      <c r="G423" s="96"/>
      <c r="H423" s="50"/>
    </row>
    <row r="424" spans="5:8" x14ac:dyDescent="0.25">
      <c r="E424" s="96"/>
      <c r="F424" s="96"/>
      <c r="G424" s="96"/>
      <c r="H424" s="50"/>
    </row>
    <row r="425" spans="5:8" x14ac:dyDescent="0.25">
      <c r="E425" s="96"/>
      <c r="F425" s="96"/>
      <c r="G425" s="96"/>
      <c r="H425" s="50"/>
    </row>
    <row r="426" spans="5:8" x14ac:dyDescent="0.25">
      <c r="E426" s="96"/>
      <c r="F426" s="96"/>
      <c r="G426" s="96"/>
      <c r="H426" s="50"/>
    </row>
    <row r="427" spans="5:8" x14ac:dyDescent="0.25">
      <c r="E427" s="96"/>
      <c r="F427" s="96"/>
      <c r="G427" s="96"/>
      <c r="H427" s="50"/>
    </row>
    <row r="428" spans="5:8" x14ac:dyDescent="0.25">
      <c r="E428" s="96"/>
      <c r="F428" s="96"/>
      <c r="G428" s="96"/>
      <c r="H428" s="50"/>
    </row>
    <row r="429" spans="5:8" x14ac:dyDescent="0.25">
      <c r="E429" s="96"/>
      <c r="F429" s="96"/>
      <c r="G429" s="96"/>
      <c r="H429" s="50"/>
    </row>
    <row r="430" spans="5:8" x14ac:dyDescent="0.25">
      <c r="E430" s="96"/>
      <c r="F430" s="96"/>
      <c r="G430" s="96"/>
      <c r="H430" s="50"/>
    </row>
    <row r="431" spans="5:8" x14ac:dyDescent="0.25">
      <c r="E431" s="96"/>
      <c r="F431" s="96"/>
      <c r="G431" s="96"/>
      <c r="H431" s="50"/>
    </row>
    <row r="432" spans="5:8" x14ac:dyDescent="0.25">
      <c r="E432" s="96"/>
      <c r="F432" s="96"/>
      <c r="G432" s="96"/>
      <c r="H432" s="50"/>
    </row>
    <row r="433" spans="5:8" x14ac:dyDescent="0.25">
      <c r="E433" s="96"/>
      <c r="F433" s="96"/>
      <c r="G433" s="96"/>
      <c r="H433" s="50"/>
    </row>
    <row r="434" spans="5:8" x14ac:dyDescent="0.25">
      <c r="E434" s="96"/>
      <c r="F434" s="96"/>
      <c r="G434" s="96"/>
      <c r="H434" s="50"/>
    </row>
    <row r="435" spans="5:8" x14ac:dyDescent="0.25">
      <c r="E435" s="96"/>
      <c r="F435" s="96"/>
      <c r="G435" s="96"/>
      <c r="H435" s="50"/>
    </row>
    <row r="436" spans="5:8" x14ac:dyDescent="0.25">
      <c r="E436" s="96"/>
      <c r="F436" s="96"/>
      <c r="G436" s="96"/>
      <c r="H436" s="50"/>
    </row>
    <row r="437" spans="5:8" x14ac:dyDescent="0.25">
      <c r="E437" s="96"/>
      <c r="F437" s="96"/>
      <c r="G437" s="96"/>
      <c r="H437" s="50"/>
    </row>
    <row r="438" spans="5:8" x14ac:dyDescent="0.25">
      <c r="E438" s="96"/>
      <c r="F438" s="96"/>
      <c r="G438" s="96"/>
      <c r="H438" s="50"/>
    </row>
    <row r="439" spans="5:8" x14ac:dyDescent="0.25">
      <c r="E439" s="96"/>
      <c r="F439" s="96"/>
      <c r="G439" s="96"/>
      <c r="H439" s="50"/>
    </row>
    <row r="440" spans="5:8" x14ac:dyDescent="0.25">
      <c r="E440" s="96"/>
      <c r="F440" s="96"/>
      <c r="G440" s="96"/>
      <c r="H440" s="50"/>
    </row>
    <row r="441" spans="5:8" x14ac:dyDescent="0.25">
      <c r="E441" s="96"/>
      <c r="F441" s="96"/>
      <c r="G441" s="96"/>
      <c r="H441" s="50"/>
    </row>
    <row r="442" spans="5:8" x14ac:dyDescent="0.25">
      <c r="E442" s="96"/>
      <c r="F442" s="96"/>
      <c r="G442" s="96"/>
      <c r="H442" s="50"/>
    </row>
    <row r="443" spans="5:8" x14ac:dyDescent="0.25">
      <c r="E443" s="96"/>
      <c r="F443" s="96"/>
      <c r="G443" s="96"/>
      <c r="H443" s="50"/>
    </row>
    <row r="444" spans="5:8" x14ac:dyDescent="0.25">
      <c r="E444" s="96"/>
      <c r="F444" s="96"/>
      <c r="G444" s="96"/>
      <c r="H444" s="50"/>
    </row>
    <row r="445" spans="5:8" x14ac:dyDescent="0.25">
      <c r="E445" s="96"/>
      <c r="F445" s="96"/>
      <c r="G445" s="96"/>
      <c r="H445" s="50"/>
    </row>
    <row r="446" spans="5:8" x14ac:dyDescent="0.25">
      <c r="E446" s="96"/>
      <c r="F446" s="96"/>
      <c r="G446" s="96"/>
      <c r="H446" s="50"/>
    </row>
    <row r="447" spans="5:8" x14ac:dyDescent="0.25">
      <c r="E447" s="96"/>
      <c r="F447" s="96"/>
      <c r="G447" s="96"/>
      <c r="H447" s="50"/>
    </row>
    <row r="448" spans="5:8" x14ac:dyDescent="0.25">
      <c r="E448" s="96"/>
      <c r="F448" s="96"/>
      <c r="G448" s="96"/>
      <c r="H448" s="50"/>
    </row>
  </sheetData>
  <sheetProtection algorithmName="SHA-512" hashValue="/5tniVxjco4EoLIwVmtper+Nk/E9BqJmAFiAIJTJD0S50KN1zPalCu90NSXuhvsrpWR+5d1feHbcQtRnqpNgBw==" saltValue="1vP+V0SIo+alde58ULSKRQ==" spinCount="100000" sheet="1" objects="1" scenarios="1"/>
  <mergeCells count="18">
    <mergeCell ref="D10:E10"/>
    <mergeCell ref="D13:E13"/>
    <mergeCell ref="D3:E3"/>
    <mergeCell ref="D15:E15"/>
    <mergeCell ref="D16:E16"/>
    <mergeCell ref="D9:E9"/>
    <mergeCell ref="D4:E4"/>
    <mergeCell ref="D5:E5"/>
    <mergeCell ref="D6:E6"/>
    <mergeCell ref="D7:E7"/>
    <mergeCell ref="D8:E8"/>
    <mergeCell ref="B21:J21"/>
    <mergeCell ref="D19:E19"/>
    <mergeCell ref="D18:E18"/>
    <mergeCell ref="D14:E14"/>
    <mergeCell ref="D11:E11"/>
    <mergeCell ref="D12:E12"/>
    <mergeCell ref="D17:E17"/>
  </mergeCells>
  <conditionalFormatting sqref="E28:H387">
    <cfRule type="cellIs" dxfId="3" priority="7" operator="equal">
      <formula>0</formula>
    </cfRule>
  </conditionalFormatting>
  <conditionalFormatting sqref="E75:G387">
    <cfRule type="cellIs" dxfId="2" priority="3" operator="equal">
      <formula>0</formula>
    </cfRule>
    <cfRule type="cellIs" dxfId="1" priority="2" operator="lessThan">
      <formula>0</formula>
    </cfRule>
    <cfRule type="cellIs" dxfId="0" priority="1" operator="lessThan">
      <formula>0.01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Комбо2!$A$38:$A$39</xm:f>
          </x14:formula1>
          <xm:sqref>D4:E4</xm:sqref>
        </x14:dataValidation>
        <x14:dataValidation type="list" allowBlank="1" showInputMessage="1" showErrorMessage="1">
          <x14:formula1>
            <xm:f>справочники!$P$2:$P$3</xm:f>
          </x14:formula1>
          <xm:sqref>D13:E13</xm:sqref>
        </x14:dataValidation>
        <x14:dataValidation type="list" allowBlank="1" showInputMessage="1" showErrorMessage="1">
          <x14:formula1>
            <xm:f>Комбо2!$A$6:$A$8</xm:f>
          </x14:formula1>
          <xm:sqref>D14:E14</xm:sqref>
        </x14:dataValidation>
        <x14:dataValidation type="list" allowBlank="1" showInputMessage="1" showErrorMessage="1">
          <x14:formula1>
            <xm:f>справочники!$J$2:$J$3</xm:f>
          </x14:formula1>
          <xm:sqref>D11:E11</xm:sqref>
        </x14:dataValidation>
        <x14:dataValidation type="list" allowBlank="1" showInputMessage="1" showErrorMessage="1">
          <x14:formula1>
            <xm:f>Комбо2!$A$10:$A$11</xm:f>
          </x14:formula1>
          <xm:sqref>D12:E12</xm:sqref>
        </x14:dataValidation>
        <x14:dataValidation type="list" allowBlank="1" showInputMessage="1" showErrorMessage="1">
          <x14:formula1>
            <xm:f>Комбо2!$A$3:$A$4</xm:f>
          </x14:formula1>
          <xm:sqref>D3:E3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E13" sqref="E13"/>
    </sheetView>
  </sheetViews>
  <sheetFormatPr defaultRowHeight="15" x14ac:dyDescent="0.25"/>
  <cols>
    <col min="1" max="1" width="41.28515625" customWidth="1"/>
    <col min="2" max="2" width="9.140625" customWidth="1"/>
  </cols>
  <sheetData>
    <row r="1" spans="1:8" x14ac:dyDescent="0.25">
      <c r="A1" s="150"/>
      <c r="B1" s="151" t="s">
        <v>124</v>
      </c>
      <c r="C1" s="151"/>
      <c r="D1" s="152"/>
      <c r="E1" s="153"/>
      <c r="F1" s="153"/>
      <c r="G1" s="27"/>
      <c r="H1" s="27"/>
    </row>
    <row r="2" spans="1:8" s="147" customFormat="1" ht="51" x14ac:dyDescent="0.2">
      <c r="A2" s="154"/>
      <c r="B2" s="155" t="s">
        <v>99</v>
      </c>
      <c r="C2" s="155" t="s">
        <v>100</v>
      </c>
      <c r="D2" s="156" t="s">
        <v>106</v>
      </c>
      <c r="E2" s="154" t="s">
        <v>99</v>
      </c>
      <c r="F2" s="154" t="s">
        <v>100</v>
      </c>
      <c r="G2" s="156" t="s">
        <v>112</v>
      </c>
      <c r="H2" s="156" t="s">
        <v>46</v>
      </c>
    </row>
    <row r="3" spans="1:8" x14ac:dyDescent="0.25">
      <c r="A3" s="150" t="s">
        <v>37</v>
      </c>
      <c r="B3" s="58">
        <v>12000000</v>
      </c>
      <c r="C3" s="58">
        <v>30000000</v>
      </c>
      <c r="D3" s="157">
        <v>0.06</v>
      </c>
      <c r="E3" s="150">
        <v>6000000</v>
      </c>
      <c r="F3" s="150">
        <v>15000000</v>
      </c>
      <c r="G3" s="157">
        <v>0.01</v>
      </c>
      <c r="H3" s="157"/>
    </row>
    <row r="4" spans="1:8" x14ac:dyDescent="0.25">
      <c r="A4" s="150"/>
      <c r="B4" s="58">
        <v>18000000</v>
      </c>
      <c r="C4" s="58">
        <v>30000000</v>
      </c>
      <c r="D4" s="157">
        <v>0.05</v>
      </c>
      <c r="E4" s="150">
        <v>9000000</v>
      </c>
      <c r="F4" s="150">
        <v>15000000</v>
      </c>
      <c r="G4" s="157"/>
      <c r="H4" s="158"/>
    </row>
    <row r="5" spans="1:8" ht="26.25" x14ac:dyDescent="0.25">
      <c r="A5" s="159"/>
      <c r="B5" s="160" t="s">
        <v>36</v>
      </c>
      <c r="C5" s="160" t="s">
        <v>49</v>
      </c>
      <c r="D5" s="160" t="s">
        <v>46</v>
      </c>
      <c r="E5" s="160" t="s">
        <v>48</v>
      </c>
      <c r="F5" s="148"/>
    </row>
    <row r="6" spans="1:8" x14ac:dyDescent="0.25">
      <c r="A6" s="27" t="s">
        <v>109</v>
      </c>
      <c r="B6" s="30">
        <v>0.2</v>
      </c>
      <c r="C6" s="30">
        <v>0.2</v>
      </c>
      <c r="D6" s="30"/>
      <c r="E6" s="161">
        <v>0.01</v>
      </c>
    </row>
    <row r="7" spans="1:8" x14ac:dyDescent="0.25">
      <c r="A7" s="27" t="s">
        <v>111</v>
      </c>
      <c r="B7" s="30">
        <v>0.2</v>
      </c>
      <c r="C7" s="30">
        <v>0.2</v>
      </c>
      <c r="D7" s="30"/>
      <c r="E7" s="161">
        <v>0.01</v>
      </c>
    </row>
    <row r="8" spans="1:8" x14ac:dyDescent="0.25">
      <c r="A8" s="27" t="s">
        <v>110</v>
      </c>
      <c r="B8" s="30">
        <v>0.2</v>
      </c>
      <c r="C8" s="30">
        <v>0.2</v>
      </c>
      <c r="D8" s="30"/>
      <c r="E8" s="161">
        <v>0.01</v>
      </c>
    </row>
    <row r="10" spans="1:8" x14ac:dyDescent="0.25">
      <c r="A10" s="27" t="s">
        <v>54</v>
      </c>
    </row>
    <row r="11" spans="1:8" x14ac:dyDescent="0.25">
      <c r="A11" s="27" t="s">
        <v>16</v>
      </c>
    </row>
    <row r="12" spans="1:8" x14ac:dyDescent="0.25">
      <c r="A12" s="27" t="s">
        <v>164</v>
      </c>
    </row>
    <row r="13" spans="1:8" x14ac:dyDescent="0.25">
      <c r="A13" s="27" t="s">
        <v>165</v>
      </c>
    </row>
    <row r="14" spans="1:8" x14ac:dyDescent="0.25">
      <c r="A14">
        <v>4</v>
      </c>
      <c r="B14" t="s">
        <v>163</v>
      </c>
      <c r="C14">
        <f>A14*12</f>
        <v>48</v>
      </c>
      <c r="D14" t="s">
        <v>162</v>
      </c>
    </row>
    <row r="15" spans="1:8" x14ac:dyDescent="0.25">
      <c r="A15">
        <v>30</v>
      </c>
      <c r="B15" t="s">
        <v>163</v>
      </c>
      <c r="C15">
        <f>A15*12</f>
        <v>360</v>
      </c>
      <c r="D15" t="s">
        <v>162</v>
      </c>
    </row>
    <row r="17" spans="1:5" ht="15.75" x14ac:dyDescent="0.25">
      <c r="A17" s="162" t="s">
        <v>98</v>
      </c>
      <c r="B17" s="27"/>
    </row>
    <row r="18" spans="1:5" x14ac:dyDescent="0.25">
      <c r="A18" s="27" t="str">
        <f>'Комбо (со средневзв. ставкой)'!D4</f>
        <v>Москва, Моск.обл., Санкт-Петербург, Лен.обл.</v>
      </c>
      <c r="B18" s="27">
        <f>IF(A18=A38,2,5)</f>
        <v>2</v>
      </c>
    </row>
    <row r="19" spans="1:5" x14ac:dyDescent="0.25">
      <c r="A19" s="27" t="str">
        <f>'Комбо (со средневзв. ставкой)'!D13</f>
        <v>Со страхованием</v>
      </c>
      <c r="B19" s="27"/>
    </row>
    <row r="20" spans="1:5" x14ac:dyDescent="0.25">
      <c r="A20" s="27" t="str">
        <f>'Комбо (со средневзв. ставкой)'!D3</f>
        <v>Господдержка Семейная</v>
      </c>
      <c r="B20" s="27"/>
    </row>
    <row r="21" spans="1:5" x14ac:dyDescent="0.25">
      <c r="A21" s="27" t="str">
        <f>'Комбо (со средневзв. ставкой)'!D14</f>
        <v>Перспектива</v>
      </c>
      <c r="B21" s="27"/>
    </row>
    <row r="22" spans="1:5" x14ac:dyDescent="0.25">
      <c r="A22" s="27" t="s">
        <v>46</v>
      </c>
      <c r="B22" s="27" t="str">
        <f>'Комбо (со средневзв. ставкой)'!D11</f>
        <v>нет</v>
      </c>
    </row>
    <row r="23" spans="1:5" x14ac:dyDescent="0.25">
      <c r="A23" s="27" t="s">
        <v>114</v>
      </c>
      <c r="B23" s="27" t="str">
        <f>'Комбо (со средневзв. ставкой)'!D12</f>
        <v>нет</v>
      </c>
    </row>
    <row r="24" spans="1:5" x14ac:dyDescent="0.25">
      <c r="A24" s="27"/>
      <c r="B24" s="27"/>
      <c r="C24" s="160" t="s">
        <v>59</v>
      </c>
      <c r="D24" s="160" t="s">
        <v>115</v>
      </c>
      <c r="E24" s="160" t="s">
        <v>116</v>
      </c>
    </row>
    <row r="25" spans="1:5" x14ac:dyDescent="0.25">
      <c r="A25" s="53" t="s">
        <v>107</v>
      </c>
      <c r="B25" s="27">
        <f>VLOOKUP(A20,A3:F4,B18+1,0)</f>
        <v>30000000</v>
      </c>
      <c r="C25" s="27"/>
      <c r="D25" s="27"/>
      <c r="E25" s="27"/>
    </row>
    <row r="26" spans="1:5" x14ac:dyDescent="0.25">
      <c r="A26" s="52" t="s">
        <v>101</v>
      </c>
      <c r="B26" s="27">
        <f>VLOOKUP(A20,A3:F4,B18,0)</f>
        <v>12000000</v>
      </c>
      <c r="C26" s="27"/>
      <c r="D26" s="27"/>
      <c r="E26" s="27"/>
    </row>
    <row r="27" spans="1:5" x14ac:dyDescent="0.25">
      <c r="A27" s="52" t="s">
        <v>104</v>
      </c>
      <c r="B27" s="66">
        <f>VLOOKUP(A20,A3:D4,4,0)</f>
        <v>0.06</v>
      </c>
      <c r="C27" s="66">
        <f>IF(A19="Со страхованием",0,VLOOKUP(A20,$A$3:$H$4,7,0))</f>
        <v>0</v>
      </c>
      <c r="D27" s="66">
        <f>IF(B22="нет",0,VLOOKUP(A20,$A$3:$H$4,8,0))</f>
        <v>0</v>
      </c>
      <c r="E27" s="30">
        <f>SUM(B27:D27)</f>
        <v>0.06</v>
      </c>
    </row>
    <row r="28" spans="1:5" x14ac:dyDescent="0.25">
      <c r="A28" s="53" t="s">
        <v>103</v>
      </c>
      <c r="B28" s="66">
        <f>IF(B23="нет",VLOOKUP(A21,A6:E8,2,0),VLOOKUP(A21,A6:E8,3,0))</f>
        <v>0.2</v>
      </c>
      <c r="C28" s="66">
        <f>IF(A19="Со страхованием",0,VLOOKUP(A21,A6:E8,5,0))</f>
        <v>0</v>
      </c>
      <c r="D28" s="66">
        <f>IF(B22="нет",0,VLOOKUP(A21,A6:E8,4,0))</f>
        <v>0</v>
      </c>
      <c r="E28" s="30">
        <f>SUM(B28:D28)</f>
        <v>0.2</v>
      </c>
    </row>
    <row r="32" spans="1:5" x14ac:dyDescent="0.25">
      <c r="A32" s="27" t="s">
        <v>37</v>
      </c>
      <c r="B32" s="27" t="s">
        <v>124</v>
      </c>
    </row>
    <row r="33" spans="1:2" x14ac:dyDescent="0.25">
      <c r="A33" s="27" t="s">
        <v>37</v>
      </c>
      <c r="B33" s="27" t="s">
        <v>125</v>
      </c>
    </row>
    <row r="34" spans="1:2" x14ac:dyDescent="0.25">
      <c r="A34" s="27" t="s">
        <v>146</v>
      </c>
      <c r="B34" s="22" t="s">
        <v>153</v>
      </c>
    </row>
    <row r="35" spans="1:2" x14ac:dyDescent="0.25">
      <c r="A35" s="27" t="s">
        <v>146</v>
      </c>
      <c r="B35" s="22" t="s">
        <v>154</v>
      </c>
    </row>
    <row r="38" spans="1:2" x14ac:dyDescent="0.25">
      <c r="A38" t="str">
        <f>IF(A20=A32,B32,B34)</f>
        <v>Москва, Моск.обл., Санкт-Петербург, Лен.обл.</v>
      </c>
    </row>
    <row r="39" spans="1:2" x14ac:dyDescent="0.25">
      <c r="A39" t="str">
        <f>IF(A20=A33,B33,B35)</f>
        <v>др.города</v>
      </c>
    </row>
  </sheetData>
  <sheetProtection algorithmName="SHA-512" hashValue="yvUCrIrm6yKm3xDoqP1sCDFmwhTAaABxh1F7RWpy2UdgapJ6WGHZa9J2dZh6SKZAL8RC7poSdO9tpTjTLoI3IA==" saltValue="Y1W+4iEJzAsiXFm+uMO/Xg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97"/>
  <sheetViews>
    <sheetView workbookViewId="0">
      <selection activeCell="L23" sqref="L23"/>
    </sheetView>
  </sheetViews>
  <sheetFormatPr defaultRowHeight="15" outlineLevelCol="1" x14ac:dyDescent="0.25"/>
  <cols>
    <col min="1" max="1" width="9.140625" style="22"/>
    <col min="2" max="2" width="36.42578125" style="44" customWidth="1" outlineLevel="1"/>
    <col min="3" max="4" width="14.5703125" style="44" customWidth="1" outlineLevel="1"/>
    <col min="5" max="5" width="14.42578125" style="44" customWidth="1" outlineLevel="1"/>
    <col min="6" max="6" width="14.5703125" style="44" customWidth="1" outlineLevel="1"/>
    <col min="7" max="7" width="12" style="44" customWidth="1" outlineLevel="1"/>
    <col min="8" max="16384" width="9.140625" style="22"/>
  </cols>
  <sheetData>
    <row r="2" spans="2:7" x14ac:dyDescent="0.25">
      <c r="B2" s="44" t="s">
        <v>69</v>
      </c>
      <c r="C2" s="45">
        <f>'Ставка мечты'!G18</f>
        <v>15099657.741091203</v>
      </c>
      <c r="E2" s="44" t="s">
        <v>74</v>
      </c>
      <c r="F2" s="45">
        <f>D12</f>
        <v>124179.53146662304</v>
      </c>
    </row>
    <row r="3" spans="2:7" x14ac:dyDescent="0.25">
      <c r="B3" s="44" t="s">
        <v>70</v>
      </c>
      <c r="C3" s="46">
        <f>'Ставка мечты'!D18</f>
        <v>5.5999999999999994E-2</v>
      </c>
      <c r="E3" s="44" t="s">
        <v>75</v>
      </c>
      <c r="F3" s="45">
        <f>IFERROR(VLOOKUP(C6+1,B12:D74,3,0),F2)</f>
        <v>127235.31084624644</v>
      </c>
    </row>
    <row r="4" spans="2:7" x14ac:dyDescent="0.25">
      <c r="B4" s="44" t="s">
        <v>71</v>
      </c>
      <c r="C4" s="46">
        <f>'Ставка мечты'!E18</f>
        <v>0.06</v>
      </c>
    </row>
    <row r="5" spans="2:7" x14ac:dyDescent="0.25">
      <c r="B5" s="44" t="s">
        <v>52</v>
      </c>
      <c r="C5" s="47">
        <f>'Ставка мечты'!E9</f>
        <v>180</v>
      </c>
    </row>
    <row r="6" spans="2:7" x14ac:dyDescent="0.25">
      <c r="B6" s="44" t="s">
        <v>1</v>
      </c>
      <c r="C6" s="47">
        <f>VLOOKUP(справочники!A13,справочники!A14:B17,2)</f>
        <v>12</v>
      </c>
    </row>
    <row r="7" spans="2:7" x14ac:dyDescent="0.25">
      <c r="B7" s="44" t="s">
        <v>15</v>
      </c>
      <c r="C7" s="45" t="str">
        <f>'Ставка мечты'!E12</f>
        <v>нет</v>
      </c>
    </row>
    <row r="8" spans="2:7" x14ac:dyDescent="0.25">
      <c r="B8" s="44" t="s">
        <v>17</v>
      </c>
      <c r="C8" s="45" t="str">
        <f>'Ставка мечты'!E13</f>
        <v>нет</v>
      </c>
    </row>
    <row r="9" spans="2:7" x14ac:dyDescent="0.25">
      <c r="B9" s="44" t="s">
        <v>18</v>
      </c>
      <c r="C9" s="45" t="str">
        <f>'Ставка мечты'!E14</f>
        <v>Со страхованием</v>
      </c>
      <c r="F9" s="45">
        <f>ROUND(SUM(F12:F372),2)</f>
        <v>7766028.8600000003</v>
      </c>
    </row>
    <row r="10" spans="2:7" x14ac:dyDescent="0.25">
      <c r="B10" s="48"/>
      <c r="C10" s="48" t="s">
        <v>55</v>
      </c>
      <c r="D10" s="48" t="s">
        <v>67</v>
      </c>
      <c r="E10" s="48" t="s">
        <v>68</v>
      </c>
      <c r="F10" s="48" t="s">
        <v>72</v>
      </c>
      <c r="G10" s="48" t="s">
        <v>73</v>
      </c>
    </row>
    <row r="11" spans="2:7" x14ac:dyDescent="0.25">
      <c r="E11" s="45">
        <f>C2</f>
        <v>15099657.741091203</v>
      </c>
    </row>
    <row r="12" spans="2:7" x14ac:dyDescent="0.25">
      <c r="B12" s="44">
        <v>1</v>
      </c>
      <c r="C12" s="49">
        <f t="shared" ref="C12:C75" si="0">IF(B12&gt;$C$6,$C$4,$C$3)</f>
        <v>5.5999999999999994E-2</v>
      </c>
      <c r="D12" s="50">
        <f>IF(B12&gt;C5,0,E11*(C12/12/(1-(1+C12/12)^(-(C5-B11)))))</f>
        <v>124179.53146662304</v>
      </c>
      <c r="E12" s="45">
        <f>E11-G12</f>
        <v>15045943.279083006</v>
      </c>
      <c r="F12" s="45">
        <f>IF(B12&gt;$C$5,0,E11*C12/12)</f>
        <v>70465.069458425613</v>
      </c>
      <c r="G12" s="45">
        <f>D12-F12</f>
        <v>53714.462008197428</v>
      </c>
    </row>
    <row r="13" spans="2:7" x14ac:dyDescent="0.25">
      <c r="B13" s="44">
        <v>2</v>
      </c>
      <c r="C13" s="49">
        <f t="shared" si="0"/>
        <v>5.5999999999999994E-2</v>
      </c>
      <c r="D13" s="50">
        <f t="shared" ref="D13:D76" si="1">IF(B13&gt;$C$5,0,E12*(C13/12/(1-(1+C13/12)^(-($C$5-B12)))))</f>
        <v>124179.53146662303</v>
      </c>
      <c r="E13" s="45">
        <f>E12-G13</f>
        <v>14991978.149585437</v>
      </c>
      <c r="F13" s="45">
        <f t="shared" ref="F13:F76" si="2">IF(B13&gt;$C$5,0,E12*C13/12)</f>
        <v>70214.40196905403</v>
      </c>
      <c r="G13" s="45">
        <f>D13-F13</f>
        <v>53965.129497568996</v>
      </c>
    </row>
    <row r="14" spans="2:7" x14ac:dyDescent="0.25">
      <c r="B14" s="44">
        <v>3</v>
      </c>
      <c r="C14" s="49">
        <f t="shared" si="0"/>
        <v>5.5999999999999994E-2</v>
      </c>
      <c r="D14" s="50">
        <f t="shared" si="1"/>
        <v>124179.53146662306</v>
      </c>
      <c r="E14" s="45">
        <f t="shared" ref="E14:E77" si="3">E13-G14</f>
        <v>14937761.18281688</v>
      </c>
      <c r="F14" s="45">
        <f t="shared" si="2"/>
        <v>69962.564698065369</v>
      </c>
      <c r="G14" s="45">
        <f t="shared" ref="G14:G77" si="4">D14-F14</f>
        <v>54216.966768557686</v>
      </c>
    </row>
    <row r="15" spans="2:7" x14ac:dyDescent="0.25">
      <c r="B15" s="44">
        <v>4</v>
      </c>
      <c r="C15" s="49">
        <f t="shared" si="0"/>
        <v>5.5999999999999994E-2</v>
      </c>
      <c r="D15" s="50">
        <f t="shared" si="1"/>
        <v>124179.53146662301</v>
      </c>
      <c r="E15" s="45">
        <f t="shared" si="3"/>
        <v>14883291.203536736</v>
      </c>
      <c r="F15" s="45">
        <f t="shared" si="2"/>
        <v>69709.552186478759</v>
      </c>
      <c r="G15" s="45">
        <f t="shared" si="4"/>
        <v>54469.979280144253</v>
      </c>
    </row>
    <row r="16" spans="2:7" x14ac:dyDescent="0.25">
      <c r="B16" s="44">
        <v>5</v>
      </c>
      <c r="C16" s="49">
        <f t="shared" si="0"/>
        <v>5.5999999999999994E-2</v>
      </c>
      <c r="D16" s="50">
        <f t="shared" si="1"/>
        <v>124179.53146662301</v>
      </c>
      <c r="E16" s="45">
        <f t="shared" si="3"/>
        <v>14828567.03101995</v>
      </c>
      <c r="F16" s="45">
        <f t="shared" si="2"/>
        <v>69455.35894983809</v>
      </c>
      <c r="G16" s="45">
        <f t="shared" si="4"/>
        <v>54724.172516784922</v>
      </c>
    </row>
    <row r="17" spans="2:7" x14ac:dyDescent="0.25">
      <c r="B17" s="44">
        <v>6</v>
      </c>
      <c r="C17" s="49">
        <f t="shared" si="0"/>
        <v>5.5999999999999994E-2</v>
      </c>
      <c r="D17" s="50">
        <f t="shared" si="1"/>
        <v>124179.53146662303</v>
      </c>
      <c r="E17" s="45">
        <f t="shared" si="3"/>
        <v>14773587.479031421</v>
      </c>
      <c r="F17" s="45">
        <f t="shared" si="2"/>
        <v>69199.979478093097</v>
      </c>
      <c r="G17" s="45">
        <f t="shared" si="4"/>
        <v>54979.551988529929</v>
      </c>
    </row>
    <row r="18" spans="2:7" x14ac:dyDescent="0.25">
      <c r="B18" s="44">
        <v>7</v>
      </c>
      <c r="C18" s="49">
        <f t="shared" si="0"/>
        <v>5.5999999999999994E-2</v>
      </c>
      <c r="D18" s="50">
        <f t="shared" si="1"/>
        <v>124179.53146662303</v>
      </c>
      <c r="E18" s="45">
        <f t="shared" si="3"/>
        <v>14718351.355800278</v>
      </c>
      <c r="F18" s="45">
        <f t="shared" si="2"/>
        <v>68943.408235479961</v>
      </c>
      <c r="G18" s="45">
        <f t="shared" si="4"/>
        <v>55236.123231143065</v>
      </c>
    </row>
    <row r="19" spans="2:7" x14ac:dyDescent="0.25">
      <c r="B19" s="44">
        <v>8</v>
      </c>
      <c r="C19" s="49">
        <f t="shared" si="0"/>
        <v>5.5999999999999994E-2</v>
      </c>
      <c r="D19" s="50">
        <f t="shared" si="1"/>
        <v>124179.53146662303</v>
      </c>
      <c r="E19" s="45">
        <f t="shared" si="3"/>
        <v>14662857.463994056</v>
      </c>
      <c r="F19" s="45">
        <f t="shared" si="2"/>
        <v>68685.639660401284</v>
      </c>
      <c r="G19" s="45">
        <f t="shared" si="4"/>
        <v>55493.891806221742</v>
      </c>
    </row>
    <row r="20" spans="2:7" x14ac:dyDescent="0.25">
      <c r="B20" s="44">
        <v>9</v>
      </c>
      <c r="C20" s="49">
        <f t="shared" si="0"/>
        <v>5.5999999999999994E-2</v>
      </c>
      <c r="D20" s="50">
        <f t="shared" si="1"/>
        <v>124179.53146662298</v>
      </c>
      <c r="E20" s="45">
        <f t="shared" si="3"/>
        <v>14607104.600692738</v>
      </c>
      <c r="F20" s="45">
        <f t="shared" si="2"/>
        <v>68426.668165305586</v>
      </c>
      <c r="G20" s="45">
        <f t="shared" si="4"/>
        <v>55752.863301317397</v>
      </c>
    </row>
    <row r="21" spans="2:7" x14ac:dyDescent="0.25">
      <c r="B21" s="44">
        <v>10</v>
      </c>
      <c r="C21" s="49">
        <f t="shared" si="0"/>
        <v>5.5999999999999994E-2</v>
      </c>
      <c r="D21" s="50">
        <f t="shared" si="1"/>
        <v>124179.53146662297</v>
      </c>
      <c r="E21" s="45">
        <f t="shared" si="3"/>
        <v>14551091.557362681</v>
      </c>
      <c r="F21" s="45">
        <f t="shared" si="2"/>
        <v>68166.488136566099</v>
      </c>
      <c r="G21" s="45">
        <f t="shared" si="4"/>
        <v>56013.043330056869</v>
      </c>
    </row>
    <row r="22" spans="2:7" x14ac:dyDescent="0.25">
      <c r="B22" s="44">
        <v>11</v>
      </c>
      <c r="C22" s="49">
        <f t="shared" si="0"/>
        <v>5.5999999999999994E-2</v>
      </c>
      <c r="D22" s="50">
        <f t="shared" si="1"/>
        <v>124179.53146662297</v>
      </c>
      <c r="E22" s="45">
        <f t="shared" si="3"/>
        <v>14494817.119830418</v>
      </c>
      <c r="F22" s="45">
        <f t="shared" si="2"/>
        <v>67905.093934359174</v>
      </c>
      <c r="G22" s="45">
        <f t="shared" si="4"/>
        <v>56274.437532263793</v>
      </c>
    </row>
    <row r="23" spans="2:7" x14ac:dyDescent="0.25">
      <c r="B23" s="44">
        <v>12</v>
      </c>
      <c r="C23" s="49">
        <f t="shared" si="0"/>
        <v>5.5999999999999994E-2</v>
      </c>
      <c r="D23" s="50">
        <f t="shared" si="1"/>
        <v>124179.53146662298</v>
      </c>
      <c r="E23" s="45">
        <f t="shared" si="3"/>
        <v>14438280.068256337</v>
      </c>
      <c r="F23" s="45">
        <f t="shared" si="2"/>
        <v>67642.479892541945</v>
      </c>
      <c r="G23" s="45">
        <f t="shared" si="4"/>
        <v>56537.051574081037</v>
      </c>
    </row>
    <row r="24" spans="2:7" x14ac:dyDescent="0.25">
      <c r="B24" s="44">
        <v>13</v>
      </c>
      <c r="C24" s="49">
        <f t="shared" si="0"/>
        <v>0.06</v>
      </c>
      <c r="D24" s="50">
        <f t="shared" si="1"/>
        <v>127235.31084624644</v>
      </c>
      <c r="E24" s="45">
        <f t="shared" si="3"/>
        <v>14383236.157751372</v>
      </c>
      <c r="F24" s="45">
        <f t="shared" si="2"/>
        <v>72191.400341281682</v>
      </c>
      <c r="G24" s="45">
        <f t="shared" si="4"/>
        <v>55043.910504964762</v>
      </c>
    </row>
    <row r="25" spans="2:7" x14ac:dyDescent="0.25">
      <c r="B25" s="44">
        <v>14</v>
      </c>
      <c r="C25" s="49">
        <f t="shared" si="0"/>
        <v>0.06</v>
      </c>
      <c r="D25" s="50">
        <f t="shared" si="1"/>
        <v>127235.31084624646</v>
      </c>
      <c r="E25" s="45">
        <f t="shared" si="3"/>
        <v>14327917.027693883</v>
      </c>
      <c r="F25" s="45">
        <f t="shared" si="2"/>
        <v>71916.180788756858</v>
      </c>
      <c r="G25" s="45">
        <f t="shared" si="4"/>
        <v>55319.130057489601</v>
      </c>
    </row>
    <row r="26" spans="2:7" x14ac:dyDescent="0.25">
      <c r="B26" s="44">
        <v>15</v>
      </c>
      <c r="C26" s="49">
        <f t="shared" si="0"/>
        <v>0.06</v>
      </c>
      <c r="D26" s="50">
        <f t="shared" si="1"/>
        <v>127235.31084624644</v>
      </c>
      <c r="E26" s="45">
        <f t="shared" si="3"/>
        <v>14272321.301986106</v>
      </c>
      <c r="F26" s="45">
        <f t="shared" si="2"/>
        <v>71639.585138469411</v>
      </c>
      <c r="G26" s="45">
        <f t="shared" si="4"/>
        <v>55595.725707777034</v>
      </c>
    </row>
    <row r="27" spans="2:7" x14ac:dyDescent="0.25">
      <c r="B27" s="44">
        <v>16</v>
      </c>
      <c r="C27" s="49">
        <f t="shared" si="0"/>
        <v>0.06</v>
      </c>
      <c r="D27" s="50">
        <f t="shared" si="1"/>
        <v>127235.31084624644</v>
      </c>
      <c r="E27" s="45">
        <f t="shared" si="3"/>
        <v>14216447.59764979</v>
      </c>
      <c r="F27" s="45">
        <f t="shared" si="2"/>
        <v>71361.606509930527</v>
      </c>
      <c r="G27" s="45">
        <f t="shared" si="4"/>
        <v>55873.704336315917</v>
      </c>
    </row>
    <row r="28" spans="2:7" x14ac:dyDescent="0.25">
      <c r="B28" s="44">
        <v>17</v>
      </c>
      <c r="C28" s="49">
        <f t="shared" si="0"/>
        <v>0.06</v>
      </c>
      <c r="D28" s="50">
        <f t="shared" si="1"/>
        <v>127235.31084624642</v>
      </c>
      <c r="E28" s="45">
        <f t="shared" si="3"/>
        <v>14160294.524791792</v>
      </c>
      <c r="F28" s="45">
        <f t="shared" si="2"/>
        <v>71082.237988248948</v>
      </c>
      <c r="G28" s="45">
        <f t="shared" si="4"/>
        <v>56153.072857997468</v>
      </c>
    </row>
    <row r="29" spans="2:7" x14ac:dyDescent="0.25">
      <c r="B29" s="44">
        <v>18</v>
      </c>
      <c r="C29" s="49">
        <f t="shared" si="0"/>
        <v>0.06</v>
      </c>
      <c r="D29" s="50">
        <f t="shared" si="1"/>
        <v>127235.31084624636</v>
      </c>
      <c r="E29" s="45">
        <f t="shared" si="3"/>
        <v>14103860.686569504</v>
      </c>
      <c r="F29" s="45">
        <f t="shared" si="2"/>
        <v>70801.472623958965</v>
      </c>
      <c r="G29" s="45">
        <f t="shared" si="4"/>
        <v>56433.838222287392</v>
      </c>
    </row>
    <row r="30" spans="2:7" x14ac:dyDescent="0.25">
      <c r="B30" s="44">
        <v>19</v>
      </c>
      <c r="C30" s="49">
        <f t="shared" si="0"/>
        <v>0.06</v>
      </c>
      <c r="D30" s="50">
        <f t="shared" si="1"/>
        <v>127235.31084624639</v>
      </c>
      <c r="E30" s="45">
        <f t="shared" si="3"/>
        <v>14047144.679156106</v>
      </c>
      <c r="F30" s="45">
        <f t="shared" si="2"/>
        <v>70519.303432847519</v>
      </c>
      <c r="G30" s="45">
        <f t="shared" si="4"/>
        <v>56716.007413398867</v>
      </c>
    </row>
    <row r="31" spans="2:7" x14ac:dyDescent="0.25">
      <c r="B31" s="44">
        <v>20</v>
      </c>
      <c r="C31" s="49">
        <f t="shared" si="0"/>
        <v>0.06</v>
      </c>
      <c r="D31" s="50">
        <f t="shared" si="1"/>
        <v>127235.31084624636</v>
      </c>
      <c r="E31" s="45">
        <f t="shared" si="3"/>
        <v>13990145.091705641</v>
      </c>
      <c r="F31" s="45">
        <f t="shared" si="2"/>
        <v>70235.723395780529</v>
      </c>
      <c r="G31" s="45">
        <f t="shared" si="4"/>
        <v>56999.587450465828</v>
      </c>
    </row>
    <row r="32" spans="2:7" x14ac:dyDescent="0.25">
      <c r="B32" s="44">
        <v>21</v>
      </c>
      <c r="C32" s="49">
        <f t="shared" si="0"/>
        <v>0.06</v>
      </c>
      <c r="D32" s="50">
        <f t="shared" si="1"/>
        <v>127235.31084624636</v>
      </c>
      <c r="E32" s="45">
        <f t="shared" si="3"/>
        <v>13932860.506317923</v>
      </c>
      <c r="F32" s="45">
        <f t="shared" si="2"/>
        <v>69950.725458528192</v>
      </c>
      <c r="G32" s="45">
        <f t="shared" si="4"/>
        <v>57284.585387718165</v>
      </c>
    </row>
    <row r="33" spans="2:7" x14ac:dyDescent="0.25">
      <c r="B33" s="44">
        <v>22</v>
      </c>
      <c r="C33" s="49">
        <f t="shared" si="0"/>
        <v>0.06</v>
      </c>
      <c r="D33" s="50">
        <f t="shared" si="1"/>
        <v>127235.31084624633</v>
      </c>
      <c r="E33" s="45">
        <f t="shared" si="3"/>
        <v>13875289.498003267</v>
      </c>
      <c r="F33" s="45">
        <f t="shared" si="2"/>
        <v>69664.302531589608</v>
      </c>
      <c r="G33" s="45">
        <f t="shared" si="4"/>
        <v>57571.008314656719</v>
      </c>
    </row>
    <row r="34" spans="2:7" x14ac:dyDescent="0.25">
      <c r="B34" s="44">
        <v>23</v>
      </c>
      <c r="C34" s="49">
        <f t="shared" si="0"/>
        <v>0.06</v>
      </c>
      <c r="D34" s="50">
        <f t="shared" si="1"/>
        <v>127235.31084624631</v>
      </c>
      <c r="E34" s="45">
        <f t="shared" si="3"/>
        <v>13817430.634647036</v>
      </c>
      <c r="F34" s="45">
        <f t="shared" si="2"/>
        <v>69376.447490016333</v>
      </c>
      <c r="G34" s="45">
        <f t="shared" si="4"/>
        <v>57858.86335622998</v>
      </c>
    </row>
    <row r="35" spans="2:7" x14ac:dyDescent="0.25">
      <c r="B35" s="44">
        <v>24</v>
      </c>
      <c r="C35" s="49">
        <f t="shared" si="0"/>
        <v>0.06</v>
      </c>
      <c r="D35" s="50">
        <f t="shared" si="1"/>
        <v>127235.31084624628</v>
      </c>
      <c r="E35" s="45">
        <f t="shared" si="3"/>
        <v>13759282.476974025</v>
      </c>
      <c r="F35" s="45">
        <f t="shared" si="2"/>
        <v>69087.153173235172</v>
      </c>
      <c r="G35" s="45">
        <f t="shared" si="4"/>
        <v>58148.157673011112</v>
      </c>
    </row>
    <row r="36" spans="2:7" x14ac:dyDescent="0.25">
      <c r="B36" s="44">
        <v>25</v>
      </c>
      <c r="C36" s="49">
        <f t="shared" si="0"/>
        <v>0.06</v>
      </c>
      <c r="D36" s="50">
        <f t="shared" si="1"/>
        <v>127235.31084624628</v>
      </c>
      <c r="E36" s="45">
        <f t="shared" si="3"/>
        <v>13700843.57851265</v>
      </c>
      <c r="F36" s="45">
        <f t="shared" si="2"/>
        <v>68796.412384870127</v>
      </c>
      <c r="G36" s="45">
        <f t="shared" si="4"/>
        <v>58438.898461376157</v>
      </c>
    </row>
    <row r="37" spans="2:7" x14ac:dyDescent="0.25">
      <c r="B37" s="44">
        <v>26</v>
      </c>
      <c r="C37" s="49">
        <f t="shared" si="0"/>
        <v>0.06</v>
      </c>
      <c r="D37" s="50">
        <f t="shared" si="1"/>
        <v>127235.31084624627</v>
      </c>
      <c r="E37" s="45">
        <f t="shared" si="3"/>
        <v>13642112.485558966</v>
      </c>
      <c r="F37" s="45">
        <f t="shared" si="2"/>
        <v>68504.217892563247</v>
      </c>
      <c r="G37" s="45">
        <f t="shared" si="4"/>
        <v>58731.092953683023</v>
      </c>
    </row>
    <row r="38" spans="2:7" x14ac:dyDescent="0.25">
      <c r="B38" s="44">
        <v>27</v>
      </c>
      <c r="C38" s="49">
        <f t="shared" si="0"/>
        <v>0.06</v>
      </c>
      <c r="D38" s="50">
        <f t="shared" si="1"/>
        <v>127235.31084624626</v>
      </c>
      <c r="E38" s="45">
        <f t="shared" si="3"/>
        <v>13583087.737140514</v>
      </c>
      <c r="F38" s="45">
        <f t="shared" si="2"/>
        <v>68210.562427794837</v>
      </c>
      <c r="G38" s="45">
        <f t="shared" si="4"/>
        <v>59024.748418451418</v>
      </c>
    </row>
    <row r="39" spans="2:7" x14ac:dyDescent="0.25">
      <c r="B39" s="44">
        <v>28</v>
      </c>
      <c r="C39" s="49">
        <f t="shared" si="0"/>
        <v>0.06</v>
      </c>
      <c r="D39" s="50">
        <f t="shared" si="1"/>
        <v>127235.31084624624</v>
      </c>
      <c r="E39" s="45">
        <f t="shared" si="3"/>
        <v>13523767.864979971</v>
      </c>
      <c r="F39" s="45">
        <f t="shared" si="2"/>
        <v>67915.438685702567</v>
      </c>
      <c r="G39" s="45">
        <f t="shared" si="4"/>
        <v>59319.872160543673</v>
      </c>
    </row>
    <row r="40" spans="2:7" x14ac:dyDescent="0.25">
      <c r="B40" s="44">
        <v>29</v>
      </c>
      <c r="C40" s="49">
        <f t="shared" si="0"/>
        <v>0.06</v>
      </c>
      <c r="D40" s="50">
        <f t="shared" si="1"/>
        <v>127235.31084624621</v>
      </c>
      <c r="E40" s="45">
        <f t="shared" si="3"/>
        <v>13464151.393458625</v>
      </c>
      <c r="F40" s="45">
        <f t="shared" si="2"/>
        <v>67618.839324899847</v>
      </c>
      <c r="G40" s="45">
        <f t="shared" si="4"/>
        <v>59616.471521346364</v>
      </c>
    </row>
    <row r="41" spans="2:7" x14ac:dyDescent="0.25">
      <c r="B41" s="44">
        <v>30</v>
      </c>
      <c r="C41" s="49">
        <f t="shared" si="0"/>
        <v>0.06</v>
      </c>
      <c r="D41" s="50">
        <f t="shared" si="1"/>
        <v>127235.31084624623</v>
      </c>
      <c r="E41" s="45">
        <f t="shared" si="3"/>
        <v>13404236.839579672</v>
      </c>
      <c r="F41" s="45">
        <f t="shared" si="2"/>
        <v>67320.756967293128</v>
      </c>
      <c r="G41" s="45">
        <f t="shared" si="4"/>
        <v>59914.553878953098</v>
      </c>
    </row>
    <row r="42" spans="2:7" x14ac:dyDescent="0.25">
      <c r="B42" s="44">
        <v>31</v>
      </c>
      <c r="C42" s="49">
        <f t="shared" si="0"/>
        <v>0.06</v>
      </c>
      <c r="D42" s="50">
        <f t="shared" si="1"/>
        <v>127235.3108462462</v>
      </c>
      <c r="E42" s="45">
        <f t="shared" si="3"/>
        <v>13344022.712931324</v>
      </c>
      <c r="F42" s="45">
        <f t="shared" si="2"/>
        <v>67021.184197898358</v>
      </c>
      <c r="G42" s="45">
        <f t="shared" si="4"/>
        <v>60214.126648347839</v>
      </c>
    </row>
    <row r="43" spans="2:7" x14ac:dyDescent="0.25">
      <c r="B43" s="44">
        <v>32</v>
      </c>
      <c r="C43" s="49">
        <f t="shared" si="0"/>
        <v>0.06</v>
      </c>
      <c r="D43" s="50">
        <f t="shared" si="1"/>
        <v>127235.31084624617</v>
      </c>
      <c r="E43" s="45">
        <f t="shared" si="3"/>
        <v>13283507.515649734</v>
      </c>
      <c r="F43" s="45">
        <f t="shared" si="2"/>
        <v>66720.113564656625</v>
      </c>
      <c r="G43" s="45">
        <f t="shared" si="4"/>
        <v>60515.197281589542</v>
      </c>
    </row>
    <row r="44" spans="2:7" x14ac:dyDescent="0.25">
      <c r="B44" s="44">
        <v>33</v>
      </c>
      <c r="C44" s="49">
        <f t="shared" si="0"/>
        <v>0.06</v>
      </c>
      <c r="D44" s="50">
        <f t="shared" si="1"/>
        <v>127235.31084624615</v>
      </c>
      <c r="E44" s="45">
        <f t="shared" si="3"/>
        <v>13222689.742381737</v>
      </c>
      <c r="F44" s="45">
        <f t="shared" si="2"/>
        <v>66417.537578248666</v>
      </c>
      <c r="G44" s="45">
        <f t="shared" si="4"/>
        <v>60817.773267997487</v>
      </c>
    </row>
    <row r="45" spans="2:7" x14ac:dyDescent="0.25">
      <c r="B45" s="44">
        <v>34</v>
      </c>
      <c r="C45" s="49">
        <f t="shared" si="0"/>
        <v>0.06</v>
      </c>
      <c r="D45" s="50">
        <f t="shared" si="1"/>
        <v>127235.31084624612</v>
      </c>
      <c r="E45" s="45">
        <f t="shared" si="3"/>
        <v>13161567.880247399</v>
      </c>
      <c r="F45" s="45">
        <f t="shared" si="2"/>
        <v>66113.448711908684</v>
      </c>
      <c r="G45" s="45">
        <f t="shared" si="4"/>
        <v>61121.86213433744</v>
      </c>
    </row>
    <row r="46" spans="2:7" x14ac:dyDescent="0.25">
      <c r="B46" s="44">
        <v>35</v>
      </c>
      <c r="C46" s="49">
        <f t="shared" si="0"/>
        <v>0.06</v>
      </c>
      <c r="D46" s="50">
        <f t="shared" si="1"/>
        <v>127235.31084624615</v>
      </c>
      <c r="E46" s="45">
        <f t="shared" si="3"/>
        <v>13100140.40880239</v>
      </c>
      <c r="F46" s="45">
        <f t="shared" si="2"/>
        <v>65807.839401236997</v>
      </c>
      <c r="G46" s="45">
        <f t="shared" si="4"/>
        <v>61427.471445009156</v>
      </c>
    </row>
    <row r="47" spans="2:7" x14ac:dyDescent="0.25">
      <c r="B47" s="44">
        <v>36</v>
      </c>
      <c r="C47" s="49">
        <f t="shared" si="0"/>
        <v>0.06</v>
      </c>
      <c r="D47" s="50">
        <f t="shared" si="1"/>
        <v>127235.31084624607</v>
      </c>
      <c r="E47" s="45">
        <f t="shared" si="3"/>
        <v>13038405.800000155</v>
      </c>
      <c r="F47" s="45">
        <f t="shared" si="2"/>
        <v>65500.702044011945</v>
      </c>
      <c r="G47" s="45">
        <f t="shared" si="4"/>
        <v>61734.608802234121</v>
      </c>
    </row>
    <row r="48" spans="2:7" x14ac:dyDescent="0.25">
      <c r="B48" s="44">
        <v>37</v>
      </c>
      <c r="C48" s="49">
        <f t="shared" si="0"/>
        <v>0.06</v>
      </c>
      <c r="D48" s="50">
        <f t="shared" si="1"/>
        <v>127235.3108462461</v>
      </c>
      <c r="E48" s="45">
        <f t="shared" si="3"/>
        <v>12976362.51815391</v>
      </c>
      <c r="F48" s="45">
        <f t="shared" si="2"/>
        <v>65192.029000000774</v>
      </c>
      <c r="G48" s="45">
        <f t="shared" si="4"/>
        <v>62043.281846245322</v>
      </c>
    </row>
    <row r="49" spans="2:7" x14ac:dyDescent="0.25">
      <c r="B49" s="44">
        <v>38</v>
      </c>
      <c r="C49" s="49">
        <f t="shared" si="0"/>
        <v>0.06</v>
      </c>
      <c r="D49" s="50">
        <f t="shared" si="1"/>
        <v>127235.31084624604</v>
      </c>
      <c r="E49" s="45">
        <f t="shared" si="3"/>
        <v>12914009.019898433</v>
      </c>
      <c r="F49" s="45">
        <f t="shared" si="2"/>
        <v>64881.81259076955</v>
      </c>
      <c r="G49" s="45">
        <f t="shared" si="4"/>
        <v>62353.498255476487</v>
      </c>
    </row>
    <row r="50" spans="2:7" x14ac:dyDescent="0.25">
      <c r="B50" s="44">
        <v>39</v>
      </c>
      <c r="C50" s="49">
        <f t="shared" si="0"/>
        <v>0.06</v>
      </c>
      <c r="D50" s="50">
        <f t="shared" si="1"/>
        <v>127235.31084624602</v>
      </c>
      <c r="E50" s="45">
        <f t="shared" si="3"/>
        <v>12851343.75415168</v>
      </c>
      <c r="F50" s="45">
        <f t="shared" si="2"/>
        <v>64570.045099492163</v>
      </c>
      <c r="G50" s="45">
        <f t="shared" si="4"/>
        <v>62665.265746753859</v>
      </c>
    </row>
    <row r="51" spans="2:7" x14ac:dyDescent="0.25">
      <c r="B51" s="44">
        <v>40</v>
      </c>
      <c r="C51" s="49">
        <f t="shared" si="0"/>
        <v>0.06</v>
      </c>
      <c r="D51" s="50">
        <f t="shared" si="1"/>
        <v>127235.31084624601</v>
      </c>
      <c r="E51" s="45">
        <f t="shared" si="3"/>
        <v>12788365.162076192</v>
      </c>
      <c r="F51" s="45">
        <f t="shared" si="2"/>
        <v>64256.718770758394</v>
      </c>
      <c r="G51" s="45">
        <f t="shared" si="4"/>
        <v>62978.592075487613</v>
      </c>
    </row>
    <row r="52" spans="2:7" x14ac:dyDescent="0.25">
      <c r="B52" s="44">
        <v>41</v>
      </c>
      <c r="C52" s="49">
        <f t="shared" si="0"/>
        <v>0.06</v>
      </c>
      <c r="D52" s="50">
        <f t="shared" si="1"/>
        <v>127235.31084624599</v>
      </c>
      <c r="E52" s="45">
        <f t="shared" si="3"/>
        <v>12725071.677040327</v>
      </c>
      <c r="F52" s="45">
        <f t="shared" si="2"/>
        <v>63941.825810380957</v>
      </c>
      <c r="G52" s="45">
        <f t="shared" si="4"/>
        <v>63293.485035865036</v>
      </c>
    </row>
    <row r="53" spans="2:7" x14ac:dyDescent="0.25">
      <c r="B53" s="44">
        <v>42</v>
      </c>
      <c r="C53" s="49">
        <f t="shared" si="0"/>
        <v>0.06</v>
      </c>
      <c r="D53" s="50">
        <f t="shared" si="1"/>
        <v>127235.31084624596</v>
      </c>
      <c r="E53" s="45">
        <f t="shared" si="3"/>
        <v>12661461.724579282</v>
      </c>
      <c r="F53" s="45">
        <f t="shared" si="2"/>
        <v>63625.358385201631</v>
      </c>
      <c r="G53" s="45">
        <f t="shared" si="4"/>
        <v>63609.952461044333</v>
      </c>
    </row>
    <row r="54" spans="2:7" x14ac:dyDescent="0.25">
      <c r="B54" s="44">
        <v>43</v>
      </c>
      <c r="C54" s="49">
        <f t="shared" si="0"/>
        <v>0.06</v>
      </c>
      <c r="D54" s="50">
        <f t="shared" si="1"/>
        <v>127235.31084624595</v>
      </c>
      <c r="E54" s="45">
        <f t="shared" si="3"/>
        <v>12597533.722355932</v>
      </c>
      <c r="F54" s="45">
        <f t="shared" si="2"/>
        <v>63307.308622896409</v>
      </c>
      <c r="G54" s="45">
        <f t="shared" si="4"/>
        <v>63928.00222334954</v>
      </c>
    </row>
    <row r="55" spans="2:7" x14ac:dyDescent="0.25">
      <c r="B55" s="44">
        <v>44</v>
      </c>
      <c r="C55" s="49">
        <f t="shared" si="0"/>
        <v>0.06</v>
      </c>
      <c r="D55" s="50">
        <f t="shared" si="1"/>
        <v>127235.31084624591</v>
      </c>
      <c r="E55" s="45">
        <f t="shared" si="3"/>
        <v>12533286.080121465</v>
      </c>
      <c r="F55" s="45">
        <f t="shared" si="2"/>
        <v>62987.668611779656</v>
      </c>
      <c r="G55" s="45">
        <f t="shared" si="4"/>
        <v>64247.64223446625</v>
      </c>
    </row>
    <row r="56" spans="2:7" x14ac:dyDescent="0.25">
      <c r="B56" s="44">
        <v>45</v>
      </c>
      <c r="C56" s="49">
        <f t="shared" si="0"/>
        <v>0.06</v>
      </c>
      <c r="D56" s="50">
        <f t="shared" si="1"/>
        <v>127235.31084624588</v>
      </c>
      <c r="E56" s="45">
        <f t="shared" si="3"/>
        <v>12468717.199675826</v>
      </c>
      <c r="F56" s="45">
        <f t="shared" si="2"/>
        <v>62666.430400607322</v>
      </c>
      <c r="G56" s="45">
        <f t="shared" si="4"/>
        <v>64568.880445638555</v>
      </c>
    </row>
    <row r="57" spans="2:7" x14ac:dyDescent="0.25">
      <c r="B57" s="44">
        <v>46</v>
      </c>
      <c r="C57" s="49">
        <f t="shared" si="0"/>
        <v>0.06</v>
      </c>
      <c r="D57" s="50">
        <f t="shared" si="1"/>
        <v>127235.31084624591</v>
      </c>
      <c r="E57" s="45">
        <f t="shared" si="3"/>
        <v>12403825.47482796</v>
      </c>
      <c r="F57" s="45">
        <f t="shared" si="2"/>
        <v>62343.585998379131</v>
      </c>
      <c r="G57" s="45">
        <f t="shared" si="4"/>
        <v>64891.724847866775</v>
      </c>
    </row>
    <row r="58" spans="2:7" x14ac:dyDescent="0.25">
      <c r="B58" s="44">
        <v>47</v>
      </c>
      <c r="C58" s="49">
        <f t="shared" si="0"/>
        <v>0.06</v>
      </c>
      <c r="D58" s="50">
        <f t="shared" si="1"/>
        <v>127235.31084624589</v>
      </c>
      <c r="E58" s="45">
        <f t="shared" si="3"/>
        <v>12338609.291355854</v>
      </c>
      <c r="F58" s="45">
        <f t="shared" si="2"/>
        <v>62019.127374139796</v>
      </c>
      <c r="G58" s="45">
        <f t="shared" si="4"/>
        <v>65216.183472106095</v>
      </c>
    </row>
    <row r="59" spans="2:7" x14ac:dyDescent="0.25">
      <c r="B59" s="44">
        <v>48</v>
      </c>
      <c r="C59" s="49">
        <f t="shared" si="0"/>
        <v>0.06</v>
      </c>
      <c r="D59" s="50">
        <f t="shared" si="1"/>
        <v>127235.31084624585</v>
      </c>
      <c r="E59" s="45">
        <f t="shared" si="3"/>
        <v>12273067.026966387</v>
      </c>
      <c r="F59" s="45">
        <f t="shared" si="2"/>
        <v>61693.046456779266</v>
      </c>
      <c r="G59" s="45">
        <f t="shared" si="4"/>
        <v>65542.264389466582</v>
      </c>
    </row>
    <row r="60" spans="2:7" x14ac:dyDescent="0.25">
      <c r="B60" s="44">
        <v>49</v>
      </c>
      <c r="C60" s="49">
        <f t="shared" si="0"/>
        <v>0.06</v>
      </c>
      <c r="D60" s="50">
        <f t="shared" si="1"/>
        <v>127235.31084624582</v>
      </c>
      <c r="E60" s="45">
        <f t="shared" si="3"/>
        <v>12207197.051254973</v>
      </c>
      <c r="F60" s="45">
        <f t="shared" si="2"/>
        <v>61365.335134831934</v>
      </c>
      <c r="G60" s="45">
        <f t="shared" si="4"/>
        <v>65869.975711413892</v>
      </c>
    </row>
    <row r="61" spans="2:7" x14ac:dyDescent="0.25">
      <c r="B61" s="44">
        <v>50</v>
      </c>
      <c r="C61" s="49">
        <f t="shared" si="0"/>
        <v>0.06</v>
      </c>
      <c r="D61" s="50">
        <f t="shared" si="1"/>
        <v>127235.3108462458</v>
      </c>
      <c r="E61" s="45">
        <f t="shared" si="3"/>
        <v>12140997.725665001</v>
      </c>
      <c r="F61" s="45">
        <f t="shared" si="2"/>
        <v>61035.985256274864</v>
      </c>
      <c r="G61" s="45">
        <f t="shared" si="4"/>
        <v>66199.325589970947</v>
      </c>
    </row>
    <row r="62" spans="2:7" x14ac:dyDescent="0.25">
      <c r="B62" s="44">
        <v>51</v>
      </c>
      <c r="C62" s="49">
        <f t="shared" si="0"/>
        <v>0.06</v>
      </c>
      <c r="D62" s="50">
        <f t="shared" si="1"/>
        <v>127235.31084624576</v>
      </c>
      <c r="E62" s="45">
        <f t="shared" si="3"/>
        <v>12074467.40344708</v>
      </c>
      <c r="F62" s="45">
        <f t="shared" si="2"/>
        <v>60704.988628325002</v>
      </c>
      <c r="G62" s="45">
        <f t="shared" si="4"/>
        <v>66530.322217920766</v>
      </c>
    </row>
    <row r="63" spans="2:7" x14ac:dyDescent="0.25">
      <c r="B63" s="44">
        <v>52</v>
      </c>
      <c r="C63" s="49">
        <f t="shared" si="0"/>
        <v>0.06</v>
      </c>
      <c r="D63" s="50">
        <f t="shared" si="1"/>
        <v>127235.31084624577</v>
      </c>
      <c r="E63" s="45">
        <f t="shared" si="3"/>
        <v>12007604.42961807</v>
      </c>
      <c r="F63" s="45">
        <f t="shared" si="2"/>
        <v>60372.337017235404</v>
      </c>
      <c r="G63" s="45">
        <f t="shared" si="4"/>
        <v>66862.973829010371</v>
      </c>
    </row>
    <row r="64" spans="2:7" x14ac:dyDescent="0.25">
      <c r="B64" s="44">
        <v>53</v>
      </c>
      <c r="C64" s="49">
        <f t="shared" si="0"/>
        <v>0.06</v>
      </c>
      <c r="D64" s="50">
        <f t="shared" si="1"/>
        <v>127235.31084624573</v>
      </c>
      <c r="E64" s="45">
        <f t="shared" si="3"/>
        <v>11940407.140919914</v>
      </c>
      <c r="F64" s="45">
        <f t="shared" si="2"/>
        <v>60038.022148090349</v>
      </c>
      <c r="G64" s="45">
        <f t="shared" si="4"/>
        <v>67197.288698155375</v>
      </c>
    </row>
    <row r="65" spans="2:7" x14ac:dyDescent="0.25">
      <c r="B65" s="44">
        <v>54</v>
      </c>
      <c r="C65" s="49">
        <f t="shared" si="0"/>
        <v>0.06</v>
      </c>
      <c r="D65" s="50">
        <f t="shared" si="1"/>
        <v>127235.3108462457</v>
      </c>
      <c r="E65" s="45">
        <f t="shared" si="3"/>
        <v>11872873.865778269</v>
      </c>
      <c r="F65" s="45">
        <f t="shared" si="2"/>
        <v>59702.03570459957</v>
      </c>
      <c r="G65" s="45">
        <f t="shared" si="4"/>
        <v>67533.275141646125</v>
      </c>
    </row>
    <row r="66" spans="2:7" x14ac:dyDescent="0.25">
      <c r="B66" s="44">
        <v>55</v>
      </c>
      <c r="C66" s="49">
        <f t="shared" si="0"/>
        <v>0.06</v>
      </c>
      <c r="D66" s="50">
        <f t="shared" si="1"/>
        <v>127235.31084624567</v>
      </c>
      <c r="E66" s="45">
        <f t="shared" si="3"/>
        <v>11805002.924260914</v>
      </c>
      <c r="F66" s="45">
        <f t="shared" si="2"/>
        <v>59364.369328891342</v>
      </c>
      <c r="G66" s="45">
        <f t="shared" si="4"/>
        <v>67870.941517354338</v>
      </c>
    </row>
    <row r="67" spans="2:7" x14ac:dyDescent="0.25">
      <c r="B67" s="44">
        <v>56</v>
      </c>
      <c r="C67" s="49">
        <f t="shared" si="0"/>
        <v>0.06</v>
      </c>
      <c r="D67" s="50">
        <f t="shared" si="1"/>
        <v>127235.31084624567</v>
      </c>
      <c r="E67" s="45">
        <f t="shared" si="3"/>
        <v>11736792.628035974</v>
      </c>
      <c r="F67" s="45">
        <f t="shared" si="2"/>
        <v>59025.014621304574</v>
      </c>
      <c r="G67" s="45">
        <f t="shared" si="4"/>
        <v>68210.296224941092</v>
      </c>
    </row>
    <row r="68" spans="2:7" x14ac:dyDescent="0.25">
      <c r="B68" s="44">
        <v>57</v>
      </c>
      <c r="C68" s="49">
        <f t="shared" si="0"/>
        <v>0.06</v>
      </c>
      <c r="D68" s="50">
        <f t="shared" si="1"/>
        <v>127235.31084624563</v>
      </c>
      <c r="E68" s="45">
        <f t="shared" si="3"/>
        <v>11668241.280329907</v>
      </c>
      <c r="F68" s="45">
        <f t="shared" si="2"/>
        <v>58683.963140179869</v>
      </c>
      <c r="G68" s="45">
        <f t="shared" si="4"/>
        <v>68551.347706065761</v>
      </c>
    </row>
    <row r="69" spans="2:7" x14ac:dyDescent="0.25">
      <c r="B69" s="44">
        <v>58</v>
      </c>
      <c r="C69" s="49">
        <f t="shared" si="0"/>
        <v>0.06</v>
      </c>
      <c r="D69" s="50">
        <f t="shared" si="1"/>
        <v>127235.31084624561</v>
      </c>
      <c r="E69" s="45">
        <f t="shared" si="3"/>
        <v>11599347.17588531</v>
      </c>
      <c r="F69" s="45">
        <f t="shared" si="2"/>
        <v>58341.206401649535</v>
      </c>
      <c r="G69" s="45">
        <f t="shared" si="4"/>
        <v>68894.104444596072</v>
      </c>
    </row>
    <row r="70" spans="2:7" x14ac:dyDescent="0.25">
      <c r="B70" s="44">
        <v>59</v>
      </c>
      <c r="C70" s="49">
        <f t="shared" si="0"/>
        <v>0.06</v>
      </c>
      <c r="D70" s="50">
        <f t="shared" si="1"/>
        <v>127235.31084624557</v>
      </c>
      <c r="E70" s="45">
        <f t="shared" si="3"/>
        <v>11530108.60091849</v>
      </c>
      <c r="F70" s="45">
        <f t="shared" si="2"/>
        <v>57996.735879426553</v>
      </c>
      <c r="G70" s="45">
        <f t="shared" si="4"/>
        <v>69238.574966819026</v>
      </c>
    </row>
    <row r="71" spans="2:7" x14ac:dyDescent="0.25">
      <c r="B71" s="44">
        <v>60</v>
      </c>
      <c r="C71" s="49">
        <f t="shared" si="0"/>
        <v>0.06</v>
      </c>
      <c r="D71" s="50">
        <f t="shared" si="1"/>
        <v>127235.31084624554</v>
      </c>
      <c r="E71" s="45">
        <f t="shared" si="3"/>
        <v>11460523.833076837</v>
      </c>
      <c r="F71" s="45">
        <f t="shared" si="2"/>
        <v>57650.543004592451</v>
      </c>
      <c r="G71" s="45">
        <f t="shared" si="4"/>
        <v>69584.767841653083</v>
      </c>
    </row>
    <row r="72" spans="2:7" x14ac:dyDescent="0.25">
      <c r="B72" s="44">
        <v>61</v>
      </c>
      <c r="C72" s="49">
        <f t="shared" si="0"/>
        <v>0.06</v>
      </c>
      <c r="D72" s="50">
        <f t="shared" si="1"/>
        <v>127235.3108462455</v>
      </c>
      <c r="E72" s="45">
        <f t="shared" si="3"/>
        <v>11390591.141395975</v>
      </c>
      <c r="F72" s="45">
        <f t="shared" si="2"/>
        <v>57302.619165384182</v>
      </c>
      <c r="G72" s="45">
        <f t="shared" si="4"/>
        <v>69932.691680861317</v>
      </c>
    </row>
    <row r="73" spans="2:7" x14ac:dyDescent="0.25">
      <c r="B73" s="44">
        <v>62</v>
      </c>
      <c r="C73" s="49">
        <f t="shared" si="0"/>
        <v>0.06</v>
      </c>
      <c r="D73" s="50">
        <f t="shared" si="1"/>
        <v>127235.31084624548</v>
      </c>
      <c r="E73" s="45">
        <f t="shared" si="3"/>
        <v>11320308.78625671</v>
      </c>
      <c r="F73" s="45">
        <f t="shared" si="2"/>
        <v>56952.955706979876</v>
      </c>
      <c r="G73" s="45">
        <f t="shared" si="4"/>
        <v>70282.355139265608</v>
      </c>
    </row>
    <row r="74" spans="2:7" x14ac:dyDescent="0.25">
      <c r="B74" s="44">
        <v>63</v>
      </c>
      <c r="C74" s="49">
        <f t="shared" si="0"/>
        <v>0.06</v>
      </c>
      <c r="D74" s="50">
        <f t="shared" si="1"/>
        <v>127235.31084624553</v>
      </c>
      <c r="E74" s="45">
        <f t="shared" si="3"/>
        <v>11249675.019341748</v>
      </c>
      <c r="F74" s="45">
        <f t="shared" si="2"/>
        <v>56601.543931283552</v>
      </c>
      <c r="G74" s="45">
        <f t="shared" si="4"/>
        <v>70633.766914961976</v>
      </c>
    </row>
    <row r="75" spans="2:7" x14ac:dyDescent="0.25">
      <c r="B75" s="44">
        <v>64</v>
      </c>
      <c r="C75" s="49">
        <f t="shared" si="0"/>
        <v>0.06</v>
      </c>
      <c r="D75" s="50">
        <f t="shared" si="1"/>
        <v>127235.31084624545</v>
      </c>
      <c r="E75" s="45">
        <f t="shared" si="3"/>
        <v>11178688.083592212</v>
      </c>
      <c r="F75" s="45">
        <f t="shared" si="2"/>
        <v>56248.37509670874</v>
      </c>
      <c r="G75" s="45">
        <f t="shared" si="4"/>
        <v>70986.935749536715</v>
      </c>
    </row>
    <row r="76" spans="2:7" x14ac:dyDescent="0.25">
      <c r="B76" s="44">
        <v>65</v>
      </c>
      <c r="C76" s="49">
        <f t="shared" ref="C76:C139" si="5">IF(B76&gt;$C$6,$C$4,$C$3)</f>
        <v>0.06</v>
      </c>
      <c r="D76" s="50">
        <f t="shared" si="1"/>
        <v>127235.31084624544</v>
      </c>
      <c r="E76" s="45">
        <f t="shared" si="3"/>
        <v>11107346.213163927</v>
      </c>
      <c r="F76" s="45">
        <f t="shared" si="2"/>
        <v>55893.44041796105</v>
      </c>
      <c r="G76" s="45">
        <f t="shared" si="4"/>
        <v>71341.870428284397</v>
      </c>
    </row>
    <row r="77" spans="2:7" x14ac:dyDescent="0.25">
      <c r="B77" s="44">
        <v>66</v>
      </c>
      <c r="C77" s="49">
        <f t="shared" si="5"/>
        <v>0.06</v>
      </c>
      <c r="D77" s="50">
        <f t="shared" ref="D77:D140" si="6">IF(B77&gt;$C$5,0,E76*(C77/12/(1-(1+C77/12)^(-($C$5-B76)))))</f>
        <v>127235.3108462454</v>
      </c>
      <c r="E77" s="45">
        <f t="shared" si="3"/>
        <v>11035647.633383501</v>
      </c>
      <c r="F77" s="45">
        <f t="shared" ref="F77:F140" si="7">IF(B77&gt;$C$5,0,E76*C77/12)</f>
        <v>55536.731065819629</v>
      </c>
      <c r="G77" s="45">
        <f t="shared" si="4"/>
        <v>71698.57978042576</v>
      </c>
    </row>
    <row r="78" spans="2:7" x14ac:dyDescent="0.25">
      <c r="B78" s="44">
        <v>67</v>
      </c>
      <c r="C78" s="49">
        <f t="shared" si="5"/>
        <v>0.06</v>
      </c>
      <c r="D78" s="50">
        <f t="shared" si="6"/>
        <v>127235.31084624541</v>
      </c>
      <c r="E78" s="45">
        <f t="shared" ref="E78:E141" si="8">E77-G78</f>
        <v>10963590.560704174</v>
      </c>
      <c r="F78" s="45">
        <f t="shared" si="7"/>
        <v>55178.238166917501</v>
      </c>
      <c r="G78" s="45">
        <f t="shared" ref="G78:G141" si="9">D78-F78</f>
        <v>72057.072679327917</v>
      </c>
    </row>
    <row r="79" spans="2:7" x14ac:dyDescent="0.25">
      <c r="B79" s="44">
        <v>68</v>
      </c>
      <c r="C79" s="49">
        <f t="shared" si="5"/>
        <v>0.06</v>
      </c>
      <c r="D79" s="50">
        <f t="shared" si="6"/>
        <v>127235.31084624532</v>
      </c>
      <c r="E79" s="45">
        <f t="shared" si="8"/>
        <v>10891173.202661449</v>
      </c>
      <c r="F79" s="45">
        <f t="shared" si="7"/>
        <v>54817.952803520864</v>
      </c>
      <c r="G79" s="45">
        <f t="shared" si="9"/>
        <v>72417.35804272446</v>
      </c>
    </row>
    <row r="80" spans="2:7" x14ac:dyDescent="0.25">
      <c r="B80" s="44">
        <v>69</v>
      </c>
      <c r="C80" s="49">
        <f t="shared" si="5"/>
        <v>0.06</v>
      </c>
      <c r="D80" s="50">
        <f t="shared" si="6"/>
        <v>127235.31084624535</v>
      </c>
      <c r="E80" s="45">
        <f t="shared" si="8"/>
        <v>10818393.757828511</v>
      </c>
      <c r="F80" s="45">
        <f t="shared" si="7"/>
        <v>54455.866013307241</v>
      </c>
      <c r="G80" s="45">
        <f t="shared" si="9"/>
        <v>72779.444832938112</v>
      </c>
    </row>
    <row r="81" spans="2:7" x14ac:dyDescent="0.25">
      <c r="B81" s="44">
        <v>70</v>
      </c>
      <c r="C81" s="49">
        <f t="shared" si="5"/>
        <v>0.06</v>
      </c>
      <c r="D81" s="50">
        <f t="shared" si="6"/>
        <v>127235.31084624532</v>
      </c>
      <c r="E81" s="45">
        <f t="shared" si="8"/>
        <v>10745250.415771408</v>
      </c>
      <c r="F81" s="45">
        <f t="shared" si="7"/>
        <v>54091.968789142556</v>
      </c>
      <c r="G81" s="45">
        <f t="shared" si="9"/>
        <v>73143.342057102767</v>
      </c>
    </row>
    <row r="82" spans="2:7" x14ac:dyDescent="0.25">
      <c r="B82" s="44">
        <v>71</v>
      </c>
      <c r="C82" s="49">
        <f t="shared" si="5"/>
        <v>0.06</v>
      </c>
      <c r="D82" s="50">
        <f t="shared" si="6"/>
        <v>127235.31084624528</v>
      </c>
      <c r="E82" s="45">
        <f t="shared" si="8"/>
        <v>10671741.35700402</v>
      </c>
      <c r="F82" s="45">
        <f t="shared" si="7"/>
        <v>53726.25207885704</v>
      </c>
      <c r="G82" s="45">
        <f t="shared" si="9"/>
        <v>73509.05876738824</v>
      </c>
    </row>
    <row r="83" spans="2:7" x14ac:dyDescent="0.25">
      <c r="B83" s="44">
        <v>72</v>
      </c>
      <c r="C83" s="49">
        <f t="shared" si="5"/>
        <v>0.06</v>
      </c>
      <c r="D83" s="50">
        <f t="shared" si="6"/>
        <v>127235.31084624528</v>
      </c>
      <c r="E83" s="45">
        <f t="shared" si="8"/>
        <v>10597864.752942795</v>
      </c>
      <c r="F83" s="45">
        <f t="shared" si="7"/>
        <v>53358.706785020098</v>
      </c>
      <c r="G83" s="45">
        <f t="shared" si="9"/>
        <v>73876.604061225182</v>
      </c>
    </row>
    <row r="84" spans="2:7" x14ac:dyDescent="0.25">
      <c r="B84" s="44">
        <v>73</v>
      </c>
      <c r="C84" s="49">
        <f t="shared" si="5"/>
        <v>0.06</v>
      </c>
      <c r="D84" s="50">
        <f t="shared" si="6"/>
        <v>127235.31084624524</v>
      </c>
      <c r="E84" s="45">
        <f t="shared" si="8"/>
        <v>10523618.765861263</v>
      </c>
      <c r="F84" s="45">
        <f t="shared" si="7"/>
        <v>52989.323764713976</v>
      </c>
      <c r="G84" s="45">
        <f t="shared" si="9"/>
        <v>74245.987081531261</v>
      </c>
    </row>
    <row r="85" spans="2:7" x14ac:dyDescent="0.25">
      <c r="B85" s="44">
        <v>74</v>
      </c>
      <c r="C85" s="49">
        <f t="shared" si="5"/>
        <v>0.06</v>
      </c>
      <c r="D85" s="50">
        <f t="shared" si="6"/>
        <v>127235.31084624516</v>
      </c>
      <c r="E85" s="45">
        <f t="shared" si="8"/>
        <v>10449001.548844324</v>
      </c>
      <c r="F85" s="45">
        <f t="shared" si="7"/>
        <v>52618.093829306315</v>
      </c>
      <c r="G85" s="45">
        <f t="shared" si="9"/>
        <v>74617.217016938841</v>
      </c>
    </row>
    <row r="86" spans="2:7" x14ac:dyDescent="0.25">
      <c r="B86" s="44">
        <v>75</v>
      </c>
      <c r="C86" s="49">
        <f t="shared" si="5"/>
        <v>0.06</v>
      </c>
      <c r="D86" s="50">
        <f t="shared" si="6"/>
        <v>127235.31084624516</v>
      </c>
      <c r="E86" s="45">
        <f t="shared" si="8"/>
        <v>10374011.245742301</v>
      </c>
      <c r="F86" s="45">
        <f t="shared" si="7"/>
        <v>52245.007744221621</v>
      </c>
      <c r="G86" s="45">
        <f t="shared" si="9"/>
        <v>74990.30310202355</v>
      </c>
    </row>
    <row r="87" spans="2:7" x14ac:dyDescent="0.25">
      <c r="B87" s="44">
        <v>76</v>
      </c>
      <c r="C87" s="49">
        <f t="shared" si="5"/>
        <v>0.06</v>
      </c>
      <c r="D87" s="50">
        <f t="shared" si="6"/>
        <v>127235.31084624513</v>
      </c>
      <c r="E87" s="45">
        <f t="shared" si="8"/>
        <v>10298645.991124768</v>
      </c>
      <c r="F87" s="45">
        <f t="shared" si="7"/>
        <v>51870.056228711503</v>
      </c>
      <c r="G87" s="45">
        <f t="shared" si="9"/>
        <v>75365.254617533632</v>
      </c>
    </row>
    <row r="88" spans="2:7" x14ac:dyDescent="0.25">
      <c r="B88" s="44">
        <v>77</v>
      </c>
      <c r="C88" s="49">
        <f t="shared" si="5"/>
        <v>0.06</v>
      </c>
      <c r="D88" s="50">
        <f t="shared" si="6"/>
        <v>127235.31084624511</v>
      </c>
      <c r="E88" s="45">
        <f t="shared" si="8"/>
        <v>10222903.910234146</v>
      </c>
      <c r="F88" s="45">
        <f t="shared" si="7"/>
        <v>51493.229955623836</v>
      </c>
      <c r="G88" s="45">
        <f t="shared" si="9"/>
        <v>75742.080890621262</v>
      </c>
    </row>
    <row r="89" spans="2:7" x14ac:dyDescent="0.25">
      <c r="B89" s="44">
        <v>78</v>
      </c>
      <c r="C89" s="49">
        <f t="shared" si="5"/>
        <v>0.06</v>
      </c>
      <c r="D89" s="50">
        <f t="shared" si="6"/>
        <v>127235.31084624506</v>
      </c>
      <c r="E89" s="45">
        <f t="shared" si="8"/>
        <v>10146783.118939072</v>
      </c>
      <c r="F89" s="45">
        <f t="shared" si="7"/>
        <v>51114.519551170728</v>
      </c>
      <c r="G89" s="45">
        <f t="shared" si="9"/>
        <v>76120.791295074334</v>
      </c>
    </row>
    <row r="90" spans="2:7" x14ac:dyDescent="0.25">
      <c r="B90" s="44">
        <v>79</v>
      </c>
      <c r="C90" s="49">
        <f t="shared" si="5"/>
        <v>0.06</v>
      </c>
      <c r="D90" s="50">
        <f t="shared" si="6"/>
        <v>127235.31084624506</v>
      </c>
      <c r="E90" s="45">
        <f t="shared" si="8"/>
        <v>10070281.723687522</v>
      </c>
      <c r="F90" s="45">
        <f t="shared" si="7"/>
        <v>50733.915594695362</v>
      </c>
      <c r="G90" s="45">
        <f t="shared" si="9"/>
        <v>76501.395251549693</v>
      </c>
    </row>
    <row r="91" spans="2:7" x14ac:dyDescent="0.25">
      <c r="B91" s="44">
        <v>80</v>
      </c>
      <c r="C91" s="49">
        <f t="shared" si="5"/>
        <v>0.06</v>
      </c>
      <c r="D91" s="50">
        <f t="shared" si="6"/>
        <v>127235.31084624505</v>
      </c>
      <c r="E91" s="45">
        <f t="shared" si="8"/>
        <v>9993397.8214597143</v>
      </c>
      <c r="F91" s="45">
        <f t="shared" si="7"/>
        <v>50351.408618437614</v>
      </c>
      <c r="G91" s="45">
        <f t="shared" si="9"/>
        <v>76883.902227807441</v>
      </c>
    </row>
    <row r="92" spans="2:7" x14ac:dyDescent="0.25">
      <c r="B92" s="44">
        <v>81</v>
      </c>
      <c r="C92" s="49">
        <f t="shared" si="5"/>
        <v>0.06</v>
      </c>
      <c r="D92" s="50">
        <f t="shared" si="6"/>
        <v>127235.31084624499</v>
      </c>
      <c r="E92" s="45">
        <f t="shared" si="8"/>
        <v>9916129.4997207671</v>
      </c>
      <c r="F92" s="45">
        <f t="shared" si="7"/>
        <v>49966.98910729857</v>
      </c>
      <c r="G92" s="45">
        <f t="shared" si="9"/>
        <v>77268.321738946426</v>
      </c>
    </row>
    <row r="93" spans="2:7" x14ac:dyDescent="0.25">
      <c r="B93" s="44">
        <v>82</v>
      </c>
      <c r="C93" s="49">
        <f t="shared" si="5"/>
        <v>0.06</v>
      </c>
      <c r="D93" s="50">
        <f t="shared" si="6"/>
        <v>127235.31084624492</v>
      </c>
      <c r="E93" s="45">
        <f t="shared" si="8"/>
        <v>9838474.8363731261</v>
      </c>
      <c r="F93" s="45">
        <f t="shared" si="7"/>
        <v>49580.64749860383</v>
      </c>
      <c r="G93" s="45">
        <f t="shared" si="9"/>
        <v>77654.663347641093</v>
      </c>
    </row>
    <row r="94" spans="2:7" x14ac:dyDescent="0.25">
      <c r="B94" s="44">
        <v>83</v>
      </c>
      <c r="C94" s="49">
        <f t="shared" si="5"/>
        <v>0.06</v>
      </c>
      <c r="D94" s="50">
        <f t="shared" si="6"/>
        <v>127235.31084624492</v>
      </c>
      <c r="E94" s="45">
        <f t="shared" si="8"/>
        <v>9760431.899708746</v>
      </c>
      <c r="F94" s="45">
        <f t="shared" si="7"/>
        <v>49192.374181865627</v>
      </c>
      <c r="G94" s="45">
        <f t="shared" si="9"/>
        <v>78042.936664379289</v>
      </c>
    </row>
    <row r="95" spans="2:7" x14ac:dyDescent="0.25">
      <c r="B95" s="44">
        <v>84</v>
      </c>
      <c r="C95" s="49">
        <f t="shared" si="5"/>
        <v>0.06</v>
      </c>
      <c r="D95" s="50">
        <f t="shared" si="6"/>
        <v>127235.31084624487</v>
      </c>
      <c r="E95" s="45">
        <f t="shared" si="8"/>
        <v>9681998.7483610455</v>
      </c>
      <c r="F95" s="45">
        <f t="shared" si="7"/>
        <v>48802.159498543733</v>
      </c>
      <c r="G95" s="45">
        <f t="shared" si="9"/>
        <v>78433.151347701147</v>
      </c>
    </row>
    <row r="96" spans="2:7" x14ac:dyDescent="0.25">
      <c r="B96" s="44">
        <v>85</v>
      </c>
      <c r="C96" s="49">
        <f t="shared" si="5"/>
        <v>0.06</v>
      </c>
      <c r="D96" s="50">
        <f t="shared" si="6"/>
        <v>127235.31084624487</v>
      </c>
      <c r="E96" s="45">
        <f t="shared" si="8"/>
        <v>9603173.4312566053</v>
      </c>
      <c r="F96" s="45">
        <f t="shared" si="7"/>
        <v>48409.993741805229</v>
      </c>
      <c r="G96" s="45">
        <f t="shared" si="9"/>
        <v>78825.317104439644</v>
      </c>
    </row>
    <row r="97" spans="2:7" x14ac:dyDescent="0.25">
      <c r="B97" s="44">
        <v>86</v>
      </c>
      <c r="C97" s="49">
        <f t="shared" si="5"/>
        <v>0.06</v>
      </c>
      <c r="D97" s="50">
        <f t="shared" si="6"/>
        <v>127235.31084624484</v>
      </c>
      <c r="E97" s="45">
        <f t="shared" si="8"/>
        <v>9523953.9875666443</v>
      </c>
      <c r="F97" s="45">
        <f t="shared" si="7"/>
        <v>48015.867156283028</v>
      </c>
      <c r="G97" s="45">
        <f t="shared" si="9"/>
        <v>79219.443689961816</v>
      </c>
    </row>
    <row r="98" spans="2:7" x14ac:dyDescent="0.25">
      <c r="B98" s="44">
        <v>87</v>
      </c>
      <c r="C98" s="49">
        <f t="shared" si="5"/>
        <v>0.06</v>
      </c>
      <c r="D98" s="50">
        <f t="shared" si="6"/>
        <v>127235.31084624479</v>
      </c>
      <c r="E98" s="45">
        <f t="shared" si="8"/>
        <v>9444338.4466582332</v>
      </c>
      <c r="F98" s="45">
        <f t="shared" si="7"/>
        <v>47619.769937833218</v>
      </c>
      <c r="G98" s="45">
        <f t="shared" si="9"/>
        <v>79615.540908411567</v>
      </c>
    </row>
    <row r="99" spans="2:7" x14ac:dyDescent="0.25">
      <c r="B99" s="44">
        <v>88</v>
      </c>
      <c r="C99" s="49">
        <f t="shared" si="5"/>
        <v>0.06</v>
      </c>
      <c r="D99" s="50">
        <f t="shared" si="6"/>
        <v>127235.31084624474</v>
      </c>
      <c r="E99" s="45">
        <f t="shared" si="8"/>
        <v>9364324.8280452788</v>
      </c>
      <c r="F99" s="45">
        <f t="shared" si="7"/>
        <v>47221.692233291164</v>
      </c>
      <c r="G99" s="45">
        <f t="shared" si="9"/>
        <v>80013.618612953578</v>
      </c>
    </row>
    <row r="100" spans="2:7" x14ac:dyDescent="0.25">
      <c r="B100" s="44">
        <v>89</v>
      </c>
      <c r="C100" s="49">
        <f t="shared" si="5"/>
        <v>0.06</v>
      </c>
      <c r="D100" s="50">
        <f t="shared" si="6"/>
        <v>127235.3108462447</v>
      </c>
      <c r="E100" s="45">
        <f t="shared" si="8"/>
        <v>9283911.1413392611</v>
      </c>
      <c r="F100" s="45">
        <f t="shared" si="7"/>
        <v>46821.624140226391</v>
      </c>
      <c r="G100" s="45">
        <f t="shared" si="9"/>
        <v>80413.686706018314</v>
      </c>
    </row>
    <row r="101" spans="2:7" x14ac:dyDescent="0.25">
      <c r="B101" s="44">
        <v>90</v>
      </c>
      <c r="C101" s="49">
        <f t="shared" si="5"/>
        <v>0.06</v>
      </c>
      <c r="D101" s="50">
        <f t="shared" si="6"/>
        <v>127235.31084624468</v>
      </c>
      <c r="E101" s="45">
        <f t="shared" si="8"/>
        <v>9203095.3861997128</v>
      </c>
      <c r="F101" s="45">
        <f t="shared" si="7"/>
        <v>46419.555706696301</v>
      </c>
      <c r="G101" s="45">
        <f t="shared" si="9"/>
        <v>80815.75513954839</v>
      </c>
    </row>
    <row r="102" spans="2:7" x14ac:dyDescent="0.25">
      <c r="B102" s="44">
        <v>91</v>
      </c>
      <c r="C102" s="49">
        <f t="shared" si="5"/>
        <v>0.06</v>
      </c>
      <c r="D102" s="50">
        <f t="shared" si="6"/>
        <v>127235.31084624464</v>
      </c>
      <c r="E102" s="45">
        <f t="shared" si="8"/>
        <v>9121875.5522844661</v>
      </c>
      <c r="F102" s="45">
        <f t="shared" si="7"/>
        <v>46015.476930998564</v>
      </c>
      <c r="G102" s="45">
        <f t="shared" si="9"/>
        <v>81219.833915246068</v>
      </c>
    </row>
    <row r="103" spans="2:7" x14ac:dyDescent="0.25">
      <c r="B103" s="44">
        <v>92</v>
      </c>
      <c r="C103" s="49">
        <f t="shared" si="5"/>
        <v>0.06</v>
      </c>
      <c r="D103" s="50">
        <f t="shared" si="6"/>
        <v>127235.31084624458</v>
      </c>
      <c r="E103" s="45">
        <f t="shared" si="8"/>
        <v>9040249.6191996448</v>
      </c>
      <c r="F103" s="45">
        <f t="shared" si="7"/>
        <v>45609.377761422329</v>
      </c>
      <c r="G103" s="45">
        <f t="shared" si="9"/>
        <v>81625.93308482226</v>
      </c>
    </row>
    <row r="104" spans="2:7" x14ac:dyDescent="0.25">
      <c r="B104" s="44">
        <v>93</v>
      </c>
      <c r="C104" s="49">
        <f t="shared" si="5"/>
        <v>0.06</v>
      </c>
      <c r="D104" s="50">
        <f t="shared" si="6"/>
        <v>127235.31084624457</v>
      </c>
      <c r="E104" s="45">
        <f t="shared" si="8"/>
        <v>8958215.5564493984</v>
      </c>
      <c r="F104" s="45">
        <f t="shared" si="7"/>
        <v>45201.24809599822</v>
      </c>
      <c r="G104" s="45">
        <f t="shared" si="9"/>
        <v>82034.062750246347</v>
      </c>
    </row>
    <row r="105" spans="2:7" x14ac:dyDescent="0.25">
      <c r="B105" s="44">
        <v>94</v>
      </c>
      <c r="C105" s="49">
        <f t="shared" si="5"/>
        <v>0.06</v>
      </c>
      <c r="D105" s="50">
        <f t="shared" si="6"/>
        <v>127235.31084624463</v>
      </c>
      <c r="E105" s="45">
        <f t="shared" si="8"/>
        <v>8875771.3233854007</v>
      </c>
      <c r="F105" s="45">
        <f t="shared" si="7"/>
        <v>44791.07778224699</v>
      </c>
      <c r="G105" s="45">
        <f t="shared" si="9"/>
        <v>82444.233063997643</v>
      </c>
    </row>
    <row r="106" spans="2:7" x14ac:dyDescent="0.25">
      <c r="B106" s="44">
        <v>95</v>
      </c>
      <c r="C106" s="49">
        <f t="shared" si="5"/>
        <v>0.06</v>
      </c>
      <c r="D106" s="50">
        <f t="shared" si="6"/>
        <v>127235.31084624452</v>
      </c>
      <c r="E106" s="45">
        <f t="shared" si="8"/>
        <v>8792914.8691560831</v>
      </c>
      <c r="F106" s="45">
        <f t="shared" si="7"/>
        <v>44378.856616926998</v>
      </c>
      <c r="G106" s="45">
        <f t="shared" si="9"/>
        <v>82856.454229317518</v>
      </c>
    </row>
    <row r="107" spans="2:7" x14ac:dyDescent="0.25">
      <c r="B107" s="44">
        <v>96</v>
      </c>
      <c r="C107" s="49">
        <f t="shared" si="5"/>
        <v>0.06</v>
      </c>
      <c r="D107" s="50">
        <f t="shared" si="6"/>
        <v>127235.31084624451</v>
      </c>
      <c r="E107" s="45">
        <f t="shared" si="8"/>
        <v>8709644.1326556187</v>
      </c>
      <c r="F107" s="45">
        <f t="shared" si="7"/>
        <v>43964.574345780413</v>
      </c>
      <c r="G107" s="45">
        <f t="shared" si="9"/>
        <v>83270.736500464089</v>
      </c>
    </row>
    <row r="108" spans="2:7" x14ac:dyDescent="0.25">
      <c r="B108" s="44">
        <v>97</v>
      </c>
      <c r="C108" s="49">
        <f t="shared" si="5"/>
        <v>0.06</v>
      </c>
      <c r="D108" s="50">
        <f t="shared" si="6"/>
        <v>127235.31084624439</v>
      </c>
      <c r="E108" s="45">
        <f t="shared" si="8"/>
        <v>8625957.0424726531</v>
      </c>
      <c r="F108" s="45">
        <f t="shared" si="7"/>
        <v>43548.220663278094</v>
      </c>
      <c r="G108" s="45">
        <f t="shared" si="9"/>
        <v>83687.090182966291</v>
      </c>
    </row>
    <row r="109" spans="2:7" x14ac:dyDescent="0.25">
      <c r="B109" s="44">
        <v>98</v>
      </c>
      <c r="C109" s="49">
        <f t="shared" si="5"/>
        <v>0.06</v>
      </c>
      <c r="D109" s="50">
        <f t="shared" si="6"/>
        <v>127235.31084624442</v>
      </c>
      <c r="E109" s="45">
        <f t="shared" si="8"/>
        <v>8541851.5168387722</v>
      </c>
      <c r="F109" s="45">
        <f t="shared" si="7"/>
        <v>43129.785212363262</v>
      </c>
      <c r="G109" s="45">
        <f t="shared" si="9"/>
        <v>84105.52563388116</v>
      </c>
    </row>
    <row r="110" spans="2:7" x14ac:dyDescent="0.25">
      <c r="B110" s="44">
        <v>99</v>
      </c>
      <c r="C110" s="49">
        <f t="shared" si="5"/>
        <v>0.06</v>
      </c>
      <c r="D110" s="50">
        <f t="shared" si="6"/>
        <v>127235.31084624436</v>
      </c>
      <c r="E110" s="45">
        <f t="shared" si="8"/>
        <v>8457325.463576721</v>
      </c>
      <c r="F110" s="45">
        <f t="shared" si="7"/>
        <v>42709.25758419386</v>
      </c>
      <c r="G110" s="45">
        <f t="shared" si="9"/>
        <v>84526.053262050496</v>
      </c>
    </row>
    <row r="111" spans="2:7" x14ac:dyDescent="0.25">
      <c r="B111" s="44">
        <v>100</v>
      </c>
      <c r="C111" s="49">
        <f t="shared" si="5"/>
        <v>0.06</v>
      </c>
      <c r="D111" s="50">
        <f t="shared" si="6"/>
        <v>127235.31084624429</v>
      </c>
      <c r="E111" s="45">
        <f t="shared" si="8"/>
        <v>8372376.7800483601</v>
      </c>
      <c r="F111" s="45">
        <f t="shared" si="7"/>
        <v>42286.627317883605</v>
      </c>
      <c r="G111" s="45">
        <f t="shared" si="9"/>
        <v>84948.683528360678</v>
      </c>
    </row>
    <row r="112" spans="2:7" x14ac:dyDescent="0.25">
      <c r="B112" s="44">
        <v>101</v>
      </c>
      <c r="C112" s="49">
        <f t="shared" si="5"/>
        <v>0.06</v>
      </c>
      <c r="D112" s="50">
        <f t="shared" si="6"/>
        <v>127235.31084624428</v>
      </c>
      <c r="E112" s="45">
        <f t="shared" si="8"/>
        <v>8287003.3531023581</v>
      </c>
      <c r="F112" s="45">
        <f t="shared" si="7"/>
        <v>41861.883900241803</v>
      </c>
      <c r="G112" s="45">
        <f t="shared" si="9"/>
        <v>85373.426946002466</v>
      </c>
    </row>
    <row r="113" spans="2:7" x14ac:dyDescent="0.25">
      <c r="B113" s="44">
        <v>102</v>
      </c>
      <c r="C113" s="49">
        <f t="shared" si="5"/>
        <v>0.06</v>
      </c>
      <c r="D113" s="50">
        <f t="shared" si="6"/>
        <v>127235.31084624426</v>
      </c>
      <c r="E113" s="45">
        <f t="shared" si="8"/>
        <v>8201203.0590216257</v>
      </c>
      <c r="F113" s="45">
        <f t="shared" si="7"/>
        <v>41435.016765511791</v>
      </c>
      <c r="G113" s="45">
        <f t="shared" si="9"/>
        <v>85800.294080732478</v>
      </c>
    </row>
    <row r="114" spans="2:7" x14ac:dyDescent="0.25">
      <c r="B114" s="44">
        <v>103</v>
      </c>
      <c r="C114" s="49">
        <f t="shared" si="5"/>
        <v>0.06</v>
      </c>
      <c r="D114" s="50">
        <f t="shared" si="6"/>
        <v>127235.31084624423</v>
      </c>
      <c r="E114" s="45">
        <f t="shared" si="8"/>
        <v>8114973.7634704895</v>
      </c>
      <c r="F114" s="45">
        <f t="shared" si="7"/>
        <v>41006.015295108125</v>
      </c>
      <c r="G114" s="45">
        <f t="shared" si="9"/>
        <v>86229.295551136107</v>
      </c>
    </row>
    <row r="115" spans="2:7" x14ac:dyDescent="0.25">
      <c r="B115" s="44">
        <v>104</v>
      </c>
      <c r="C115" s="49">
        <f t="shared" si="5"/>
        <v>0.06</v>
      </c>
      <c r="D115" s="50">
        <f t="shared" si="6"/>
        <v>127235.31084624417</v>
      </c>
      <c r="E115" s="45">
        <f t="shared" si="8"/>
        <v>8028313.3214415982</v>
      </c>
      <c r="F115" s="45">
        <f t="shared" si="7"/>
        <v>40574.86881735245</v>
      </c>
      <c r="G115" s="45">
        <f t="shared" si="9"/>
        <v>86660.442028891732</v>
      </c>
    </row>
    <row r="116" spans="2:7" x14ac:dyDescent="0.25">
      <c r="B116" s="44">
        <v>105</v>
      </c>
      <c r="C116" s="49">
        <f t="shared" si="5"/>
        <v>0.06</v>
      </c>
      <c r="D116" s="50">
        <f t="shared" si="6"/>
        <v>127235.31084624416</v>
      </c>
      <c r="E116" s="45">
        <f t="shared" si="8"/>
        <v>7941219.5772025622</v>
      </c>
      <c r="F116" s="45">
        <f t="shared" si="7"/>
        <v>40141.566607207991</v>
      </c>
      <c r="G116" s="45">
        <f t="shared" si="9"/>
        <v>87093.744239036168</v>
      </c>
    </row>
    <row r="117" spans="2:7" x14ac:dyDescent="0.25">
      <c r="B117" s="44">
        <v>106</v>
      </c>
      <c r="C117" s="49">
        <f t="shared" si="5"/>
        <v>0.06</v>
      </c>
      <c r="D117" s="50">
        <f t="shared" si="6"/>
        <v>127235.31084624409</v>
      </c>
      <c r="E117" s="45">
        <f t="shared" si="8"/>
        <v>7853690.3642423311</v>
      </c>
      <c r="F117" s="45">
        <f t="shared" si="7"/>
        <v>39706.097886012809</v>
      </c>
      <c r="G117" s="45">
        <f t="shared" si="9"/>
        <v>87529.212960231278</v>
      </c>
    </row>
    <row r="118" spans="2:7" x14ac:dyDescent="0.25">
      <c r="B118" s="44">
        <v>107</v>
      </c>
      <c r="C118" s="49">
        <f t="shared" si="5"/>
        <v>0.06</v>
      </c>
      <c r="D118" s="50">
        <f t="shared" si="6"/>
        <v>127235.31084624403</v>
      </c>
      <c r="E118" s="45">
        <f t="shared" si="8"/>
        <v>7765723.5052172989</v>
      </c>
      <c r="F118" s="45">
        <f t="shared" si="7"/>
        <v>39268.451821211653</v>
      </c>
      <c r="G118" s="45">
        <f t="shared" si="9"/>
        <v>87966.859025032376</v>
      </c>
    </row>
    <row r="119" spans="2:7" x14ac:dyDescent="0.25">
      <c r="B119" s="44">
        <v>108</v>
      </c>
      <c r="C119" s="49">
        <f t="shared" si="5"/>
        <v>0.06</v>
      </c>
      <c r="D119" s="50">
        <f t="shared" si="6"/>
        <v>127235.31084624396</v>
      </c>
      <c r="E119" s="45">
        <f t="shared" si="8"/>
        <v>7677316.8118971419</v>
      </c>
      <c r="F119" s="45">
        <f t="shared" si="7"/>
        <v>38828.617526086491</v>
      </c>
      <c r="G119" s="45">
        <f t="shared" si="9"/>
        <v>88406.693320157472</v>
      </c>
    </row>
    <row r="120" spans="2:7" x14ac:dyDescent="0.25">
      <c r="B120" s="44">
        <v>109</v>
      </c>
      <c r="C120" s="49">
        <f t="shared" si="5"/>
        <v>0.06</v>
      </c>
      <c r="D120" s="50">
        <f t="shared" si="6"/>
        <v>127235.31084624396</v>
      </c>
      <c r="E120" s="45">
        <f t="shared" si="8"/>
        <v>7588468.085110384</v>
      </c>
      <c r="F120" s="45">
        <f t="shared" si="7"/>
        <v>38386.584059485707</v>
      </c>
      <c r="G120" s="45">
        <f t="shared" si="9"/>
        <v>88848.726786758256</v>
      </c>
    </row>
    <row r="121" spans="2:7" x14ac:dyDescent="0.25">
      <c r="B121" s="44">
        <v>110</v>
      </c>
      <c r="C121" s="49">
        <f t="shared" si="5"/>
        <v>0.06</v>
      </c>
      <c r="D121" s="50">
        <f t="shared" si="6"/>
        <v>127235.31084624394</v>
      </c>
      <c r="E121" s="45">
        <f t="shared" si="8"/>
        <v>7499175.1146896919</v>
      </c>
      <c r="F121" s="45">
        <f t="shared" si="7"/>
        <v>37942.34042555192</v>
      </c>
      <c r="G121" s="45">
        <f t="shared" si="9"/>
        <v>89292.970420692029</v>
      </c>
    </row>
    <row r="122" spans="2:7" x14ac:dyDescent="0.25">
      <c r="B122" s="44">
        <v>111</v>
      </c>
      <c r="C122" s="49">
        <f t="shared" si="5"/>
        <v>0.06</v>
      </c>
      <c r="D122" s="50">
        <f t="shared" si="6"/>
        <v>127235.31084624393</v>
      </c>
      <c r="E122" s="45">
        <f t="shared" si="8"/>
        <v>7409435.6794168968</v>
      </c>
      <c r="F122" s="45">
        <f t="shared" si="7"/>
        <v>37495.875573448458</v>
      </c>
      <c r="G122" s="45">
        <f t="shared" si="9"/>
        <v>89739.435272795468</v>
      </c>
    </row>
    <row r="123" spans="2:7" x14ac:dyDescent="0.25">
      <c r="B123" s="44">
        <v>112</v>
      </c>
      <c r="C123" s="49">
        <f t="shared" si="5"/>
        <v>0.06</v>
      </c>
      <c r="D123" s="50">
        <f t="shared" si="6"/>
        <v>127235.31084624385</v>
      </c>
      <c r="E123" s="45">
        <f t="shared" si="8"/>
        <v>7319247.5469677374</v>
      </c>
      <c r="F123" s="45">
        <f t="shared" si="7"/>
        <v>37047.178397084484</v>
      </c>
      <c r="G123" s="45">
        <f t="shared" si="9"/>
        <v>90188.13244915937</v>
      </c>
    </row>
    <row r="124" spans="2:7" x14ac:dyDescent="0.25">
      <c r="B124" s="44">
        <v>113</v>
      </c>
      <c r="C124" s="49">
        <f t="shared" si="5"/>
        <v>0.06</v>
      </c>
      <c r="D124" s="50">
        <f t="shared" si="6"/>
        <v>127235.31084624381</v>
      </c>
      <c r="E124" s="45">
        <f t="shared" si="8"/>
        <v>7228608.4738563318</v>
      </c>
      <c r="F124" s="45">
        <f t="shared" si="7"/>
        <v>36596.237734838687</v>
      </c>
      <c r="G124" s="45">
        <f t="shared" si="9"/>
        <v>90639.07311140513</v>
      </c>
    </row>
    <row r="125" spans="2:7" x14ac:dyDescent="0.25">
      <c r="B125" s="44">
        <v>114</v>
      </c>
      <c r="C125" s="49">
        <f t="shared" si="5"/>
        <v>0.06</v>
      </c>
      <c r="D125" s="50">
        <f t="shared" si="6"/>
        <v>127235.31084624371</v>
      </c>
      <c r="E125" s="45">
        <f t="shared" si="8"/>
        <v>7137516.2053793697</v>
      </c>
      <c r="F125" s="45">
        <f t="shared" si="7"/>
        <v>36143.042369281662</v>
      </c>
      <c r="G125" s="45">
        <f t="shared" si="9"/>
        <v>91092.268476962054</v>
      </c>
    </row>
    <row r="126" spans="2:7" x14ac:dyDescent="0.25">
      <c r="B126" s="44">
        <v>115</v>
      </c>
      <c r="C126" s="49">
        <f t="shared" si="5"/>
        <v>0.06</v>
      </c>
      <c r="D126" s="50">
        <f t="shared" si="6"/>
        <v>127235.31084624371</v>
      </c>
      <c r="E126" s="45">
        <f t="shared" si="8"/>
        <v>7045968.4755600225</v>
      </c>
      <c r="F126" s="45">
        <f t="shared" si="7"/>
        <v>35687.581026896849</v>
      </c>
      <c r="G126" s="45">
        <f t="shared" si="9"/>
        <v>91547.72981934686</v>
      </c>
    </row>
    <row r="127" spans="2:7" x14ac:dyDescent="0.25">
      <c r="B127" s="44">
        <v>116</v>
      </c>
      <c r="C127" s="49">
        <f t="shared" si="5"/>
        <v>0.06</v>
      </c>
      <c r="D127" s="50">
        <f t="shared" si="6"/>
        <v>127235.31084624362</v>
      </c>
      <c r="E127" s="45">
        <f t="shared" si="8"/>
        <v>6953963.007091579</v>
      </c>
      <c r="F127" s="45">
        <f t="shared" si="7"/>
        <v>35229.842377800109</v>
      </c>
      <c r="G127" s="45">
        <f t="shared" si="9"/>
        <v>92005.46846844352</v>
      </c>
    </row>
    <row r="128" spans="2:7" x14ac:dyDescent="0.25">
      <c r="B128" s="44">
        <v>117</v>
      </c>
      <c r="C128" s="49">
        <f t="shared" si="5"/>
        <v>0.06</v>
      </c>
      <c r="D128" s="50">
        <f t="shared" si="6"/>
        <v>127235.31084624358</v>
      </c>
      <c r="E128" s="45">
        <f t="shared" si="8"/>
        <v>6861497.5112807937</v>
      </c>
      <c r="F128" s="45">
        <f t="shared" si="7"/>
        <v>34769.81503545789</v>
      </c>
      <c r="G128" s="45">
        <f t="shared" si="9"/>
        <v>92465.49581078568</v>
      </c>
    </row>
    <row r="129" spans="2:7" x14ac:dyDescent="0.25">
      <c r="B129" s="44">
        <v>118</v>
      </c>
      <c r="C129" s="49">
        <f t="shared" si="5"/>
        <v>0.06</v>
      </c>
      <c r="D129" s="50">
        <f t="shared" si="6"/>
        <v>127235.31084624355</v>
      </c>
      <c r="E129" s="45">
        <f t="shared" si="8"/>
        <v>6768569.6879909541</v>
      </c>
      <c r="F129" s="45">
        <f t="shared" si="7"/>
        <v>34307.487556403968</v>
      </c>
      <c r="G129" s="45">
        <f t="shared" si="9"/>
        <v>92927.82328983958</v>
      </c>
    </row>
    <row r="130" spans="2:7" x14ac:dyDescent="0.25">
      <c r="B130" s="44">
        <v>119</v>
      </c>
      <c r="C130" s="49">
        <f t="shared" si="5"/>
        <v>0.06</v>
      </c>
      <c r="D130" s="50">
        <f t="shared" si="6"/>
        <v>127235.31084624353</v>
      </c>
      <c r="E130" s="45">
        <f t="shared" si="8"/>
        <v>6675177.2255846653</v>
      </c>
      <c r="F130" s="45">
        <f t="shared" si="7"/>
        <v>33842.848439954767</v>
      </c>
      <c r="G130" s="45">
        <f t="shared" si="9"/>
        <v>93392.462406288774</v>
      </c>
    </row>
    <row r="131" spans="2:7" x14ac:dyDescent="0.25">
      <c r="B131" s="44">
        <v>120</v>
      </c>
      <c r="C131" s="49">
        <f t="shared" si="5"/>
        <v>0.06</v>
      </c>
      <c r="D131" s="50">
        <f t="shared" si="6"/>
        <v>127235.31084624342</v>
      </c>
      <c r="E131" s="45">
        <f t="shared" si="8"/>
        <v>6581317.8008663449</v>
      </c>
      <c r="F131" s="45">
        <f t="shared" si="7"/>
        <v>33375.886127923324</v>
      </c>
      <c r="G131" s="45">
        <f t="shared" si="9"/>
        <v>93859.424718320093</v>
      </c>
    </row>
    <row r="132" spans="2:7" x14ac:dyDescent="0.25">
      <c r="B132" s="44">
        <v>121</v>
      </c>
      <c r="C132" s="49">
        <f t="shared" si="5"/>
        <v>0.06</v>
      </c>
      <c r="D132" s="50">
        <f t="shared" si="6"/>
        <v>127235.31084624339</v>
      </c>
      <c r="E132" s="45">
        <f t="shared" si="8"/>
        <v>6486989.0790244332</v>
      </c>
      <c r="F132" s="45">
        <f t="shared" si="7"/>
        <v>32906.589004331727</v>
      </c>
      <c r="G132" s="45">
        <f t="shared" si="9"/>
        <v>94328.721841911669</v>
      </c>
    </row>
    <row r="133" spans="2:7" x14ac:dyDescent="0.25">
      <c r="B133" s="44">
        <v>122</v>
      </c>
      <c r="C133" s="49">
        <f t="shared" si="5"/>
        <v>0.06</v>
      </c>
      <c r="D133" s="50">
        <f t="shared" si="6"/>
        <v>127235.31084624334</v>
      </c>
      <c r="E133" s="45">
        <f t="shared" si="8"/>
        <v>6392188.7135733124</v>
      </c>
      <c r="F133" s="45">
        <f t="shared" si="7"/>
        <v>32434.945395122166</v>
      </c>
      <c r="G133" s="45">
        <f t="shared" si="9"/>
        <v>94800.365451121179</v>
      </c>
    </row>
    <row r="134" spans="2:7" x14ac:dyDescent="0.25">
      <c r="B134" s="44">
        <v>123</v>
      </c>
      <c r="C134" s="49">
        <f t="shared" si="5"/>
        <v>0.06</v>
      </c>
      <c r="D134" s="50">
        <f t="shared" si="6"/>
        <v>127235.31084624327</v>
      </c>
      <c r="E134" s="45">
        <f t="shared" si="8"/>
        <v>6296914.3462949358</v>
      </c>
      <c r="F134" s="45">
        <f t="shared" si="7"/>
        <v>31960.943567866561</v>
      </c>
      <c r="G134" s="45">
        <f t="shared" si="9"/>
        <v>95274.367278376711</v>
      </c>
    </row>
    <row r="135" spans="2:7" x14ac:dyDescent="0.25">
      <c r="B135" s="44">
        <v>124</v>
      </c>
      <c r="C135" s="49">
        <f t="shared" si="5"/>
        <v>0.06</v>
      </c>
      <c r="D135" s="50">
        <f t="shared" si="6"/>
        <v>127235.31084624318</v>
      </c>
      <c r="E135" s="45">
        <f t="shared" si="8"/>
        <v>6201163.607180167</v>
      </c>
      <c r="F135" s="45">
        <f t="shared" si="7"/>
        <v>31484.571731474676</v>
      </c>
      <c r="G135" s="45">
        <f t="shared" si="9"/>
        <v>95750.739114768512</v>
      </c>
    </row>
    <row r="136" spans="2:7" x14ac:dyDescent="0.25">
      <c r="B136" s="44">
        <v>125</v>
      </c>
      <c r="C136" s="49">
        <f t="shared" si="5"/>
        <v>0.06</v>
      </c>
      <c r="D136" s="50">
        <f t="shared" si="6"/>
        <v>127235.31084624308</v>
      </c>
      <c r="E136" s="45">
        <f t="shared" si="8"/>
        <v>6104934.1143698245</v>
      </c>
      <c r="F136" s="45">
        <f t="shared" si="7"/>
        <v>31005.818035900837</v>
      </c>
      <c r="G136" s="45">
        <f t="shared" si="9"/>
        <v>96229.492810342243</v>
      </c>
    </row>
    <row r="137" spans="2:7" x14ac:dyDescent="0.25">
      <c r="B137" s="44">
        <v>126</v>
      </c>
      <c r="C137" s="49">
        <f t="shared" si="5"/>
        <v>0.06</v>
      </c>
      <c r="D137" s="50">
        <f t="shared" si="6"/>
        <v>127235.31084624313</v>
      </c>
      <c r="E137" s="45">
        <f t="shared" si="8"/>
        <v>6008223.4740954302</v>
      </c>
      <c r="F137" s="45">
        <f t="shared" si="7"/>
        <v>30524.670571849125</v>
      </c>
      <c r="G137" s="45">
        <f t="shared" si="9"/>
        <v>96710.640274393998</v>
      </c>
    </row>
    <row r="138" spans="2:7" x14ac:dyDescent="0.25">
      <c r="B138" s="44">
        <v>127</v>
      </c>
      <c r="C138" s="49">
        <f t="shared" si="5"/>
        <v>0.06</v>
      </c>
      <c r="D138" s="50">
        <f t="shared" si="6"/>
        <v>127235.3108462431</v>
      </c>
      <c r="E138" s="45">
        <f t="shared" si="8"/>
        <v>5911029.2806196641</v>
      </c>
      <c r="F138" s="45">
        <f t="shared" si="7"/>
        <v>30041.11737047715</v>
      </c>
      <c r="G138" s="45">
        <f t="shared" si="9"/>
        <v>97194.193475765947</v>
      </c>
    </row>
    <row r="139" spans="2:7" x14ac:dyDescent="0.25">
      <c r="B139" s="44">
        <v>128</v>
      </c>
      <c r="C139" s="49">
        <f t="shared" si="5"/>
        <v>0.06</v>
      </c>
      <c r="D139" s="50">
        <f t="shared" si="6"/>
        <v>127235.31084624298</v>
      </c>
      <c r="E139" s="45">
        <f t="shared" si="8"/>
        <v>5813349.1161765195</v>
      </c>
      <c r="F139" s="45">
        <f t="shared" si="7"/>
        <v>29555.146403098319</v>
      </c>
      <c r="G139" s="45">
        <f t="shared" si="9"/>
        <v>97680.164443144662</v>
      </c>
    </row>
    <row r="140" spans="2:7" x14ac:dyDescent="0.25">
      <c r="B140" s="44">
        <v>129</v>
      </c>
      <c r="C140" s="49">
        <f t="shared" ref="C140:C203" si="10">IF(B140&gt;$C$6,$C$4,$C$3)</f>
        <v>0.06</v>
      </c>
      <c r="D140" s="50">
        <f t="shared" si="6"/>
        <v>127235.31084624291</v>
      </c>
      <c r="E140" s="45">
        <f t="shared" si="8"/>
        <v>5715180.5509111593</v>
      </c>
      <c r="F140" s="45">
        <f t="shared" si="7"/>
        <v>29066.745580882594</v>
      </c>
      <c r="G140" s="45">
        <f t="shared" si="9"/>
        <v>98168.565265360317</v>
      </c>
    </row>
    <row r="141" spans="2:7" x14ac:dyDescent="0.25">
      <c r="B141" s="44">
        <v>130</v>
      </c>
      <c r="C141" s="49">
        <f t="shared" si="10"/>
        <v>0.06</v>
      </c>
      <c r="D141" s="50">
        <f t="shared" ref="D141:D204" si="11">IF(B141&gt;$C$5,0,E140*(C141/12/(1-(1+C141/12)^(-($C$5-B140)))))</f>
        <v>127235.31084624288</v>
      </c>
      <c r="E141" s="45">
        <f t="shared" si="8"/>
        <v>5616521.1428194726</v>
      </c>
      <c r="F141" s="45">
        <f t="shared" ref="F141:F204" si="12">IF(B141&gt;$C$5,0,E140*C141/12)</f>
        <v>28575.902754555795</v>
      </c>
      <c r="G141" s="45">
        <f t="shared" si="9"/>
        <v>98659.408091687088</v>
      </c>
    </row>
    <row r="142" spans="2:7" x14ac:dyDescent="0.25">
      <c r="B142" s="44">
        <v>131</v>
      </c>
      <c r="C142" s="49">
        <f t="shared" si="10"/>
        <v>0.06</v>
      </c>
      <c r="D142" s="50">
        <f t="shared" si="11"/>
        <v>127235.31084624282</v>
      </c>
      <c r="E142" s="45">
        <f t="shared" ref="E142:E205" si="13">E141-G142</f>
        <v>5517368.4376873272</v>
      </c>
      <c r="F142" s="45">
        <f t="shared" si="12"/>
        <v>28082.605714097361</v>
      </c>
      <c r="G142" s="45">
        <f t="shared" ref="G142:G205" si="14">D142-F142</f>
        <v>99152.705132145464</v>
      </c>
    </row>
    <row r="143" spans="2:7" x14ac:dyDescent="0.25">
      <c r="B143" s="44">
        <v>132</v>
      </c>
      <c r="C143" s="49">
        <f t="shared" si="10"/>
        <v>0.06</v>
      </c>
      <c r="D143" s="50">
        <f t="shared" si="11"/>
        <v>127235.31084624265</v>
      </c>
      <c r="E143" s="45">
        <f t="shared" si="13"/>
        <v>5417719.9690295216</v>
      </c>
      <c r="F143" s="45">
        <f t="shared" si="12"/>
        <v>27586.842188436636</v>
      </c>
      <c r="G143" s="45">
        <f t="shared" si="14"/>
        <v>99648.468657806006</v>
      </c>
    </row>
    <row r="144" spans="2:7" x14ac:dyDescent="0.25">
      <c r="B144" s="44">
        <v>133</v>
      </c>
      <c r="C144" s="49">
        <f t="shared" si="10"/>
        <v>0.06</v>
      </c>
      <c r="D144" s="50">
        <f t="shared" si="11"/>
        <v>127235.31084624265</v>
      </c>
      <c r="E144" s="45">
        <f t="shared" si="13"/>
        <v>5317573.2580284262</v>
      </c>
      <c r="F144" s="45">
        <f t="shared" si="12"/>
        <v>27088.599845147608</v>
      </c>
      <c r="G144" s="45">
        <f t="shared" si="14"/>
        <v>100146.71100109504</v>
      </c>
    </row>
    <row r="145" spans="2:7" x14ac:dyDescent="0.25">
      <c r="B145" s="44">
        <v>134</v>
      </c>
      <c r="C145" s="49">
        <f t="shared" si="10"/>
        <v>0.06</v>
      </c>
      <c r="D145" s="50">
        <f t="shared" si="11"/>
        <v>127235.3108462426</v>
      </c>
      <c r="E145" s="45">
        <f t="shared" si="13"/>
        <v>5216925.8134723259</v>
      </c>
      <c r="F145" s="45">
        <f t="shared" si="12"/>
        <v>26587.86629014213</v>
      </c>
      <c r="G145" s="45">
        <f t="shared" si="14"/>
        <v>100647.44455610047</v>
      </c>
    </row>
    <row r="146" spans="2:7" x14ac:dyDescent="0.25">
      <c r="B146" s="44">
        <v>135</v>
      </c>
      <c r="C146" s="49">
        <f t="shared" si="10"/>
        <v>0.06</v>
      </c>
      <c r="D146" s="50">
        <f t="shared" si="11"/>
        <v>127235.31084624246</v>
      </c>
      <c r="E146" s="45">
        <f t="shared" si="13"/>
        <v>5115775.1316934451</v>
      </c>
      <c r="F146" s="45">
        <f t="shared" si="12"/>
        <v>26084.629067361628</v>
      </c>
      <c r="G146" s="45">
        <f t="shared" si="14"/>
        <v>101150.68177888083</v>
      </c>
    </row>
    <row r="147" spans="2:7" x14ac:dyDescent="0.25">
      <c r="B147" s="44">
        <v>136</v>
      </c>
      <c r="C147" s="49">
        <f t="shared" si="10"/>
        <v>0.06</v>
      </c>
      <c r="D147" s="50">
        <f t="shared" si="11"/>
        <v>127235.31084624244</v>
      </c>
      <c r="E147" s="45">
        <f t="shared" si="13"/>
        <v>5014118.6965056695</v>
      </c>
      <c r="F147" s="45">
        <f t="shared" si="12"/>
        <v>25578.875658467223</v>
      </c>
      <c r="G147" s="45">
        <f t="shared" si="14"/>
        <v>101656.43518777522</v>
      </c>
    </row>
    <row r="148" spans="2:7" x14ac:dyDescent="0.25">
      <c r="B148" s="44">
        <v>137</v>
      </c>
      <c r="C148" s="49">
        <f t="shared" si="10"/>
        <v>0.06</v>
      </c>
      <c r="D148" s="50">
        <f t="shared" si="11"/>
        <v>127235.31084624227</v>
      </c>
      <c r="E148" s="45">
        <f t="shared" si="13"/>
        <v>4911953.9791419553</v>
      </c>
      <c r="F148" s="45">
        <f t="shared" si="12"/>
        <v>25070.593482528348</v>
      </c>
      <c r="G148" s="45">
        <f t="shared" si="14"/>
        <v>102164.71736371392</v>
      </c>
    </row>
    <row r="149" spans="2:7" x14ac:dyDescent="0.25">
      <c r="B149" s="44">
        <v>138</v>
      </c>
      <c r="C149" s="49">
        <f t="shared" si="10"/>
        <v>0.06</v>
      </c>
      <c r="D149" s="50">
        <f t="shared" si="11"/>
        <v>127235.31084624215</v>
      </c>
      <c r="E149" s="45">
        <f t="shared" si="13"/>
        <v>4809278.4381914232</v>
      </c>
      <c r="F149" s="45">
        <f t="shared" si="12"/>
        <v>24559.769895709775</v>
      </c>
      <c r="G149" s="45">
        <f t="shared" si="14"/>
        <v>102675.54095053238</v>
      </c>
    </row>
    <row r="150" spans="2:7" x14ac:dyDescent="0.25">
      <c r="B150" s="44">
        <v>139</v>
      </c>
      <c r="C150" s="49">
        <f t="shared" si="10"/>
        <v>0.06</v>
      </c>
      <c r="D150" s="50">
        <f t="shared" si="11"/>
        <v>127235.31084624218</v>
      </c>
      <c r="E150" s="45">
        <f t="shared" si="13"/>
        <v>4706089.5195361385</v>
      </c>
      <c r="F150" s="45">
        <f t="shared" si="12"/>
        <v>24046.392190957118</v>
      </c>
      <c r="G150" s="45">
        <f t="shared" si="14"/>
        <v>103188.91865528506</v>
      </c>
    </row>
    <row r="151" spans="2:7" x14ac:dyDescent="0.25">
      <c r="B151" s="44">
        <v>140</v>
      </c>
      <c r="C151" s="49">
        <f t="shared" si="10"/>
        <v>0.06</v>
      </c>
      <c r="D151" s="50">
        <f t="shared" si="11"/>
        <v>127235.31084624204</v>
      </c>
      <c r="E151" s="45">
        <f t="shared" si="13"/>
        <v>4602384.656287577</v>
      </c>
      <c r="F151" s="45">
        <f t="shared" si="12"/>
        <v>23530.44759768069</v>
      </c>
      <c r="G151" s="45">
        <f t="shared" si="14"/>
        <v>103704.86324856135</v>
      </c>
    </row>
    <row r="152" spans="2:7" x14ac:dyDescent="0.25">
      <c r="B152" s="44">
        <v>141</v>
      </c>
      <c r="C152" s="49">
        <f t="shared" si="10"/>
        <v>0.06</v>
      </c>
      <c r="D152" s="50">
        <f t="shared" si="11"/>
        <v>127235.31084624195</v>
      </c>
      <c r="E152" s="45">
        <f t="shared" si="13"/>
        <v>4498161.2687227726</v>
      </c>
      <c r="F152" s="45">
        <f t="shared" si="12"/>
        <v>23011.923281437881</v>
      </c>
      <c r="G152" s="45">
        <f t="shared" si="14"/>
        <v>104223.38756480407</v>
      </c>
    </row>
    <row r="153" spans="2:7" x14ac:dyDescent="0.25">
      <c r="B153" s="44">
        <v>142</v>
      </c>
      <c r="C153" s="49">
        <f t="shared" si="10"/>
        <v>0.06</v>
      </c>
      <c r="D153" s="50">
        <f t="shared" si="11"/>
        <v>127235.31084624186</v>
      </c>
      <c r="E153" s="45">
        <f t="shared" si="13"/>
        <v>4393416.7642201446</v>
      </c>
      <c r="F153" s="45">
        <f t="shared" si="12"/>
        <v>22490.806343613862</v>
      </c>
      <c r="G153" s="45">
        <f t="shared" si="14"/>
        <v>104744.504502628</v>
      </c>
    </row>
    <row r="154" spans="2:7" x14ac:dyDescent="0.25">
      <c r="B154" s="44">
        <v>143</v>
      </c>
      <c r="C154" s="49">
        <f t="shared" si="10"/>
        <v>0.06</v>
      </c>
      <c r="D154" s="50">
        <f t="shared" si="11"/>
        <v>127235.31084624179</v>
      </c>
      <c r="E154" s="45">
        <f t="shared" si="13"/>
        <v>4288148.5371950036</v>
      </c>
      <c r="F154" s="45">
        <f t="shared" si="12"/>
        <v>21967.083821100721</v>
      </c>
      <c r="G154" s="45">
        <f t="shared" si="14"/>
        <v>105268.22702514107</v>
      </c>
    </row>
    <row r="155" spans="2:7" x14ac:dyDescent="0.25">
      <c r="B155" s="44">
        <v>144</v>
      </c>
      <c r="C155" s="49">
        <f t="shared" si="10"/>
        <v>0.06</v>
      </c>
      <c r="D155" s="50">
        <f t="shared" si="11"/>
        <v>127235.31084624179</v>
      </c>
      <c r="E155" s="45">
        <f t="shared" si="13"/>
        <v>4182353.969034737</v>
      </c>
      <c r="F155" s="45">
        <f t="shared" si="12"/>
        <v>21440.742685975016</v>
      </c>
      <c r="G155" s="45">
        <f t="shared" si="14"/>
        <v>105794.56816026678</v>
      </c>
    </row>
    <row r="156" spans="2:7" x14ac:dyDescent="0.25">
      <c r="B156" s="44">
        <v>145</v>
      </c>
      <c r="C156" s="49">
        <f t="shared" si="10"/>
        <v>0.06</v>
      </c>
      <c r="D156" s="50">
        <f t="shared" si="11"/>
        <v>127235.31084624164</v>
      </c>
      <c r="E156" s="45">
        <f t="shared" si="13"/>
        <v>4076030.428033669</v>
      </c>
      <c r="F156" s="45">
        <f t="shared" si="12"/>
        <v>20911.769845173683</v>
      </c>
      <c r="G156" s="45">
        <f t="shared" si="14"/>
        <v>106323.54100106796</v>
      </c>
    </row>
    <row r="157" spans="2:7" x14ac:dyDescent="0.25">
      <c r="B157" s="44">
        <v>146</v>
      </c>
      <c r="C157" s="49">
        <f t="shared" si="10"/>
        <v>0.06</v>
      </c>
      <c r="D157" s="50">
        <f t="shared" si="11"/>
        <v>127235.31084624139</v>
      </c>
      <c r="E157" s="45">
        <f t="shared" si="13"/>
        <v>3969175.2693275958</v>
      </c>
      <c r="F157" s="45">
        <f t="shared" si="12"/>
        <v>20380.152140168346</v>
      </c>
      <c r="G157" s="45">
        <f t="shared" si="14"/>
        <v>106855.15870607305</v>
      </c>
    </row>
    <row r="158" spans="2:7" x14ac:dyDescent="0.25">
      <c r="B158" s="44">
        <v>147</v>
      </c>
      <c r="C158" s="49">
        <f t="shared" si="10"/>
        <v>0.06</v>
      </c>
      <c r="D158" s="50">
        <f t="shared" si="11"/>
        <v>127235.31084624144</v>
      </c>
      <c r="E158" s="45">
        <f t="shared" si="13"/>
        <v>3861785.8348279921</v>
      </c>
      <c r="F158" s="45">
        <f t="shared" si="12"/>
        <v>19845.876346637979</v>
      </c>
      <c r="G158" s="45">
        <f t="shared" si="14"/>
        <v>107389.43449960346</v>
      </c>
    </row>
    <row r="159" spans="2:7" x14ac:dyDescent="0.25">
      <c r="B159" s="44">
        <v>148</v>
      </c>
      <c r="C159" s="49">
        <f t="shared" si="10"/>
        <v>0.06</v>
      </c>
      <c r="D159" s="50">
        <f t="shared" si="11"/>
        <v>127235.31084624132</v>
      </c>
      <c r="E159" s="45">
        <f t="shared" si="13"/>
        <v>3753859.4531558906</v>
      </c>
      <c r="F159" s="45">
        <f t="shared" si="12"/>
        <v>19308.929174139961</v>
      </c>
      <c r="G159" s="45">
        <f t="shared" si="14"/>
        <v>107926.38167210136</v>
      </c>
    </row>
    <row r="160" spans="2:7" x14ac:dyDescent="0.25">
      <c r="B160" s="44">
        <v>149</v>
      </c>
      <c r="C160" s="49">
        <f t="shared" si="10"/>
        <v>0.06</v>
      </c>
      <c r="D160" s="50">
        <f t="shared" si="11"/>
        <v>127235.31084624115</v>
      </c>
      <c r="E160" s="45">
        <f t="shared" si="13"/>
        <v>3645393.4395754291</v>
      </c>
      <c r="F160" s="45">
        <f t="shared" si="12"/>
        <v>18769.297265779453</v>
      </c>
      <c r="G160" s="45">
        <f t="shared" si="14"/>
        <v>108466.0135804617</v>
      </c>
    </row>
    <row r="161" spans="2:7" x14ac:dyDescent="0.25">
      <c r="B161" s="44">
        <v>150</v>
      </c>
      <c r="C161" s="49">
        <f t="shared" si="10"/>
        <v>0.06</v>
      </c>
      <c r="D161" s="50">
        <f t="shared" si="11"/>
        <v>127235.31084624106</v>
      </c>
      <c r="E161" s="45">
        <f t="shared" si="13"/>
        <v>3536385.0959270652</v>
      </c>
      <c r="F161" s="45">
        <f t="shared" si="12"/>
        <v>18226.967197877144</v>
      </c>
      <c r="G161" s="45">
        <f t="shared" si="14"/>
        <v>109008.34364836392</v>
      </c>
    </row>
    <row r="162" spans="2:7" x14ac:dyDescent="0.25">
      <c r="B162" s="44">
        <v>151</v>
      </c>
      <c r="C162" s="49">
        <f t="shared" si="10"/>
        <v>0.06</v>
      </c>
      <c r="D162" s="50">
        <f t="shared" si="11"/>
        <v>127235.31084624091</v>
      </c>
      <c r="E162" s="45">
        <f t="shared" si="13"/>
        <v>3426831.7105604596</v>
      </c>
      <c r="F162" s="45">
        <f t="shared" si="12"/>
        <v>17681.925479635323</v>
      </c>
      <c r="G162" s="45">
        <f t="shared" si="14"/>
        <v>109553.38536660559</v>
      </c>
    </row>
    <row r="163" spans="2:7" x14ac:dyDescent="0.25">
      <c r="B163" s="44">
        <v>152</v>
      </c>
      <c r="C163" s="49">
        <f t="shared" si="10"/>
        <v>0.06</v>
      </c>
      <c r="D163" s="50">
        <f t="shared" si="11"/>
        <v>127235.31084624075</v>
      </c>
      <c r="E163" s="45">
        <f t="shared" si="13"/>
        <v>3316730.5582670211</v>
      </c>
      <c r="F163" s="45">
        <f t="shared" si="12"/>
        <v>17134.158552802295</v>
      </c>
      <c r="G163" s="45">
        <f t="shared" si="14"/>
        <v>110101.15229343846</v>
      </c>
    </row>
    <row r="164" spans="2:7" x14ac:dyDescent="0.25">
      <c r="B164" s="44">
        <v>153</v>
      </c>
      <c r="C164" s="49">
        <f t="shared" si="10"/>
        <v>0.06</v>
      </c>
      <c r="D164" s="50">
        <f t="shared" si="11"/>
        <v>127235.31084624067</v>
      </c>
      <c r="E164" s="45">
        <f t="shared" si="13"/>
        <v>3206078.9002121156</v>
      </c>
      <c r="F164" s="45">
        <f t="shared" si="12"/>
        <v>16583.652791335106</v>
      </c>
      <c r="G164" s="45">
        <f t="shared" si="14"/>
        <v>110651.65805490557</v>
      </c>
    </row>
    <row r="165" spans="2:7" x14ac:dyDescent="0.25">
      <c r="B165" s="44">
        <v>154</v>
      </c>
      <c r="C165" s="49">
        <f t="shared" si="10"/>
        <v>0.06</v>
      </c>
      <c r="D165" s="50">
        <f t="shared" si="11"/>
        <v>127235.31084624043</v>
      </c>
      <c r="E165" s="45">
        <f t="shared" si="13"/>
        <v>3094873.9838669356</v>
      </c>
      <c r="F165" s="45">
        <f t="shared" si="12"/>
        <v>16030.394501060577</v>
      </c>
      <c r="G165" s="45">
        <f t="shared" si="14"/>
        <v>111204.91634517985</v>
      </c>
    </row>
    <row r="166" spans="2:7" x14ac:dyDescent="0.25">
      <c r="B166" s="44">
        <v>155</v>
      </c>
      <c r="C166" s="49">
        <f t="shared" si="10"/>
        <v>0.06</v>
      </c>
      <c r="D166" s="50">
        <f t="shared" si="11"/>
        <v>127235.3108462403</v>
      </c>
      <c r="E166" s="45">
        <f t="shared" si="13"/>
        <v>2983113.0429400299</v>
      </c>
      <c r="F166" s="45">
        <f t="shared" si="12"/>
        <v>15474.369919334677</v>
      </c>
      <c r="G166" s="45">
        <f t="shared" si="14"/>
        <v>111760.94092690563</v>
      </c>
    </row>
    <row r="167" spans="2:7" x14ac:dyDescent="0.25">
      <c r="B167" s="44">
        <v>156</v>
      </c>
      <c r="C167" s="49">
        <f t="shared" si="10"/>
        <v>0.06</v>
      </c>
      <c r="D167" s="50">
        <f t="shared" si="11"/>
        <v>127235.31084624023</v>
      </c>
      <c r="E167" s="45">
        <f t="shared" si="13"/>
        <v>2870793.2973084897</v>
      </c>
      <c r="F167" s="45">
        <f t="shared" si="12"/>
        <v>14915.565214700147</v>
      </c>
      <c r="G167" s="45">
        <f t="shared" si="14"/>
        <v>112319.74563154008</v>
      </c>
    </row>
    <row r="168" spans="2:7" x14ac:dyDescent="0.25">
      <c r="B168" s="44">
        <v>157</v>
      </c>
      <c r="C168" s="49">
        <f t="shared" si="10"/>
        <v>0.06</v>
      </c>
      <c r="D168" s="50">
        <f t="shared" si="11"/>
        <v>127235.31084623993</v>
      </c>
      <c r="E168" s="45">
        <f t="shared" si="13"/>
        <v>2757911.9529487924</v>
      </c>
      <c r="F168" s="45">
        <f t="shared" si="12"/>
        <v>14353.966486542447</v>
      </c>
      <c r="G168" s="45">
        <f t="shared" si="14"/>
        <v>112881.34435969748</v>
      </c>
    </row>
    <row r="169" spans="2:7" x14ac:dyDescent="0.25">
      <c r="B169" s="44">
        <v>158</v>
      </c>
      <c r="C169" s="49">
        <f t="shared" si="10"/>
        <v>0.06</v>
      </c>
      <c r="D169" s="50">
        <f t="shared" si="11"/>
        <v>127235.31084624003</v>
      </c>
      <c r="E169" s="45">
        <f t="shared" si="13"/>
        <v>2644466.2018672964</v>
      </c>
      <c r="F169" s="45">
        <f t="shared" si="12"/>
        <v>13789.559764743963</v>
      </c>
      <c r="G169" s="45">
        <f t="shared" si="14"/>
        <v>113445.75108149607</v>
      </c>
    </row>
    <row r="170" spans="2:7" x14ac:dyDescent="0.25">
      <c r="B170" s="44">
        <v>159</v>
      </c>
      <c r="C170" s="49">
        <f t="shared" si="10"/>
        <v>0.06</v>
      </c>
      <c r="D170" s="50">
        <f t="shared" si="11"/>
        <v>127235.31084623981</v>
      </c>
      <c r="E170" s="45">
        <f t="shared" si="13"/>
        <v>2530453.2220303928</v>
      </c>
      <c r="F170" s="45">
        <f t="shared" si="12"/>
        <v>13222.33100933648</v>
      </c>
      <c r="G170" s="45">
        <f t="shared" si="14"/>
        <v>114012.97983690332</v>
      </c>
    </row>
    <row r="171" spans="2:7" x14ac:dyDescent="0.25">
      <c r="B171" s="44">
        <v>160</v>
      </c>
      <c r="C171" s="49">
        <f t="shared" si="10"/>
        <v>0.06</v>
      </c>
      <c r="D171" s="50">
        <f t="shared" si="11"/>
        <v>127235.31084623969</v>
      </c>
      <c r="E171" s="45">
        <f t="shared" si="13"/>
        <v>2415870.1772943051</v>
      </c>
      <c r="F171" s="45">
        <f t="shared" si="12"/>
        <v>12652.266110151964</v>
      </c>
      <c r="G171" s="45">
        <f t="shared" si="14"/>
        <v>114583.04473608773</v>
      </c>
    </row>
    <row r="172" spans="2:7" x14ac:dyDescent="0.25">
      <c r="B172" s="44">
        <v>161</v>
      </c>
      <c r="C172" s="49">
        <f t="shared" si="10"/>
        <v>0.06</v>
      </c>
      <c r="D172" s="50">
        <f t="shared" si="11"/>
        <v>127235.31084623933</v>
      </c>
      <c r="E172" s="45">
        <f t="shared" si="13"/>
        <v>2300714.2173345373</v>
      </c>
      <c r="F172" s="45">
        <f t="shared" si="12"/>
        <v>12079.350886471526</v>
      </c>
      <c r="G172" s="45">
        <f t="shared" si="14"/>
        <v>115155.9599597678</v>
      </c>
    </row>
    <row r="173" spans="2:7" x14ac:dyDescent="0.25">
      <c r="B173" s="44">
        <v>162</v>
      </c>
      <c r="C173" s="49">
        <f t="shared" si="10"/>
        <v>0.06</v>
      </c>
      <c r="D173" s="50">
        <f t="shared" si="11"/>
        <v>127235.31084623923</v>
      </c>
      <c r="E173" s="45">
        <f t="shared" si="13"/>
        <v>2184982.4775749706</v>
      </c>
      <c r="F173" s="45">
        <f t="shared" si="12"/>
        <v>11503.571086672686</v>
      </c>
      <c r="G173" s="45">
        <f t="shared" si="14"/>
        <v>115731.73975956654</v>
      </c>
    </row>
    <row r="174" spans="2:7" x14ac:dyDescent="0.25">
      <c r="B174" s="44">
        <v>163</v>
      </c>
      <c r="C174" s="49">
        <f t="shared" si="10"/>
        <v>0.06</v>
      </c>
      <c r="D174" s="50">
        <f t="shared" si="11"/>
        <v>127235.3108462391</v>
      </c>
      <c r="E174" s="45">
        <f t="shared" si="13"/>
        <v>2068672.0791166064</v>
      </c>
      <c r="F174" s="45">
        <f t="shared" si="12"/>
        <v>10924.912387874852</v>
      </c>
      <c r="G174" s="45">
        <f t="shared" si="14"/>
        <v>116310.39845836425</v>
      </c>
    </row>
    <row r="175" spans="2:7" x14ac:dyDescent="0.25">
      <c r="B175" s="44">
        <v>164</v>
      </c>
      <c r="C175" s="49">
        <f t="shared" si="10"/>
        <v>0.06</v>
      </c>
      <c r="D175" s="50">
        <f t="shared" si="11"/>
        <v>127235.31084623869</v>
      </c>
      <c r="E175" s="45">
        <f t="shared" si="13"/>
        <v>1951780.1286659506</v>
      </c>
      <c r="F175" s="45">
        <f t="shared" si="12"/>
        <v>10343.360395583031</v>
      </c>
      <c r="G175" s="45">
        <f t="shared" si="14"/>
        <v>116891.95045065566</v>
      </c>
    </row>
    <row r="176" spans="2:7" x14ac:dyDescent="0.25">
      <c r="B176" s="44">
        <v>165</v>
      </c>
      <c r="C176" s="49">
        <f t="shared" si="10"/>
        <v>0.06</v>
      </c>
      <c r="D176" s="50">
        <f t="shared" si="11"/>
        <v>127235.31084623851</v>
      </c>
      <c r="E176" s="45">
        <f t="shared" si="13"/>
        <v>1834303.7184630418</v>
      </c>
      <c r="F176" s="45">
        <f t="shared" si="12"/>
        <v>9758.9006433297527</v>
      </c>
      <c r="G176" s="45">
        <f t="shared" si="14"/>
        <v>117476.41020290877</v>
      </c>
    </row>
    <row r="177" spans="2:7" x14ac:dyDescent="0.25">
      <c r="B177" s="44">
        <v>166</v>
      </c>
      <c r="C177" s="49">
        <f t="shared" si="10"/>
        <v>0.06</v>
      </c>
      <c r="D177" s="50">
        <f t="shared" si="11"/>
        <v>127235.31084623838</v>
      </c>
      <c r="E177" s="45">
        <f t="shared" si="13"/>
        <v>1716239.9262091187</v>
      </c>
      <c r="F177" s="45">
        <f t="shared" si="12"/>
        <v>9171.5185923152076</v>
      </c>
      <c r="G177" s="45">
        <f t="shared" si="14"/>
        <v>118063.79225392318</v>
      </c>
    </row>
    <row r="178" spans="2:7" x14ac:dyDescent="0.25">
      <c r="B178" s="44">
        <v>167</v>
      </c>
      <c r="C178" s="49">
        <f t="shared" si="10"/>
        <v>0.06</v>
      </c>
      <c r="D178" s="50">
        <f t="shared" si="11"/>
        <v>127235.31084623802</v>
      </c>
      <c r="E178" s="45">
        <f t="shared" si="13"/>
        <v>1597585.8149939263</v>
      </c>
      <c r="F178" s="45">
        <f t="shared" si="12"/>
        <v>8581.1996310455925</v>
      </c>
      <c r="G178" s="45">
        <f t="shared" si="14"/>
        <v>118654.11121519243</v>
      </c>
    </row>
    <row r="179" spans="2:7" x14ac:dyDescent="0.25">
      <c r="B179" s="44">
        <v>168</v>
      </c>
      <c r="C179" s="49">
        <f t="shared" si="10"/>
        <v>0.06</v>
      </c>
      <c r="D179" s="50">
        <f t="shared" si="11"/>
        <v>127235.3108462376</v>
      </c>
      <c r="E179" s="45">
        <f t="shared" si="13"/>
        <v>1478338.4332226585</v>
      </c>
      <c r="F179" s="45">
        <f t="shared" si="12"/>
        <v>7987.9290749696311</v>
      </c>
      <c r="G179" s="45">
        <f t="shared" si="14"/>
        <v>119247.38177126796</v>
      </c>
    </row>
    <row r="180" spans="2:7" x14ac:dyDescent="0.25">
      <c r="B180" s="44">
        <v>169</v>
      </c>
      <c r="C180" s="49">
        <f t="shared" si="10"/>
        <v>0.06</v>
      </c>
      <c r="D180" s="50">
        <f t="shared" si="11"/>
        <v>127235.31084623757</v>
      </c>
      <c r="E180" s="45">
        <f t="shared" si="13"/>
        <v>1358494.8145425343</v>
      </c>
      <c r="F180" s="45">
        <f t="shared" si="12"/>
        <v>7391.6921661132919</v>
      </c>
      <c r="G180" s="45">
        <f t="shared" si="14"/>
        <v>119843.61868012427</v>
      </c>
    </row>
    <row r="181" spans="2:7" x14ac:dyDescent="0.25">
      <c r="B181" s="44">
        <v>170</v>
      </c>
      <c r="C181" s="49">
        <f t="shared" si="10"/>
        <v>0.06</v>
      </c>
      <c r="D181" s="50">
        <f t="shared" si="11"/>
        <v>127235.31084623674</v>
      </c>
      <c r="E181" s="45">
        <f t="shared" si="13"/>
        <v>1238051.9777690102</v>
      </c>
      <c r="F181" s="45">
        <f t="shared" si="12"/>
        <v>6792.4740727126709</v>
      </c>
      <c r="G181" s="45">
        <f t="shared" si="14"/>
        <v>120442.83677352406</v>
      </c>
    </row>
    <row r="182" spans="2:7" x14ac:dyDescent="0.25">
      <c r="B182" s="44">
        <v>171</v>
      </c>
      <c r="C182" s="49">
        <f t="shared" si="10"/>
        <v>0.06</v>
      </c>
      <c r="D182" s="50">
        <f t="shared" si="11"/>
        <v>127235.31084623645</v>
      </c>
      <c r="E182" s="45">
        <f t="shared" si="13"/>
        <v>1117006.9268116187</v>
      </c>
      <c r="F182" s="45">
        <f t="shared" si="12"/>
        <v>6190.2598888450511</v>
      </c>
      <c r="G182" s="45">
        <f t="shared" si="14"/>
        <v>121045.0509573914</v>
      </c>
    </row>
    <row r="183" spans="2:7" x14ac:dyDescent="0.25">
      <c r="B183" s="44">
        <v>172</v>
      </c>
      <c r="C183" s="49">
        <f t="shared" si="10"/>
        <v>0.06</v>
      </c>
      <c r="D183" s="50">
        <f t="shared" si="11"/>
        <v>127235.31084623607</v>
      </c>
      <c r="E183" s="45">
        <f t="shared" si="13"/>
        <v>995356.65059944079</v>
      </c>
      <c r="F183" s="45">
        <f t="shared" si="12"/>
        <v>5585.0346340580936</v>
      </c>
      <c r="G183" s="45">
        <f t="shared" si="14"/>
        <v>121650.27621217798</v>
      </c>
    </row>
    <row r="184" spans="2:7" x14ac:dyDescent="0.25">
      <c r="B184" s="44">
        <v>173</v>
      </c>
      <c r="C184" s="49">
        <f t="shared" si="10"/>
        <v>0.06</v>
      </c>
      <c r="D184" s="50">
        <f t="shared" si="11"/>
        <v>127235.31084623572</v>
      </c>
      <c r="E184" s="45">
        <f t="shared" si="13"/>
        <v>873098.12300620228</v>
      </c>
      <c r="F184" s="45">
        <f t="shared" si="12"/>
        <v>4976.7832529972038</v>
      </c>
      <c r="G184" s="45">
        <f t="shared" si="14"/>
        <v>122258.52759323851</v>
      </c>
    </row>
    <row r="185" spans="2:7" x14ac:dyDescent="0.25">
      <c r="B185" s="44">
        <v>174</v>
      </c>
      <c r="C185" s="49">
        <f t="shared" si="10"/>
        <v>0.06</v>
      </c>
      <c r="D185" s="50">
        <f t="shared" si="11"/>
        <v>127235.3108462354</v>
      </c>
      <c r="E185" s="45">
        <f t="shared" si="13"/>
        <v>750228.30277499789</v>
      </c>
      <c r="F185" s="45">
        <f t="shared" si="12"/>
        <v>4365.4906150310117</v>
      </c>
      <c r="G185" s="45">
        <f t="shared" si="14"/>
        <v>122869.82023120439</v>
      </c>
    </row>
    <row r="186" spans="2:7" x14ac:dyDescent="0.25">
      <c r="B186" s="44">
        <v>175</v>
      </c>
      <c r="C186" s="49">
        <f t="shared" si="10"/>
        <v>0.06</v>
      </c>
      <c r="D186" s="50">
        <f t="shared" si="11"/>
        <v>127235.31084623537</v>
      </c>
      <c r="E186" s="45">
        <f t="shared" si="13"/>
        <v>626744.13344263751</v>
      </c>
      <c r="F186" s="45">
        <f t="shared" si="12"/>
        <v>3751.1415138749894</v>
      </c>
      <c r="G186" s="45">
        <f t="shared" si="14"/>
        <v>123484.16933236038</v>
      </c>
    </row>
    <row r="187" spans="2:7" x14ac:dyDescent="0.25">
      <c r="B187" s="44">
        <v>176</v>
      </c>
      <c r="C187" s="49">
        <f t="shared" si="10"/>
        <v>0.06</v>
      </c>
      <c r="D187" s="50">
        <f t="shared" si="11"/>
        <v>127235.31084623432</v>
      </c>
      <c r="E187" s="45">
        <f t="shared" si="13"/>
        <v>502642.54326361639</v>
      </c>
      <c r="F187" s="45">
        <f t="shared" si="12"/>
        <v>3133.7206672131874</v>
      </c>
      <c r="G187" s="45">
        <f t="shared" si="14"/>
        <v>124101.59017902114</v>
      </c>
    </row>
    <row r="188" spans="2:7" x14ac:dyDescent="0.25">
      <c r="B188" s="44">
        <v>177</v>
      </c>
      <c r="C188" s="49">
        <f t="shared" si="10"/>
        <v>0.06</v>
      </c>
      <c r="D188" s="50">
        <f t="shared" si="11"/>
        <v>127235.310846233</v>
      </c>
      <c r="E188" s="45">
        <f t="shared" si="13"/>
        <v>377920.44513370149</v>
      </c>
      <c r="F188" s="45">
        <f t="shared" si="12"/>
        <v>2513.2127163180817</v>
      </c>
      <c r="G188" s="45">
        <f t="shared" si="14"/>
        <v>124722.09812991491</v>
      </c>
    </row>
    <row r="189" spans="2:7" x14ac:dyDescent="0.25">
      <c r="B189" s="44">
        <v>178</v>
      </c>
      <c r="C189" s="49">
        <f t="shared" si="10"/>
        <v>0.06</v>
      </c>
      <c r="D189" s="50">
        <f t="shared" si="11"/>
        <v>127235.31084623067</v>
      </c>
      <c r="E189" s="45">
        <f t="shared" si="13"/>
        <v>252574.73651313933</v>
      </c>
      <c r="F189" s="45">
        <f t="shared" si="12"/>
        <v>1889.6022256685073</v>
      </c>
      <c r="G189" s="45">
        <f t="shared" si="14"/>
        <v>125345.70862056216</v>
      </c>
    </row>
    <row r="190" spans="2:7" x14ac:dyDescent="0.25">
      <c r="B190" s="44">
        <v>179</v>
      </c>
      <c r="C190" s="49">
        <f t="shared" si="10"/>
        <v>0.06</v>
      </c>
      <c r="D190" s="50">
        <f t="shared" si="11"/>
        <v>127235.31084622972</v>
      </c>
      <c r="E190" s="45">
        <f t="shared" si="13"/>
        <v>126602.2993494753</v>
      </c>
      <c r="F190" s="45">
        <f t="shared" si="12"/>
        <v>1262.8736825656968</v>
      </c>
      <c r="G190" s="45">
        <f t="shared" si="14"/>
        <v>125972.43716366403</v>
      </c>
    </row>
    <row r="191" spans="2:7" x14ac:dyDescent="0.25">
      <c r="B191" s="44">
        <v>180</v>
      </c>
      <c r="C191" s="49">
        <f t="shared" si="10"/>
        <v>0.06</v>
      </c>
      <c r="D191" s="50">
        <f t="shared" si="11"/>
        <v>127235.3108462261</v>
      </c>
      <c r="E191" s="45">
        <f t="shared" si="13"/>
        <v>-3.4197000786662102E-9</v>
      </c>
      <c r="F191" s="45">
        <f t="shared" si="12"/>
        <v>633.01149674737655</v>
      </c>
      <c r="G191" s="45">
        <f t="shared" si="14"/>
        <v>126602.29934947872</v>
      </c>
    </row>
    <row r="192" spans="2:7" x14ac:dyDescent="0.25">
      <c r="B192" s="44">
        <v>181</v>
      </c>
      <c r="C192" s="49">
        <f t="shared" si="10"/>
        <v>0.06</v>
      </c>
      <c r="D192" s="50">
        <f t="shared" si="11"/>
        <v>0</v>
      </c>
      <c r="E192" s="45">
        <f t="shared" si="13"/>
        <v>-3.4197000786662102E-9</v>
      </c>
      <c r="F192" s="45">
        <f t="shared" si="12"/>
        <v>0</v>
      </c>
      <c r="G192" s="45">
        <f t="shared" si="14"/>
        <v>0</v>
      </c>
    </row>
    <row r="193" spans="2:7" x14ac:dyDescent="0.25">
      <c r="B193" s="44">
        <v>182</v>
      </c>
      <c r="C193" s="49">
        <f t="shared" si="10"/>
        <v>0.06</v>
      </c>
      <c r="D193" s="50">
        <f t="shared" si="11"/>
        <v>0</v>
      </c>
      <c r="E193" s="45">
        <f t="shared" si="13"/>
        <v>-3.4197000786662102E-9</v>
      </c>
      <c r="F193" s="45">
        <f t="shared" si="12"/>
        <v>0</v>
      </c>
      <c r="G193" s="45">
        <f t="shared" si="14"/>
        <v>0</v>
      </c>
    </row>
    <row r="194" spans="2:7" x14ac:dyDescent="0.25">
      <c r="B194" s="44">
        <v>183</v>
      </c>
      <c r="C194" s="49">
        <f t="shared" si="10"/>
        <v>0.06</v>
      </c>
      <c r="D194" s="50">
        <f t="shared" si="11"/>
        <v>0</v>
      </c>
      <c r="E194" s="45">
        <f t="shared" si="13"/>
        <v>-3.4197000786662102E-9</v>
      </c>
      <c r="F194" s="45">
        <f t="shared" si="12"/>
        <v>0</v>
      </c>
      <c r="G194" s="45">
        <f t="shared" si="14"/>
        <v>0</v>
      </c>
    </row>
    <row r="195" spans="2:7" x14ac:dyDescent="0.25">
      <c r="B195" s="44">
        <v>184</v>
      </c>
      <c r="C195" s="49">
        <f t="shared" si="10"/>
        <v>0.06</v>
      </c>
      <c r="D195" s="50">
        <f t="shared" si="11"/>
        <v>0</v>
      </c>
      <c r="E195" s="45">
        <f t="shared" si="13"/>
        <v>-3.4197000786662102E-9</v>
      </c>
      <c r="F195" s="45">
        <f t="shared" si="12"/>
        <v>0</v>
      </c>
      <c r="G195" s="45">
        <f t="shared" si="14"/>
        <v>0</v>
      </c>
    </row>
    <row r="196" spans="2:7" x14ac:dyDescent="0.25">
      <c r="B196" s="44">
        <v>185</v>
      </c>
      <c r="C196" s="49">
        <f t="shared" si="10"/>
        <v>0.06</v>
      </c>
      <c r="D196" s="50">
        <f t="shared" si="11"/>
        <v>0</v>
      </c>
      <c r="E196" s="45">
        <f t="shared" si="13"/>
        <v>-3.4197000786662102E-9</v>
      </c>
      <c r="F196" s="45">
        <f t="shared" si="12"/>
        <v>0</v>
      </c>
      <c r="G196" s="45">
        <f t="shared" si="14"/>
        <v>0</v>
      </c>
    </row>
    <row r="197" spans="2:7" x14ac:dyDescent="0.25">
      <c r="B197" s="44">
        <v>186</v>
      </c>
      <c r="C197" s="49">
        <f t="shared" si="10"/>
        <v>0.06</v>
      </c>
      <c r="D197" s="50">
        <f t="shared" si="11"/>
        <v>0</v>
      </c>
      <c r="E197" s="45">
        <f t="shared" si="13"/>
        <v>-3.4197000786662102E-9</v>
      </c>
      <c r="F197" s="45">
        <f t="shared" si="12"/>
        <v>0</v>
      </c>
      <c r="G197" s="45">
        <f t="shared" si="14"/>
        <v>0</v>
      </c>
    </row>
    <row r="198" spans="2:7" x14ac:dyDescent="0.25">
      <c r="B198" s="44">
        <v>187</v>
      </c>
      <c r="C198" s="49">
        <f t="shared" si="10"/>
        <v>0.06</v>
      </c>
      <c r="D198" s="50">
        <f t="shared" si="11"/>
        <v>0</v>
      </c>
      <c r="E198" s="45">
        <f t="shared" si="13"/>
        <v>-3.4197000786662102E-9</v>
      </c>
      <c r="F198" s="45">
        <f t="shared" si="12"/>
        <v>0</v>
      </c>
      <c r="G198" s="45">
        <f t="shared" si="14"/>
        <v>0</v>
      </c>
    </row>
    <row r="199" spans="2:7" x14ac:dyDescent="0.25">
      <c r="B199" s="44">
        <v>188</v>
      </c>
      <c r="C199" s="49">
        <f t="shared" si="10"/>
        <v>0.06</v>
      </c>
      <c r="D199" s="50">
        <f t="shared" si="11"/>
        <v>0</v>
      </c>
      <c r="E199" s="45">
        <f t="shared" si="13"/>
        <v>-3.4197000786662102E-9</v>
      </c>
      <c r="F199" s="45">
        <f t="shared" si="12"/>
        <v>0</v>
      </c>
      <c r="G199" s="45">
        <f t="shared" si="14"/>
        <v>0</v>
      </c>
    </row>
    <row r="200" spans="2:7" x14ac:dyDescent="0.25">
      <c r="B200" s="44">
        <v>189</v>
      </c>
      <c r="C200" s="49">
        <f t="shared" si="10"/>
        <v>0.06</v>
      </c>
      <c r="D200" s="50">
        <f t="shared" si="11"/>
        <v>0</v>
      </c>
      <c r="E200" s="45">
        <f t="shared" si="13"/>
        <v>-3.4197000786662102E-9</v>
      </c>
      <c r="F200" s="45">
        <f t="shared" si="12"/>
        <v>0</v>
      </c>
      <c r="G200" s="45">
        <f t="shared" si="14"/>
        <v>0</v>
      </c>
    </row>
    <row r="201" spans="2:7" x14ac:dyDescent="0.25">
      <c r="B201" s="44">
        <v>190</v>
      </c>
      <c r="C201" s="49">
        <f t="shared" si="10"/>
        <v>0.06</v>
      </c>
      <c r="D201" s="50">
        <f t="shared" si="11"/>
        <v>0</v>
      </c>
      <c r="E201" s="45">
        <f t="shared" si="13"/>
        <v>-3.4197000786662102E-9</v>
      </c>
      <c r="F201" s="45">
        <f t="shared" si="12"/>
        <v>0</v>
      </c>
      <c r="G201" s="45">
        <f t="shared" si="14"/>
        <v>0</v>
      </c>
    </row>
    <row r="202" spans="2:7" x14ac:dyDescent="0.25">
      <c r="B202" s="44">
        <v>191</v>
      </c>
      <c r="C202" s="49">
        <f t="shared" si="10"/>
        <v>0.06</v>
      </c>
      <c r="D202" s="50">
        <f t="shared" si="11"/>
        <v>0</v>
      </c>
      <c r="E202" s="45">
        <f t="shared" si="13"/>
        <v>-3.4197000786662102E-9</v>
      </c>
      <c r="F202" s="45">
        <f t="shared" si="12"/>
        <v>0</v>
      </c>
      <c r="G202" s="45">
        <f t="shared" si="14"/>
        <v>0</v>
      </c>
    </row>
    <row r="203" spans="2:7" x14ac:dyDescent="0.25">
      <c r="B203" s="44">
        <v>192</v>
      </c>
      <c r="C203" s="49">
        <f t="shared" si="10"/>
        <v>0.06</v>
      </c>
      <c r="D203" s="50">
        <f t="shared" si="11"/>
        <v>0</v>
      </c>
      <c r="E203" s="45">
        <f t="shared" si="13"/>
        <v>-3.4197000786662102E-9</v>
      </c>
      <c r="F203" s="45">
        <f t="shared" si="12"/>
        <v>0</v>
      </c>
      <c r="G203" s="45">
        <f t="shared" si="14"/>
        <v>0</v>
      </c>
    </row>
    <row r="204" spans="2:7" x14ac:dyDescent="0.25">
      <c r="B204" s="44">
        <v>193</v>
      </c>
      <c r="C204" s="49">
        <f t="shared" ref="C204:C267" si="15">IF(B204&gt;$C$6,$C$4,$C$3)</f>
        <v>0.06</v>
      </c>
      <c r="D204" s="50">
        <f t="shared" si="11"/>
        <v>0</v>
      </c>
      <c r="E204" s="45">
        <f t="shared" si="13"/>
        <v>-3.4197000786662102E-9</v>
      </c>
      <c r="F204" s="45">
        <f t="shared" si="12"/>
        <v>0</v>
      </c>
      <c r="G204" s="45">
        <f t="shared" si="14"/>
        <v>0</v>
      </c>
    </row>
    <row r="205" spans="2:7" x14ac:dyDescent="0.25">
      <c r="B205" s="44">
        <v>194</v>
      </c>
      <c r="C205" s="49">
        <f t="shared" si="15"/>
        <v>0.06</v>
      </c>
      <c r="D205" s="50">
        <f t="shared" ref="D205:D268" si="16">IF(B205&gt;$C$5,0,E204*(C205/12/(1-(1+C205/12)^(-($C$5-B204)))))</f>
        <v>0</v>
      </c>
      <c r="E205" s="45">
        <f t="shared" si="13"/>
        <v>-3.4197000786662102E-9</v>
      </c>
      <c r="F205" s="45">
        <f t="shared" ref="F205:F268" si="17">IF(B205&gt;$C$5,0,E204*C205/12)</f>
        <v>0</v>
      </c>
      <c r="G205" s="45">
        <f t="shared" si="14"/>
        <v>0</v>
      </c>
    </row>
    <row r="206" spans="2:7" x14ac:dyDescent="0.25">
      <c r="B206" s="44">
        <v>195</v>
      </c>
      <c r="C206" s="49">
        <f t="shared" si="15"/>
        <v>0.06</v>
      </c>
      <c r="D206" s="50">
        <f t="shared" si="16"/>
        <v>0</v>
      </c>
      <c r="E206" s="45">
        <f t="shared" ref="E206:E269" si="18">E205-G206</f>
        <v>-3.4197000786662102E-9</v>
      </c>
      <c r="F206" s="45">
        <f t="shared" si="17"/>
        <v>0</v>
      </c>
      <c r="G206" s="45">
        <f t="shared" ref="G206:G269" si="19">D206-F206</f>
        <v>0</v>
      </c>
    </row>
    <row r="207" spans="2:7" x14ac:dyDescent="0.25">
      <c r="B207" s="44">
        <v>196</v>
      </c>
      <c r="C207" s="49">
        <f t="shared" si="15"/>
        <v>0.06</v>
      </c>
      <c r="D207" s="50">
        <f t="shared" si="16"/>
        <v>0</v>
      </c>
      <c r="E207" s="45">
        <f t="shared" si="18"/>
        <v>-3.4197000786662102E-9</v>
      </c>
      <c r="F207" s="45">
        <f t="shared" si="17"/>
        <v>0</v>
      </c>
      <c r="G207" s="45">
        <f t="shared" si="19"/>
        <v>0</v>
      </c>
    </row>
    <row r="208" spans="2:7" x14ac:dyDescent="0.25">
      <c r="B208" s="44">
        <v>197</v>
      </c>
      <c r="C208" s="49">
        <f t="shared" si="15"/>
        <v>0.06</v>
      </c>
      <c r="D208" s="50">
        <f t="shared" si="16"/>
        <v>0</v>
      </c>
      <c r="E208" s="45">
        <f t="shared" si="18"/>
        <v>-3.4197000786662102E-9</v>
      </c>
      <c r="F208" s="45">
        <f t="shared" si="17"/>
        <v>0</v>
      </c>
      <c r="G208" s="45">
        <f t="shared" si="19"/>
        <v>0</v>
      </c>
    </row>
    <row r="209" spans="2:7" x14ac:dyDescent="0.25">
      <c r="B209" s="44">
        <v>198</v>
      </c>
      <c r="C209" s="49">
        <f t="shared" si="15"/>
        <v>0.06</v>
      </c>
      <c r="D209" s="50">
        <f t="shared" si="16"/>
        <v>0</v>
      </c>
      <c r="E209" s="45">
        <f t="shared" si="18"/>
        <v>-3.4197000786662102E-9</v>
      </c>
      <c r="F209" s="45">
        <f t="shared" si="17"/>
        <v>0</v>
      </c>
      <c r="G209" s="45">
        <f t="shared" si="19"/>
        <v>0</v>
      </c>
    </row>
    <row r="210" spans="2:7" x14ac:dyDescent="0.25">
      <c r="B210" s="44">
        <v>199</v>
      </c>
      <c r="C210" s="49">
        <f t="shared" si="15"/>
        <v>0.06</v>
      </c>
      <c r="D210" s="50">
        <f t="shared" si="16"/>
        <v>0</v>
      </c>
      <c r="E210" s="45">
        <f t="shared" si="18"/>
        <v>-3.4197000786662102E-9</v>
      </c>
      <c r="F210" s="45">
        <f t="shared" si="17"/>
        <v>0</v>
      </c>
      <c r="G210" s="45">
        <f t="shared" si="19"/>
        <v>0</v>
      </c>
    </row>
    <row r="211" spans="2:7" x14ac:dyDescent="0.25">
      <c r="B211" s="44">
        <v>200</v>
      </c>
      <c r="C211" s="49">
        <f t="shared" si="15"/>
        <v>0.06</v>
      </c>
      <c r="D211" s="50">
        <f t="shared" si="16"/>
        <v>0</v>
      </c>
      <c r="E211" s="45">
        <f t="shared" si="18"/>
        <v>-3.4197000786662102E-9</v>
      </c>
      <c r="F211" s="45">
        <f t="shared" si="17"/>
        <v>0</v>
      </c>
      <c r="G211" s="45">
        <f t="shared" si="19"/>
        <v>0</v>
      </c>
    </row>
    <row r="212" spans="2:7" x14ac:dyDescent="0.25">
      <c r="B212" s="44">
        <v>201</v>
      </c>
      <c r="C212" s="49">
        <f t="shared" si="15"/>
        <v>0.06</v>
      </c>
      <c r="D212" s="50">
        <f t="shared" si="16"/>
        <v>0</v>
      </c>
      <c r="E212" s="45">
        <f t="shared" si="18"/>
        <v>-3.4197000786662102E-9</v>
      </c>
      <c r="F212" s="45">
        <f t="shared" si="17"/>
        <v>0</v>
      </c>
      <c r="G212" s="45">
        <f t="shared" si="19"/>
        <v>0</v>
      </c>
    </row>
    <row r="213" spans="2:7" x14ac:dyDescent="0.25">
      <c r="B213" s="44">
        <v>202</v>
      </c>
      <c r="C213" s="49">
        <f t="shared" si="15"/>
        <v>0.06</v>
      </c>
      <c r="D213" s="50">
        <f t="shared" si="16"/>
        <v>0</v>
      </c>
      <c r="E213" s="45">
        <f t="shared" si="18"/>
        <v>-3.4197000786662102E-9</v>
      </c>
      <c r="F213" s="45">
        <f t="shared" si="17"/>
        <v>0</v>
      </c>
      <c r="G213" s="45">
        <f t="shared" si="19"/>
        <v>0</v>
      </c>
    </row>
    <row r="214" spans="2:7" x14ac:dyDescent="0.25">
      <c r="B214" s="44">
        <v>203</v>
      </c>
      <c r="C214" s="49">
        <f t="shared" si="15"/>
        <v>0.06</v>
      </c>
      <c r="D214" s="50">
        <f t="shared" si="16"/>
        <v>0</v>
      </c>
      <c r="E214" s="45">
        <f t="shared" si="18"/>
        <v>-3.4197000786662102E-9</v>
      </c>
      <c r="F214" s="45">
        <f t="shared" si="17"/>
        <v>0</v>
      </c>
      <c r="G214" s="45">
        <f t="shared" si="19"/>
        <v>0</v>
      </c>
    </row>
    <row r="215" spans="2:7" x14ac:dyDescent="0.25">
      <c r="B215" s="44">
        <v>204</v>
      </c>
      <c r="C215" s="49">
        <f t="shared" si="15"/>
        <v>0.06</v>
      </c>
      <c r="D215" s="50">
        <f t="shared" si="16"/>
        <v>0</v>
      </c>
      <c r="E215" s="45">
        <f t="shared" si="18"/>
        <v>-3.4197000786662102E-9</v>
      </c>
      <c r="F215" s="45">
        <f t="shared" si="17"/>
        <v>0</v>
      </c>
      <c r="G215" s="45">
        <f t="shared" si="19"/>
        <v>0</v>
      </c>
    </row>
    <row r="216" spans="2:7" x14ac:dyDescent="0.25">
      <c r="B216" s="44">
        <v>205</v>
      </c>
      <c r="C216" s="49">
        <f t="shared" si="15"/>
        <v>0.06</v>
      </c>
      <c r="D216" s="50">
        <f t="shared" si="16"/>
        <v>0</v>
      </c>
      <c r="E216" s="45">
        <f t="shared" si="18"/>
        <v>-3.4197000786662102E-9</v>
      </c>
      <c r="F216" s="45">
        <f t="shared" si="17"/>
        <v>0</v>
      </c>
      <c r="G216" s="45">
        <f t="shared" si="19"/>
        <v>0</v>
      </c>
    </row>
    <row r="217" spans="2:7" x14ac:dyDescent="0.25">
      <c r="B217" s="44">
        <v>206</v>
      </c>
      <c r="C217" s="49">
        <f t="shared" si="15"/>
        <v>0.06</v>
      </c>
      <c r="D217" s="50">
        <f t="shared" si="16"/>
        <v>0</v>
      </c>
      <c r="E217" s="45">
        <f t="shared" si="18"/>
        <v>-3.4197000786662102E-9</v>
      </c>
      <c r="F217" s="45">
        <f t="shared" si="17"/>
        <v>0</v>
      </c>
      <c r="G217" s="45">
        <f t="shared" si="19"/>
        <v>0</v>
      </c>
    </row>
    <row r="218" spans="2:7" x14ac:dyDescent="0.25">
      <c r="B218" s="44">
        <v>207</v>
      </c>
      <c r="C218" s="49">
        <f t="shared" si="15"/>
        <v>0.06</v>
      </c>
      <c r="D218" s="50">
        <f t="shared" si="16"/>
        <v>0</v>
      </c>
      <c r="E218" s="45">
        <f t="shared" si="18"/>
        <v>-3.4197000786662102E-9</v>
      </c>
      <c r="F218" s="45">
        <f t="shared" si="17"/>
        <v>0</v>
      </c>
      <c r="G218" s="45">
        <f t="shared" si="19"/>
        <v>0</v>
      </c>
    </row>
    <row r="219" spans="2:7" x14ac:dyDescent="0.25">
      <c r="B219" s="44">
        <v>208</v>
      </c>
      <c r="C219" s="49">
        <f t="shared" si="15"/>
        <v>0.06</v>
      </c>
      <c r="D219" s="50">
        <f t="shared" si="16"/>
        <v>0</v>
      </c>
      <c r="E219" s="45">
        <f t="shared" si="18"/>
        <v>-3.4197000786662102E-9</v>
      </c>
      <c r="F219" s="45">
        <f t="shared" si="17"/>
        <v>0</v>
      </c>
      <c r="G219" s="45">
        <f t="shared" si="19"/>
        <v>0</v>
      </c>
    </row>
    <row r="220" spans="2:7" x14ac:dyDescent="0.25">
      <c r="B220" s="44">
        <v>209</v>
      </c>
      <c r="C220" s="49">
        <f t="shared" si="15"/>
        <v>0.06</v>
      </c>
      <c r="D220" s="50">
        <f t="shared" si="16"/>
        <v>0</v>
      </c>
      <c r="E220" s="45">
        <f t="shared" si="18"/>
        <v>-3.4197000786662102E-9</v>
      </c>
      <c r="F220" s="45">
        <f t="shared" si="17"/>
        <v>0</v>
      </c>
      <c r="G220" s="45">
        <f t="shared" si="19"/>
        <v>0</v>
      </c>
    </row>
    <row r="221" spans="2:7" x14ac:dyDescent="0.25">
      <c r="B221" s="44">
        <v>210</v>
      </c>
      <c r="C221" s="49">
        <f t="shared" si="15"/>
        <v>0.06</v>
      </c>
      <c r="D221" s="50">
        <f t="shared" si="16"/>
        <v>0</v>
      </c>
      <c r="E221" s="45">
        <f t="shared" si="18"/>
        <v>-3.4197000786662102E-9</v>
      </c>
      <c r="F221" s="45">
        <f t="shared" si="17"/>
        <v>0</v>
      </c>
      <c r="G221" s="45">
        <f t="shared" si="19"/>
        <v>0</v>
      </c>
    </row>
    <row r="222" spans="2:7" x14ac:dyDescent="0.25">
      <c r="B222" s="44">
        <v>211</v>
      </c>
      <c r="C222" s="49">
        <f t="shared" si="15"/>
        <v>0.06</v>
      </c>
      <c r="D222" s="50">
        <f t="shared" si="16"/>
        <v>0</v>
      </c>
      <c r="E222" s="45">
        <f t="shared" si="18"/>
        <v>-3.4197000786662102E-9</v>
      </c>
      <c r="F222" s="45">
        <f t="shared" si="17"/>
        <v>0</v>
      </c>
      <c r="G222" s="45">
        <f t="shared" si="19"/>
        <v>0</v>
      </c>
    </row>
    <row r="223" spans="2:7" x14ac:dyDescent="0.25">
      <c r="B223" s="44">
        <v>212</v>
      </c>
      <c r="C223" s="49">
        <f t="shared" si="15"/>
        <v>0.06</v>
      </c>
      <c r="D223" s="50">
        <f t="shared" si="16"/>
        <v>0</v>
      </c>
      <c r="E223" s="45">
        <f t="shared" si="18"/>
        <v>-3.4197000786662102E-9</v>
      </c>
      <c r="F223" s="45">
        <f t="shared" si="17"/>
        <v>0</v>
      </c>
      <c r="G223" s="45">
        <f t="shared" si="19"/>
        <v>0</v>
      </c>
    </row>
    <row r="224" spans="2:7" x14ac:dyDescent="0.25">
      <c r="B224" s="44">
        <v>213</v>
      </c>
      <c r="C224" s="49">
        <f t="shared" si="15"/>
        <v>0.06</v>
      </c>
      <c r="D224" s="50">
        <f t="shared" si="16"/>
        <v>0</v>
      </c>
      <c r="E224" s="45">
        <f t="shared" si="18"/>
        <v>-3.4197000786662102E-9</v>
      </c>
      <c r="F224" s="45">
        <f t="shared" si="17"/>
        <v>0</v>
      </c>
      <c r="G224" s="45">
        <f t="shared" si="19"/>
        <v>0</v>
      </c>
    </row>
    <row r="225" spans="2:7" x14ac:dyDescent="0.25">
      <c r="B225" s="44">
        <v>214</v>
      </c>
      <c r="C225" s="49">
        <f t="shared" si="15"/>
        <v>0.06</v>
      </c>
      <c r="D225" s="50">
        <f t="shared" si="16"/>
        <v>0</v>
      </c>
      <c r="E225" s="45">
        <f t="shared" si="18"/>
        <v>-3.4197000786662102E-9</v>
      </c>
      <c r="F225" s="45">
        <f t="shared" si="17"/>
        <v>0</v>
      </c>
      <c r="G225" s="45">
        <f t="shared" si="19"/>
        <v>0</v>
      </c>
    </row>
    <row r="226" spans="2:7" x14ac:dyDescent="0.25">
      <c r="B226" s="44">
        <v>215</v>
      </c>
      <c r="C226" s="49">
        <f t="shared" si="15"/>
        <v>0.06</v>
      </c>
      <c r="D226" s="50">
        <f t="shared" si="16"/>
        <v>0</v>
      </c>
      <c r="E226" s="45">
        <f t="shared" si="18"/>
        <v>-3.4197000786662102E-9</v>
      </c>
      <c r="F226" s="45">
        <f t="shared" si="17"/>
        <v>0</v>
      </c>
      <c r="G226" s="45">
        <f t="shared" si="19"/>
        <v>0</v>
      </c>
    </row>
    <row r="227" spans="2:7" x14ac:dyDescent="0.25">
      <c r="B227" s="44">
        <v>216</v>
      </c>
      <c r="C227" s="49">
        <f t="shared" si="15"/>
        <v>0.06</v>
      </c>
      <c r="D227" s="50">
        <f t="shared" si="16"/>
        <v>0</v>
      </c>
      <c r="E227" s="45">
        <f t="shared" si="18"/>
        <v>-3.4197000786662102E-9</v>
      </c>
      <c r="F227" s="45">
        <f t="shared" si="17"/>
        <v>0</v>
      </c>
      <c r="G227" s="45">
        <f t="shared" si="19"/>
        <v>0</v>
      </c>
    </row>
    <row r="228" spans="2:7" x14ac:dyDescent="0.25">
      <c r="B228" s="44">
        <v>217</v>
      </c>
      <c r="C228" s="49">
        <f t="shared" si="15"/>
        <v>0.06</v>
      </c>
      <c r="D228" s="50">
        <f t="shared" si="16"/>
        <v>0</v>
      </c>
      <c r="E228" s="45">
        <f t="shared" si="18"/>
        <v>-3.4197000786662102E-9</v>
      </c>
      <c r="F228" s="45">
        <f t="shared" si="17"/>
        <v>0</v>
      </c>
      <c r="G228" s="45">
        <f t="shared" si="19"/>
        <v>0</v>
      </c>
    </row>
    <row r="229" spans="2:7" x14ac:dyDescent="0.25">
      <c r="B229" s="44">
        <v>218</v>
      </c>
      <c r="C229" s="49">
        <f t="shared" si="15"/>
        <v>0.06</v>
      </c>
      <c r="D229" s="50">
        <f t="shared" si="16"/>
        <v>0</v>
      </c>
      <c r="E229" s="45">
        <f t="shared" si="18"/>
        <v>-3.4197000786662102E-9</v>
      </c>
      <c r="F229" s="45">
        <f t="shared" si="17"/>
        <v>0</v>
      </c>
      <c r="G229" s="45">
        <f t="shared" si="19"/>
        <v>0</v>
      </c>
    </row>
    <row r="230" spans="2:7" x14ac:dyDescent="0.25">
      <c r="B230" s="44">
        <v>219</v>
      </c>
      <c r="C230" s="49">
        <f t="shared" si="15"/>
        <v>0.06</v>
      </c>
      <c r="D230" s="50">
        <f t="shared" si="16"/>
        <v>0</v>
      </c>
      <c r="E230" s="45">
        <f t="shared" si="18"/>
        <v>-3.4197000786662102E-9</v>
      </c>
      <c r="F230" s="45">
        <f t="shared" si="17"/>
        <v>0</v>
      </c>
      <c r="G230" s="45">
        <f t="shared" si="19"/>
        <v>0</v>
      </c>
    </row>
    <row r="231" spans="2:7" x14ac:dyDescent="0.25">
      <c r="B231" s="44">
        <v>220</v>
      </c>
      <c r="C231" s="49">
        <f t="shared" si="15"/>
        <v>0.06</v>
      </c>
      <c r="D231" s="50">
        <f t="shared" si="16"/>
        <v>0</v>
      </c>
      <c r="E231" s="45">
        <f t="shared" si="18"/>
        <v>-3.4197000786662102E-9</v>
      </c>
      <c r="F231" s="45">
        <f t="shared" si="17"/>
        <v>0</v>
      </c>
      <c r="G231" s="45">
        <f t="shared" si="19"/>
        <v>0</v>
      </c>
    </row>
    <row r="232" spans="2:7" x14ac:dyDescent="0.25">
      <c r="B232" s="44">
        <v>221</v>
      </c>
      <c r="C232" s="49">
        <f t="shared" si="15"/>
        <v>0.06</v>
      </c>
      <c r="D232" s="50">
        <f t="shared" si="16"/>
        <v>0</v>
      </c>
      <c r="E232" s="45">
        <f t="shared" si="18"/>
        <v>-3.4197000786662102E-9</v>
      </c>
      <c r="F232" s="45">
        <f t="shared" si="17"/>
        <v>0</v>
      </c>
      <c r="G232" s="45">
        <f t="shared" si="19"/>
        <v>0</v>
      </c>
    </row>
    <row r="233" spans="2:7" x14ac:dyDescent="0.25">
      <c r="B233" s="44">
        <v>222</v>
      </c>
      <c r="C233" s="49">
        <f t="shared" si="15"/>
        <v>0.06</v>
      </c>
      <c r="D233" s="50">
        <f t="shared" si="16"/>
        <v>0</v>
      </c>
      <c r="E233" s="45">
        <f t="shared" si="18"/>
        <v>-3.4197000786662102E-9</v>
      </c>
      <c r="F233" s="45">
        <f t="shared" si="17"/>
        <v>0</v>
      </c>
      <c r="G233" s="45">
        <f t="shared" si="19"/>
        <v>0</v>
      </c>
    </row>
    <row r="234" spans="2:7" x14ac:dyDescent="0.25">
      <c r="B234" s="44">
        <v>223</v>
      </c>
      <c r="C234" s="49">
        <f t="shared" si="15"/>
        <v>0.06</v>
      </c>
      <c r="D234" s="50">
        <f t="shared" si="16"/>
        <v>0</v>
      </c>
      <c r="E234" s="45">
        <f t="shared" si="18"/>
        <v>-3.4197000786662102E-9</v>
      </c>
      <c r="F234" s="45">
        <f t="shared" si="17"/>
        <v>0</v>
      </c>
      <c r="G234" s="45">
        <f t="shared" si="19"/>
        <v>0</v>
      </c>
    </row>
    <row r="235" spans="2:7" x14ac:dyDescent="0.25">
      <c r="B235" s="44">
        <v>224</v>
      </c>
      <c r="C235" s="49">
        <f t="shared" si="15"/>
        <v>0.06</v>
      </c>
      <c r="D235" s="50">
        <f t="shared" si="16"/>
        <v>0</v>
      </c>
      <c r="E235" s="45">
        <f t="shared" si="18"/>
        <v>-3.4197000786662102E-9</v>
      </c>
      <c r="F235" s="45">
        <f t="shared" si="17"/>
        <v>0</v>
      </c>
      <c r="G235" s="45">
        <f t="shared" si="19"/>
        <v>0</v>
      </c>
    </row>
    <row r="236" spans="2:7" x14ac:dyDescent="0.25">
      <c r="B236" s="44">
        <v>225</v>
      </c>
      <c r="C236" s="49">
        <f t="shared" si="15"/>
        <v>0.06</v>
      </c>
      <c r="D236" s="50">
        <f t="shared" si="16"/>
        <v>0</v>
      </c>
      <c r="E236" s="45">
        <f t="shared" si="18"/>
        <v>-3.4197000786662102E-9</v>
      </c>
      <c r="F236" s="45">
        <f t="shared" si="17"/>
        <v>0</v>
      </c>
      <c r="G236" s="45">
        <f t="shared" si="19"/>
        <v>0</v>
      </c>
    </row>
    <row r="237" spans="2:7" x14ac:dyDescent="0.25">
      <c r="B237" s="44">
        <v>226</v>
      </c>
      <c r="C237" s="49">
        <f t="shared" si="15"/>
        <v>0.06</v>
      </c>
      <c r="D237" s="50">
        <f t="shared" si="16"/>
        <v>0</v>
      </c>
      <c r="E237" s="45">
        <f t="shared" si="18"/>
        <v>-3.4197000786662102E-9</v>
      </c>
      <c r="F237" s="45">
        <f t="shared" si="17"/>
        <v>0</v>
      </c>
      <c r="G237" s="45">
        <f t="shared" si="19"/>
        <v>0</v>
      </c>
    </row>
    <row r="238" spans="2:7" x14ac:dyDescent="0.25">
      <c r="B238" s="44">
        <v>227</v>
      </c>
      <c r="C238" s="49">
        <f t="shared" si="15"/>
        <v>0.06</v>
      </c>
      <c r="D238" s="50">
        <f t="shared" si="16"/>
        <v>0</v>
      </c>
      <c r="E238" s="45">
        <f t="shared" si="18"/>
        <v>-3.4197000786662102E-9</v>
      </c>
      <c r="F238" s="45">
        <f t="shared" si="17"/>
        <v>0</v>
      </c>
      <c r="G238" s="45">
        <f t="shared" si="19"/>
        <v>0</v>
      </c>
    </row>
    <row r="239" spans="2:7" x14ac:dyDescent="0.25">
      <c r="B239" s="44">
        <v>228</v>
      </c>
      <c r="C239" s="49">
        <f t="shared" si="15"/>
        <v>0.06</v>
      </c>
      <c r="D239" s="50">
        <f t="shared" si="16"/>
        <v>0</v>
      </c>
      <c r="E239" s="45">
        <f t="shared" si="18"/>
        <v>-3.4197000786662102E-9</v>
      </c>
      <c r="F239" s="45">
        <f t="shared" si="17"/>
        <v>0</v>
      </c>
      <c r="G239" s="45">
        <f t="shared" si="19"/>
        <v>0</v>
      </c>
    </row>
    <row r="240" spans="2:7" x14ac:dyDescent="0.25">
      <c r="B240" s="44">
        <v>229</v>
      </c>
      <c r="C240" s="49">
        <f t="shared" si="15"/>
        <v>0.06</v>
      </c>
      <c r="D240" s="50">
        <f t="shared" si="16"/>
        <v>0</v>
      </c>
      <c r="E240" s="45">
        <f t="shared" si="18"/>
        <v>-3.4197000786662102E-9</v>
      </c>
      <c r="F240" s="45">
        <f t="shared" si="17"/>
        <v>0</v>
      </c>
      <c r="G240" s="45">
        <f t="shared" si="19"/>
        <v>0</v>
      </c>
    </row>
    <row r="241" spans="2:7" x14ac:dyDescent="0.25">
      <c r="B241" s="44">
        <v>230</v>
      </c>
      <c r="C241" s="49">
        <f t="shared" si="15"/>
        <v>0.06</v>
      </c>
      <c r="D241" s="50">
        <f t="shared" si="16"/>
        <v>0</v>
      </c>
      <c r="E241" s="45">
        <f t="shared" si="18"/>
        <v>-3.4197000786662102E-9</v>
      </c>
      <c r="F241" s="45">
        <f t="shared" si="17"/>
        <v>0</v>
      </c>
      <c r="G241" s="45">
        <f t="shared" si="19"/>
        <v>0</v>
      </c>
    </row>
    <row r="242" spans="2:7" x14ac:dyDescent="0.25">
      <c r="B242" s="44">
        <v>231</v>
      </c>
      <c r="C242" s="49">
        <f t="shared" si="15"/>
        <v>0.06</v>
      </c>
      <c r="D242" s="50">
        <f t="shared" si="16"/>
        <v>0</v>
      </c>
      <c r="E242" s="45">
        <f t="shared" si="18"/>
        <v>-3.4197000786662102E-9</v>
      </c>
      <c r="F242" s="45">
        <f t="shared" si="17"/>
        <v>0</v>
      </c>
      <c r="G242" s="45">
        <f t="shared" si="19"/>
        <v>0</v>
      </c>
    </row>
    <row r="243" spans="2:7" x14ac:dyDescent="0.25">
      <c r="B243" s="44">
        <v>232</v>
      </c>
      <c r="C243" s="49">
        <f t="shared" si="15"/>
        <v>0.06</v>
      </c>
      <c r="D243" s="50">
        <f t="shared" si="16"/>
        <v>0</v>
      </c>
      <c r="E243" s="45">
        <f t="shared" si="18"/>
        <v>-3.4197000786662102E-9</v>
      </c>
      <c r="F243" s="45">
        <f t="shared" si="17"/>
        <v>0</v>
      </c>
      <c r="G243" s="45">
        <f t="shared" si="19"/>
        <v>0</v>
      </c>
    </row>
    <row r="244" spans="2:7" x14ac:dyDescent="0.25">
      <c r="B244" s="44">
        <v>233</v>
      </c>
      <c r="C244" s="49">
        <f t="shared" si="15"/>
        <v>0.06</v>
      </c>
      <c r="D244" s="50">
        <f t="shared" si="16"/>
        <v>0</v>
      </c>
      <c r="E244" s="45">
        <f t="shared" si="18"/>
        <v>-3.4197000786662102E-9</v>
      </c>
      <c r="F244" s="45">
        <f t="shared" si="17"/>
        <v>0</v>
      </c>
      <c r="G244" s="45">
        <f t="shared" si="19"/>
        <v>0</v>
      </c>
    </row>
    <row r="245" spans="2:7" x14ac:dyDescent="0.25">
      <c r="B245" s="44">
        <v>234</v>
      </c>
      <c r="C245" s="49">
        <f t="shared" si="15"/>
        <v>0.06</v>
      </c>
      <c r="D245" s="50">
        <f t="shared" si="16"/>
        <v>0</v>
      </c>
      <c r="E245" s="45">
        <f t="shared" si="18"/>
        <v>-3.4197000786662102E-9</v>
      </c>
      <c r="F245" s="45">
        <f t="shared" si="17"/>
        <v>0</v>
      </c>
      <c r="G245" s="45">
        <f t="shared" si="19"/>
        <v>0</v>
      </c>
    </row>
    <row r="246" spans="2:7" x14ac:dyDescent="0.25">
      <c r="B246" s="44">
        <v>235</v>
      </c>
      <c r="C246" s="49">
        <f t="shared" si="15"/>
        <v>0.06</v>
      </c>
      <c r="D246" s="50">
        <f t="shared" si="16"/>
        <v>0</v>
      </c>
      <c r="E246" s="45">
        <f t="shared" si="18"/>
        <v>-3.4197000786662102E-9</v>
      </c>
      <c r="F246" s="45">
        <f t="shared" si="17"/>
        <v>0</v>
      </c>
      <c r="G246" s="45">
        <f t="shared" si="19"/>
        <v>0</v>
      </c>
    </row>
    <row r="247" spans="2:7" x14ac:dyDescent="0.25">
      <c r="B247" s="44">
        <v>236</v>
      </c>
      <c r="C247" s="49">
        <f t="shared" si="15"/>
        <v>0.06</v>
      </c>
      <c r="D247" s="50">
        <f t="shared" si="16"/>
        <v>0</v>
      </c>
      <c r="E247" s="45">
        <f t="shared" si="18"/>
        <v>-3.4197000786662102E-9</v>
      </c>
      <c r="F247" s="45">
        <f t="shared" si="17"/>
        <v>0</v>
      </c>
      <c r="G247" s="45">
        <f t="shared" si="19"/>
        <v>0</v>
      </c>
    </row>
    <row r="248" spans="2:7" x14ac:dyDescent="0.25">
      <c r="B248" s="44">
        <v>237</v>
      </c>
      <c r="C248" s="49">
        <f t="shared" si="15"/>
        <v>0.06</v>
      </c>
      <c r="D248" s="50">
        <f t="shared" si="16"/>
        <v>0</v>
      </c>
      <c r="E248" s="45">
        <f t="shared" si="18"/>
        <v>-3.4197000786662102E-9</v>
      </c>
      <c r="F248" s="45">
        <f t="shared" si="17"/>
        <v>0</v>
      </c>
      <c r="G248" s="45">
        <f t="shared" si="19"/>
        <v>0</v>
      </c>
    </row>
    <row r="249" spans="2:7" x14ac:dyDescent="0.25">
      <c r="B249" s="44">
        <v>238</v>
      </c>
      <c r="C249" s="49">
        <f t="shared" si="15"/>
        <v>0.06</v>
      </c>
      <c r="D249" s="50">
        <f t="shared" si="16"/>
        <v>0</v>
      </c>
      <c r="E249" s="45">
        <f t="shared" si="18"/>
        <v>-3.4197000786662102E-9</v>
      </c>
      <c r="F249" s="45">
        <f t="shared" si="17"/>
        <v>0</v>
      </c>
      <c r="G249" s="45">
        <f t="shared" si="19"/>
        <v>0</v>
      </c>
    </row>
    <row r="250" spans="2:7" x14ac:dyDescent="0.25">
      <c r="B250" s="44">
        <v>239</v>
      </c>
      <c r="C250" s="49">
        <f t="shared" si="15"/>
        <v>0.06</v>
      </c>
      <c r="D250" s="50">
        <f t="shared" si="16"/>
        <v>0</v>
      </c>
      <c r="E250" s="45">
        <f t="shared" si="18"/>
        <v>-3.4197000786662102E-9</v>
      </c>
      <c r="F250" s="45">
        <f t="shared" si="17"/>
        <v>0</v>
      </c>
      <c r="G250" s="45">
        <f t="shared" si="19"/>
        <v>0</v>
      </c>
    </row>
    <row r="251" spans="2:7" x14ac:dyDescent="0.25">
      <c r="B251" s="44">
        <v>240</v>
      </c>
      <c r="C251" s="49">
        <f t="shared" si="15"/>
        <v>0.06</v>
      </c>
      <c r="D251" s="50">
        <f t="shared" si="16"/>
        <v>0</v>
      </c>
      <c r="E251" s="45">
        <f t="shared" si="18"/>
        <v>-3.4197000786662102E-9</v>
      </c>
      <c r="F251" s="45">
        <f t="shared" si="17"/>
        <v>0</v>
      </c>
      <c r="G251" s="45">
        <f t="shared" si="19"/>
        <v>0</v>
      </c>
    </row>
    <row r="252" spans="2:7" x14ac:dyDescent="0.25">
      <c r="B252" s="44">
        <v>241</v>
      </c>
      <c r="C252" s="49">
        <f t="shared" si="15"/>
        <v>0.06</v>
      </c>
      <c r="D252" s="50">
        <f t="shared" si="16"/>
        <v>0</v>
      </c>
      <c r="E252" s="45">
        <f t="shared" si="18"/>
        <v>-3.4197000786662102E-9</v>
      </c>
      <c r="F252" s="45">
        <f t="shared" si="17"/>
        <v>0</v>
      </c>
      <c r="G252" s="45">
        <f t="shared" si="19"/>
        <v>0</v>
      </c>
    </row>
    <row r="253" spans="2:7" x14ac:dyDescent="0.25">
      <c r="B253" s="44">
        <v>242</v>
      </c>
      <c r="C253" s="49">
        <f t="shared" si="15"/>
        <v>0.06</v>
      </c>
      <c r="D253" s="50">
        <f t="shared" si="16"/>
        <v>0</v>
      </c>
      <c r="E253" s="45">
        <f t="shared" si="18"/>
        <v>-3.4197000786662102E-9</v>
      </c>
      <c r="F253" s="45">
        <f t="shared" si="17"/>
        <v>0</v>
      </c>
      <c r="G253" s="45">
        <f t="shared" si="19"/>
        <v>0</v>
      </c>
    </row>
    <row r="254" spans="2:7" x14ac:dyDescent="0.25">
      <c r="B254" s="44">
        <v>243</v>
      </c>
      <c r="C254" s="49">
        <f t="shared" si="15"/>
        <v>0.06</v>
      </c>
      <c r="D254" s="50">
        <f t="shared" si="16"/>
        <v>0</v>
      </c>
      <c r="E254" s="45">
        <f t="shared" si="18"/>
        <v>-3.4197000786662102E-9</v>
      </c>
      <c r="F254" s="45">
        <f t="shared" si="17"/>
        <v>0</v>
      </c>
      <c r="G254" s="45">
        <f t="shared" si="19"/>
        <v>0</v>
      </c>
    </row>
    <row r="255" spans="2:7" x14ac:dyDescent="0.25">
      <c r="B255" s="44">
        <v>244</v>
      </c>
      <c r="C255" s="49">
        <f t="shared" si="15"/>
        <v>0.06</v>
      </c>
      <c r="D255" s="50">
        <f t="shared" si="16"/>
        <v>0</v>
      </c>
      <c r="E255" s="45">
        <f t="shared" si="18"/>
        <v>-3.4197000786662102E-9</v>
      </c>
      <c r="F255" s="45">
        <f t="shared" si="17"/>
        <v>0</v>
      </c>
      <c r="G255" s="45">
        <f t="shared" si="19"/>
        <v>0</v>
      </c>
    </row>
    <row r="256" spans="2:7" x14ac:dyDescent="0.25">
      <c r="B256" s="44">
        <v>245</v>
      </c>
      <c r="C256" s="49">
        <f t="shared" si="15"/>
        <v>0.06</v>
      </c>
      <c r="D256" s="50">
        <f t="shared" si="16"/>
        <v>0</v>
      </c>
      <c r="E256" s="45">
        <f t="shared" si="18"/>
        <v>-3.4197000786662102E-9</v>
      </c>
      <c r="F256" s="45">
        <f t="shared" si="17"/>
        <v>0</v>
      </c>
      <c r="G256" s="45">
        <f t="shared" si="19"/>
        <v>0</v>
      </c>
    </row>
    <row r="257" spans="2:7" x14ac:dyDescent="0.25">
      <c r="B257" s="44">
        <v>246</v>
      </c>
      <c r="C257" s="49">
        <f t="shared" si="15"/>
        <v>0.06</v>
      </c>
      <c r="D257" s="50">
        <f t="shared" si="16"/>
        <v>0</v>
      </c>
      <c r="E257" s="45">
        <f t="shared" si="18"/>
        <v>-3.4197000786662102E-9</v>
      </c>
      <c r="F257" s="45">
        <f t="shared" si="17"/>
        <v>0</v>
      </c>
      <c r="G257" s="45">
        <f t="shared" si="19"/>
        <v>0</v>
      </c>
    </row>
    <row r="258" spans="2:7" x14ac:dyDescent="0.25">
      <c r="B258" s="44">
        <v>247</v>
      </c>
      <c r="C258" s="49">
        <f t="shared" si="15"/>
        <v>0.06</v>
      </c>
      <c r="D258" s="50">
        <f t="shared" si="16"/>
        <v>0</v>
      </c>
      <c r="E258" s="45">
        <f t="shared" si="18"/>
        <v>-3.4197000786662102E-9</v>
      </c>
      <c r="F258" s="45">
        <f t="shared" si="17"/>
        <v>0</v>
      </c>
      <c r="G258" s="45">
        <f t="shared" si="19"/>
        <v>0</v>
      </c>
    </row>
    <row r="259" spans="2:7" x14ac:dyDescent="0.25">
      <c r="B259" s="44">
        <v>248</v>
      </c>
      <c r="C259" s="49">
        <f t="shared" si="15"/>
        <v>0.06</v>
      </c>
      <c r="D259" s="50">
        <f t="shared" si="16"/>
        <v>0</v>
      </c>
      <c r="E259" s="45">
        <f t="shared" si="18"/>
        <v>-3.4197000786662102E-9</v>
      </c>
      <c r="F259" s="45">
        <f t="shared" si="17"/>
        <v>0</v>
      </c>
      <c r="G259" s="45">
        <f t="shared" si="19"/>
        <v>0</v>
      </c>
    </row>
    <row r="260" spans="2:7" x14ac:dyDescent="0.25">
      <c r="B260" s="44">
        <v>249</v>
      </c>
      <c r="C260" s="49">
        <f t="shared" si="15"/>
        <v>0.06</v>
      </c>
      <c r="D260" s="50">
        <f t="shared" si="16"/>
        <v>0</v>
      </c>
      <c r="E260" s="45">
        <f t="shared" si="18"/>
        <v>-3.4197000786662102E-9</v>
      </c>
      <c r="F260" s="45">
        <f t="shared" si="17"/>
        <v>0</v>
      </c>
      <c r="G260" s="45">
        <f t="shared" si="19"/>
        <v>0</v>
      </c>
    </row>
    <row r="261" spans="2:7" x14ac:dyDescent="0.25">
      <c r="B261" s="44">
        <v>250</v>
      </c>
      <c r="C261" s="49">
        <f t="shared" si="15"/>
        <v>0.06</v>
      </c>
      <c r="D261" s="50">
        <f t="shared" si="16"/>
        <v>0</v>
      </c>
      <c r="E261" s="45">
        <f t="shared" si="18"/>
        <v>-3.4197000786662102E-9</v>
      </c>
      <c r="F261" s="45">
        <f t="shared" si="17"/>
        <v>0</v>
      </c>
      <c r="G261" s="45">
        <f t="shared" si="19"/>
        <v>0</v>
      </c>
    </row>
    <row r="262" spans="2:7" x14ac:dyDescent="0.25">
      <c r="B262" s="44">
        <v>251</v>
      </c>
      <c r="C262" s="49">
        <f t="shared" si="15"/>
        <v>0.06</v>
      </c>
      <c r="D262" s="50">
        <f t="shared" si="16"/>
        <v>0</v>
      </c>
      <c r="E262" s="45">
        <f t="shared" si="18"/>
        <v>-3.4197000786662102E-9</v>
      </c>
      <c r="F262" s="45">
        <f t="shared" si="17"/>
        <v>0</v>
      </c>
      <c r="G262" s="45">
        <f t="shared" si="19"/>
        <v>0</v>
      </c>
    </row>
    <row r="263" spans="2:7" x14ac:dyDescent="0.25">
      <c r="B263" s="44">
        <v>252</v>
      </c>
      <c r="C263" s="49">
        <f t="shared" si="15"/>
        <v>0.06</v>
      </c>
      <c r="D263" s="50">
        <f t="shared" si="16"/>
        <v>0</v>
      </c>
      <c r="E263" s="45">
        <f t="shared" si="18"/>
        <v>-3.4197000786662102E-9</v>
      </c>
      <c r="F263" s="45">
        <f t="shared" si="17"/>
        <v>0</v>
      </c>
      <c r="G263" s="45">
        <f t="shared" si="19"/>
        <v>0</v>
      </c>
    </row>
    <row r="264" spans="2:7" x14ac:dyDescent="0.25">
      <c r="B264" s="44">
        <v>253</v>
      </c>
      <c r="C264" s="49">
        <f t="shared" si="15"/>
        <v>0.06</v>
      </c>
      <c r="D264" s="50">
        <f t="shared" si="16"/>
        <v>0</v>
      </c>
      <c r="E264" s="45">
        <f t="shared" si="18"/>
        <v>-3.4197000786662102E-9</v>
      </c>
      <c r="F264" s="45">
        <f t="shared" si="17"/>
        <v>0</v>
      </c>
      <c r="G264" s="45">
        <f t="shared" si="19"/>
        <v>0</v>
      </c>
    </row>
    <row r="265" spans="2:7" x14ac:dyDescent="0.25">
      <c r="B265" s="44">
        <v>254</v>
      </c>
      <c r="C265" s="49">
        <f t="shared" si="15"/>
        <v>0.06</v>
      </c>
      <c r="D265" s="50">
        <f t="shared" si="16"/>
        <v>0</v>
      </c>
      <c r="E265" s="45">
        <f t="shared" si="18"/>
        <v>-3.4197000786662102E-9</v>
      </c>
      <c r="F265" s="45">
        <f t="shared" si="17"/>
        <v>0</v>
      </c>
      <c r="G265" s="45">
        <f t="shared" si="19"/>
        <v>0</v>
      </c>
    </row>
    <row r="266" spans="2:7" x14ac:dyDescent="0.25">
      <c r="B266" s="44">
        <v>255</v>
      </c>
      <c r="C266" s="49">
        <f t="shared" si="15"/>
        <v>0.06</v>
      </c>
      <c r="D266" s="50">
        <f t="shared" si="16"/>
        <v>0</v>
      </c>
      <c r="E266" s="45">
        <f t="shared" si="18"/>
        <v>-3.4197000786662102E-9</v>
      </c>
      <c r="F266" s="45">
        <f t="shared" si="17"/>
        <v>0</v>
      </c>
      <c r="G266" s="45">
        <f t="shared" si="19"/>
        <v>0</v>
      </c>
    </row>
    <row r="267" spans="2:7" x14ac:dyDescent="0.25">
      <c r="B267" s="44">
        <v>256</v>
      </c>
      <c r="C267" s="49">
        <f t="shared" si="15"/>
        <v>0.06</v>
      </c>
      <c r="D267" s="50">
        <f t="shared" si="16"/>
        <v>0</v>
      </c>
      <c r="E267" s="45">
        <f t="shared" si="18"/>
        <v>-3.4197000786662102E-9</v>
      </c>
      <c r="F267" s="45">
        <f t="shared" si="17"/>
        <v>0</v>
      </c>
      <c r="G267" s="45">
        <f t="shared" si="19"/>
        <v>0</v>
      </c>
    </row>
    <row r="268" spans="2:7" x14ac:dyDescent="0.25">
      <c r="B268" s="44">
        <v>257</v>
      </c>
      <c r="C268" s="49">
        <f t="shared" ref="C268:C331" si="20">IF(B268&gt;$C$6,$C$4,$C$3)</f>
        <v>0.06</v>
      </c>
      <c r="D268" s="50">
        <f t="shared" si="16"/>
        <v>0</v>
      </c>
      <c r="E268" s="45">
        <f t="shared" si="18"/>
        <v>-3.4197000786662102E-9</v>
      </c>
      <c r="F268" s="45">
        <f t="shared" si="17"/>
        <v>0</v>
      </c>
      <c r="G268" s="45">
        <f t="shared" si="19"/>
        <v>0</v>
      </c>
    </row>
    <row r="269" spans="2:7" x14ac:dyDescent="0.25">
      <c r="B269" s="44">
        <v>258</v>
      </c>
      <c r="C269" s="49">
        <f t="shared" si="20"/>
        <v>0.06</v>
      </c>
      <c r="D269" s="50">
        <f t="shared" ref="D269:D332" si="21">IF(B269&gt;$C$5,0,E268*(C269/12/(1-(1+C269/12)^(-($C$5-B268)))))</f>
        <v>0</v>
      </c>
      <c r="E269" s="45">
        <f t="shared" si="18"/>
        <v>-3.4197000786662102E-9</v>
      </c>
      <c r="F269" s="45">
        <f t="shared" ref="F269:F332" si="22">IF(B269&gt;$C$5,0,E268*C269/12)</f>
        <v>0</v>
      </c>
      <c r="G269" s="45">
        <f t="shared" si="19"/>
        <v>0</v>
      </c>
    </row>
    <row r="270" spans="2:7" x14ac:dyDescent="0.25">
      <c r="B270" s="44">
        <v>259</v>
      </c>
      <c r="C270" s="49">
        <f t="shared" si="20"/>
        <v>0.06</v>
      </c>
      <c r="D270" s="50">
        <f t="shared" si="21"/>
        <v>0</v>
      </c>
      <c r="E270" s="45">
        <f t="shared" ref="E270:E333" si="23">E269-G270</f>
        <v>-3.4197000786662102E-9</v>
      </c>
      <c r="F270" s="45">
        <f t="shared" si="22"/>
        <v>0</v>
      </c>
      <c r="G270" s="45">
        <f t="shared" ref="G270:G333" si="24">D270-F270</f>
        <v>0</v>
      </c>
    </row>
    <row r="271" spans="2:7" x14ac:dyDescent="0.25">
      <c r="B271" s="44">
        <v>260</v>
      </c>
      <c r="C271" s="49">
        <f t="shared" si="20"/>
        <v>0.06</v>
      </c>
      <c r="D271" s="50">
        <f t="shared" si="21"/>
        <v>0</v>
      </c>
      <c r="E271" s="45">
        <f t="shared" si="23"/>
        <v>-3.4197000786662102E-9</v>
      </c>
      <c r="F271" s="45">
        <f t="shared" si="22"/>
        <v>0</v>
      </c>
      <c r="G271" s="45">
        <f t="shared" si="24"/>
        <v>0</v>
      </c>
    </row>
    <row r="272" spans="2:7" x14ac:dyDescent="0.25">
      <c r="B272" s="44">
        <v>261</v>
      </c>
      <c r="C272" s="49">
        <f t="shared" si="20"/>
        <v>0.06</v>
      </c>
      <c r="D272" s="50">
        <f t="shared" si="21"/>
        <v>0</v>
      </c>
      <c r="E272" s="45">
        <f t="shared" si="23"/>
        <v>-3.4197000786662102E-9</v>
      </c>
      <c r="F272" s="45">
        <f t="shared" si="22"/>
        <v>0</v>
      </c>
      <c r="G272" s="45">
        <f t="shared" si="24"/>
        <v>0</v>
      </c>
    </row>
    <row r="273" spans="2:7" x14ac:dyDescent="0.25">
      <c r="B273" s="44">
        <v>262</v>
      </c>
      <c r="C273" s="49">
        <f t="shared" si="20"/>
        <v>0.06</v>
      </c>
      <c r="D273" s="50">
        <f t="shared" si="21"/>
        <v>0</v>
      </c>
      <c r="E273" s="45">
        <f t="shared" si="23"/>
        <v>-3.4197000786662102E-9</v>
      </c>
      <c r="F273" s="45">
        <f t="shared" si="22"/>
        <v>0</v>
      </c>
      <c r="G273" s="45">
        <f t="shared" si="24"/>
        <v>0</v>
      </c>
    </row>
    <row r="274" spans="2:7" x14ac:dyDescent="0.25">
      <c r="B274" s="44">
        <v>263</v>
      </c>
      <c r="C274" s="49">
        <f t="shared" si="20"/>
        <v>0.06</v>
      </c>
      <c r="D274" s="50">
        <f t="shared" si="21"/>
        <v>0</v>
      </c>
      <c r="E274" s="45">
        <f t="shared" si="23"/>
        <v>-3.4197000786662102E-9</v>
      </c>
      <c r="F274" s="45">
        <f t="shared" si="22"/>
        <v>0</v>
      </c>
      <c r="G274" s="45">
        <f t="shared" si="24"/>
        <v>0</v>
      </c>
    </row>
    <row r="275" spans="2:7" x14ac:dyDescent="0.25">
      <c r="B275" s="44">
        <v>264</v>
      </c>
      <c r="C275" s="49">
        <f t="shared" si="20"/>
        <v>0.06</v>
      </c>
      <c r="D275" s="50">
        <f t="shared" si="21"/>
        <v>0</v>
      </c>
      <c r="E275" s="45">
        <f t="shared" si="23"/>
        <v>-3.4197000786662102E-9</v>
      </c>
      <c r="F275" s="45">
        <f t="shared" si="22"/>
        <v>0</v>
      </c>
      <c r="G275" s="45">
        <f t="shared" si="24"/>
        <v>0</v>
      </c>
    </row>
    <row r="276" spans="2:7" x14ac:dyDescent="0.25">
      <c r="B276" s="44">
        <v>265</v>
      </c>
      <c r="C276" s="49">
        <f t="shared" si="20"/>
        <v>0.06</v>
      </c>
      <c r="D276" s="50">
        <f t="shared" si="21"/>
        <v>0</v>
      </c>
      <c r="E276" s="45">
        <f t="shared" si="23"/>
        <v>-3.4197000786662102E-9</v>
      </c>
      <c r="F276" s="45">
        <f t="shared" si="22"/>
        <v>0</v>
      </c>
      <c r="G276" s="45">
        <f t="shared" si="24"/>
        <v>0</v>
      </c>
    </row>
    <row r="277" spans="2:7" x14ac:dyDescent="0.25">
      <c r="B277" s="44">
        <v>266</v>
      </c>
      <c r="C277" s="49">
        <f t="shared" si="20"/>
        <v>0.06</v>
      </c>
      <c r="D277" s="50">
        <f t="shared" si="21"/>
        <v>0</v>
      </c>
      <c r="E277" s="45">
        <f t="shared" si="23"/>
        <v>-3.4197000786662102E-9</v>
      </c>
      <c r="F277" s="45">
        <f t="shared" si="22"/>
        <v>0</v>
      </c>
      <c r="G277" s="45">
        <f t="shared" si="24"/>
        <v>0</v>
      </c>
    </row>
    <row r="278" spans="2:7" x14ac:dyDescent="0.25">
      <c r="B278" s="44">
        <v>267</v>
      </c>
      <c r="C278" s="49">
        <f t="shared" si="20"/>
        <v>0.06</v>
      </c>
      <c r="D278" s="50">
        <f t="shared" si="21"/>
        <v>0</v>
      </c>
      <c r="E278" s="45">
        <f t="shared" si="23"/>
        <v>-3.4197000786662102E-9</v>
      </c>
      <c r="F278" s="45">
        <f t="shared" si="22"/>
        <v>0</v>
      </c>
      <c r="G278" s="45">
        <f t="shared" si="24"/>
        <v>0</v>
      </c>
    </row>
    <row r="279" spans="2:7" x14ac:dyDescent="0.25">
      <c r="B279" s="44">
        <v>268</v>
      </c>
      <c r="C279" s="49">
        <f t="shared" si="20"/>
        <v>0.06</v>
      </c>
      <c r="D279" s="50">
        <f t="shared" si="21"/>
        <v>0</v>
      </c>
      <c r="E279" s="45">
        <f t="shared" si="23"/>
        <v>-3.4197000786662102E-9</v>
      </c>
      <c r="F279" s="45">
        <f t="shared" si="22"/>
        <v>0</v>
      </c>
      <c r="G279" s="45">
        <f t="shared" si="24"/>
        <v>0</v>
      </c>
    </row>
    <row r="280" spans="2:7" x14ac:dyDescent="0.25">
      <c r="B280" s="44">
        <v>269</v>
      </c>
      <c r="C280" s="49">
        <f t="shared" si="20"/>
        <v>0.06</v>
      </c>
      <c r="D280" s="50">
        <f t="shared" si="21"/>
        <v>0</v>
      </c>
      <c r="E280" s="45">
        <f t="shared" si="23"/>
        <v>-3.4197000786662102E-9</v>
      </c>
      <c r="F280" s="45">
        <f t="shared" si="22"/>
        <v>0</v>
      </c>
      <c r="G280" s="45">
        <f t="shared" si="24"/>
        <v>0</v>
      </c>
    </row>
    <row r="281" spans="2:7" x14ac:dyDescent="0.25">
      <c r="B281" s="44">
        <v>270</v>
      </c>
      <c r="C281" s="49">
        <f t="shared" si="20"/>
        <v>0.06</v>
      </c>
      <c r="D281" s="50">
        <f t="shared" si="21"/>
        <v>0</v>
      </c>
      <c r="E281" s="45">
        <f t="shared" si="23"/>
        <v>-3.4197000786662102E-9</v>
      </c>
      <c r="F281" s="45">
        <f t="shared" si="22"/>
        <v>0</v>
      </c>
      <c r="G281" s="45">
        <f t="shared" si="24"/>
        <v>0</v>
      </c>
    </row>
    <row r="282" spans="2:7" x14ac:dyDescent="0.25">
      <c r="B282" s="44">
        <v>271</v>
      </c>
      <c r="C282" s="49">
        <f t="shared" si="20"/>
        <v>0.06</v>
      </c>
      <c r="D282" s="50">
        <f t="shared" si="21"/>
        <v>0</v>
      </c>
      <c r="E282" s="45">
        <f t="shared" si="23"/>
        <v>-3.4197000786662102E-9</v>
      </c>
      <c r="F282" s="45">
        <f t="shared" si="22"/>
        <v>0</v>
      </c>
      <c r="G282" s="45">
        <f t="shared" si="24"/>
        <v>0</v>
      </c>
    </row>
    <row r="283" spans="2:7" x14ac:dyDescent="0.25">
      <c r="B283" s="44">
        <v>272</v>
      </c>
      <c r="C283" s="49">
        <f t="shared" si="20"/>
        <v>0.06</v>
      </c>
      <c r="D283" s="50">
        <f t="shared" si="21"/>
        <v>0</v>
      </c>
      <c r="E283" s="45">
        <f t="shared" si="23"/>
        <v>-3.4197000786662102E-9</v>
      </c>
      <c r="F283" s="45">
        <f t="shared" si="22"/>
        <v>0</v>
      </c>
      <c r="G283" s="45">
        <f t="shared" si="24"/>
        <v>0</v>
      </c>
    </row>
    <row r="284" spans="2:7" x14ac:dyDescent="0.25">
      <c r="B284" s="44">
        <v>273</v>
      </c>
      <c r="C284" s="49">
        <f t="shared" si="20"/>
        <v>0.06</v>
      </c>
      <c r="D284" s="50">
        <f t="shared" si="21"/>
        <v>0</v>
      </c>
      <c r="E284" s="45">
        <f t="shared" si="23"/>
        <v>-3.4197000786662102E-9</v>
      </c>
      <c r="F284" s="45">
        <f t="shared" si="22"/>
        <v>0</v>
      </c>
      <c r="G284" s="45">
        <f t="shared" si="24"/>
        <v>0</v>
      </c>
    </row>
    <row r="285" spans="2:7" x14ac:dyDescent="0.25">
      <c r="B285" s="44">
        <v>274</v>
      </c>
      <c r="C285" s="49">
        <f t="shared" si="20"/>
        <v>0.06</v>
      </c>
      <c r="D285" s="50">
        <f t="shared" si="21"/>
        <v>0</v>
      </c>
      <c r="E285" s="45">
        <f t="shared" si="23"/>
        <v>-3.4197000786662102E-9</v>
      </c>
      <c r="F285" s="45">
        <f t="shared" si="22"/>
        <v>0</v>
      </c>
      <c r="G285" s="45">
        <f t="shared" si="24"/>
        <v>0</v>
      </c>
    </row>
    <row r="286" spans="2:7" x14ac:dyDescent="0.25">
      <c r="B286" s="44">
        <v>275</v>
      </c>
      <c r="C286" s="49">
        <f t="shared" si="20"/>
        <v>0.06</v>
      </c>
      <c r="D286" s="50">
        <f t="shared" si="21"/>
        <v>0</v>
      </c>
      <c r="E286" s="45">
        <f t="shared" si="23"/>
        <v>-3.4197000786662102E-9</v>
      </c>
      <c r="F286" s="45">
        <f t="shared" si="22"/>
        <v>0</v>
      </c>
      <c r="G286" s="45">
        <f t="shared" si="24"/>
        <v>0</v>
      </c>
    </row>
    <row r="287" spans="2:7" x14ac:dyDescent="0.25">
      <c r="B287" s="44">
        <v>276</v>
      </c>
      <c r="C287" s="49">
        <f t="shared" si="20"/>
        <v>0.06</v>
      </c>
      <c r="D287" s="50">
        <f t="shared" si="21"/>
        <v>0</v>
      </c>
      <c r="E287" s="45">
        <f t="shared" si="23"/>
        <v>-3.4197000786662102E-9</v>
      </c>
      <c r="F287" s="45">
        <f t="shared" si="22"/>
        <v>0</v>
      </c>
      <c r="G287" s="45">
        <f t="shared" si="24"/>
        <v>0</v>
      </c>
    </row>
    <row r="288" spans="2:7" x14ac:dyDescent="0.25">
      <c r="B288" s="44">
        <v>277</v>
      </c>
      <c r="C288" s="49">
        <f t="shared" si="20"/>
        <v>0.06</v>
      </c>
      <c r="D288" s="50">
        <f t="shared" si="21"/>
        <v>0</v>
      </c>
      <c r="E288" s="45">
        <f t="shared" si="23"/>
        <v>-3.4197000786662102E-9</v>
      </c>
      <c r="F288" s="45">
        <f t="shared" si="22"/>
        <v>0</v>
      </c>
      <c r="G288" s="45">
        <f t="shared" si="24"/>
        <v>0</v>
      </c>
    </row>
    <row r="289" spans="2:7" x14ac:dyDescent="0.25">
      <c r="B289" s="44">
        <v>278</v>
      </c>
      <c r="C289" s="49">
        <f t="shared" si="20"/>
        <v>0.06</v>
      </c>
      <c r="D289" s="50">
        <f t="shared" si="21"/>
        <v>0</v>
      </c>
      <c r="E289" s="45">
        <f t="shared" si="23"/>
        <v>-3.4197000786662102E-9</v>
      </c>
      <c r="F289" s="45">
        <f t="shared" si="22"/>
        <v>0</v>
      </c>
      <c r="G289" s="45">
        <f t="shared" si="24"/>
        <v>0</v>
      </c>
    </row>
    <row r="290" spans="2:7" x14ac:dyDescent="0.25">
      <c r="B290" s="44">
        <v>279</v>
      </c>
      <c r="C290" s="49">
        <f t="shared" si="20"/>
        <v>0.06</v>
      </c>
      <c r="D290" s="50">
        <f t="shared" si="21"/>
        <v>0</v>
      </c>
      <c r="E290" s="45">
        <f t="shared" si="23"/>
        <v>-3.4197000786662102E-9</v>
      </c>
      <c r="F290" s="45">
        <f t="shared" si="22"/>
        <v>0</v>
      </c>
      <c r="G290" s="45">
        <f t="shared" si="24"/>
        <v>0</v>
      </c>
    </row>
    <row r="291" spans="2:7" x14ac:dyDescent="0.25">
      <c r="B291" s="44">
        <v>280</v>
      </c>
      <c r="C291" s="49">
        <f t="shared" si="20"/>
        <v>0.06</v>
      </c>
      <c r="D291" s="50">
        <f t="shared" si="21"/>
        <v>0</v>
      </c>
      <c r="E291" s="45">
        <f t="shared" si="23"/>
        <v>-3.4197000786662102E-9</v>
      </c>
      <c r="F291" s="45">
        <f t="shared" si="22"/>
        <v>0</v>
      </c>
      <c r="G291" s="45">
        <f t="shared" si="24"/>
        <v>0</v>
      </c>
    </row>
    <row r="292" spans="2:7" x14ac:dyDescent="0.25">
      <c r="B292" s="44">
        <v>281</v>
      </c>
      <c r="C292" s="49">
        <f t="shared" si="20"/>
        <v>0.06</v>
      </c>
      <c r="D292" s="50">
        <f t="shared" si="21"/>
        <v>0</v>
      </c>
      <c r="E292" s="45">
        <f t="shared" si="23"/>
        <v>-3.4197000786662102E-9</v>
      </c>
      <c r="F292" s="45">
        <f t="shared" si="22"/>
        <v>0</v>
      </c>
      <c r="G292" s="45">
        <f t="shared" si="24"/>
        <v>0</v>
      </c>
    </row>
    <row r="293" spans="2:7" x14ac:dyDescent="0.25">
      <c r="B293" s="44">
        <v>282</v>
      </c>
      <c r="C293" s="49">
        <f t="shared" si="20"/>
        <v>0.06</v>
      </c>
      <c r="D293" s="50">
        <f t="shared" si="21"/>
        <v>0</v>
      </c>
      <c r="E293" s="45">
        <f t="shared" si="23"/>
        <v>-3.4197000786662102E-9</v>
      </c>
      <c r="F293" s="45">
        <f t="shared" si="22"/>
        <v>0</v>
      </c>
      <c r="G293" s="45">
        <f t="shared" si="24"/>
        <v>0</v>
      </c>
    </row>
    <row r="294" spans="2:7" x14ac:dyDescent="0.25">
      <c r="B294" s="44">
        <v>283</v>
      </c>
      <c r="C294" s="49">
        <f t="shared" si="20"/>
        <v>0.06</v>
      </c>
      <c r="D294" s="50">
        <f t="shared" si="21"/>
        <v>0</v>
      </c>
      <c r="E294" s="45">
        <f t="shared" si="23"/>
        <v>-3.4197000786662102E-9</v>
      </c>
      <c r="F294" s="45">
        <f t="shared" si="22"/>
        <v>0</v>
      </c>
      <c r="G294" s="45">
        <f t="shared" si="24"/>
        <v>0</v>
      </c>
    </row>
    <row r="295" spans="2:7" x14ac:dyDescent="0.25">
      <c r="B295" s="44">
        <v>284</v>
      </c>
      <c r="C295" s="49">
        <f t="shared" si="20"/>
        <v>0.06</v>
      </c>
      <c r="D295" s="50">
        <f t="shared" si="21"/>
        <v>0</v>
      </c>
      <c r="E295" s="45">
        <f t="shared" si="23"/>
        <v>-3.4197000786662102E-9</v>
      </c>
      <c r="F295" s="45">
        <f t="shared" si="22"/>
        <v>0</v>
      </c>
      <c r="G295" s="45">
        <f t="shared" si="24"/>
        <v>0</v>
      </c>
    </row>
    <row r="296" spans="2:7" x14ac:dyDescent="0.25">
      <c r="B296" s="44">
        <v>285</v>
      </c>
      <c r="C296" s="49">
        <f t="shared" si="20"/>
        <v>0.06</v>
      </c>
      <c r="D296" s="50">
        <f t="shared" si="21"/>
        <v>0</v>
      </c>
      <c r="E296" s="45">
        <f t="shared" si="23"/>
        <v>-3.4197000786662102E-9</v>
      </c>
      <c r="F296" s="45">
        <f t="shared" si="22"/>
        <v>0</v>
      </c>
      <c r="G296" s="45">
        <f t="shared" si="24"/>
        <v>0</v>
      </c>
    </row>
    <row r="297" spans="2:7" x14ac:dyDescent="0.25">
      <c r="B297" s="44">
        <v>286</v>
      </c>
      <c r="C297" s="49">
        <f t="shared" si="20"/>
        <v>0.06</v>
      </c>
      <c r="D297" s="50">
        <f t="shared" si="21"/>
        <v>0</v>
      </c>
      <c r="E297" s="45">
        <f t="shared" si="23"/>
        <v>-3.4197000786662102E-9</v>
      </c>
      <c r="F297" s="45">
        <f t="shared" si="22"/>
        <v>0</v>
      </c>
      <c r="G297" s="45">
        <f t="shared" si="24"/>
        <v>0</v>
      </c>
    </row>
    <row r="298" spans="2:7" x14ac:dyDescent="0.25">
      <c r="B298" s="44">
        <v>287</v>
      </c>
      <c r="C298" s="49">
        <f t="shared" si="20"/>
        <v>0.06</v>
      </c>
      <c r="D298" s="50">
        <f t="shared" si="21"/>
        <v>0</v>
      </c>
      <c r="E298" s="45">
        <f t="shared" si="23"/>
        <v>-3.4197000786662102E-9</v>
      </c>
      <c r="F298" s="45">
        <f t="shared" si="22"/>
        <v>0</v>
      </c>
      <c r="G298" s="45">
        <f t="shared" si="24"/>
        <v>0</v>
      </c>
    </row>
    <row r="299" spans="2:7" x14ac:dyDescent="0.25">
      <c r="B299" s="44">
        <v>288</v>
      </c>
      <c r="C299" s="49">
        <f t="shared" si="20"/>
        <v>0.06</v>
      </c>
      <c r="D299" s="50">
        <f t="shared" si="21"/>
        <v>0</v>
      </c>
      <c r="E299" s="45">
        <f t="shared" si="23"/>
        <v>-3.4197000786662102E-9</v>
      </c>
      <c r="F299" s="45">
        <f t="shared" si="22"/>
        <v>0</v>
      </c>
      <c r="G299" s="45">
        <f t="shared" si="24"/>
        <v>0</v>
      </c>
    </row>
    <row r="300" spans="2:7" x14ac:dyDescent="0.25">
      <c r="B300" s="44">
        <v>289</v>
      </c>
      <c r="C300" s="49">
        <f t="shared" si="20"/>
        <v>0.06</v>
      </c>
      <c r="D300" s="50">
        <f t="shared" si="21"/>
        <v>0</v>
      </c>
      <c r="E300" s="45">
        <f t="shared" si="23"/>
        <v>-3.4197000786662102E-9</v>
      </c>
      <c r="F300" s="45">
        <f t="shared" si="22"/>
        <v>0</v>
      </c>
      <c r="G300" s="45">
        <f t="shared" si="24"/>
        <v>0</v>
      </c>
    </row>
    <row r="301" spans="2:7" x14ac:dyDescent="0.25">
      <c r="B301" s="44">
        <v>290</v>
      </c>
      <c r="C301" s="49">
        <f t="shared" si="20"/>
        <v>0.06</v>
      </c>
      <c r="D301" s="50">
        <f t="shared" si="21"/>
        <v>0</v>
      </c>
      <c r="E301" s="45">
        <f t="shared" si="23"/>
        <v>-3.4197000786662102E-9</v>
      </c>
      <c r="F301" s="45">
        <f t="shared" si="22"/>
        <v>0</v>
      </c>
      <c r="G301" s="45">
        <f t="shared" si="24"/>
        <v>0</v>
      </c>
    </row>
    <row r="302" spans="2:7" x14ac:dyDescent="0.25">
      <c r="B302" s="44">
        <v>291</v>
      </c>
      <c r="C302" s="49">
        <f t="shared" si="20"/>
        <v>0.06</v>
      </c>
      <c r="D302" s="50">
        <f t="shared" si="21"/>
        <v>0</v>
      </c>
      <c r="E302" s="45">
        <f t="shared" si="23"/>
        <v>-3.4197000786662102E-9</v>
      </c>
      <c r="F302" s="45">
        <f t="shared" si="22"/>
        <v>0</v>
      </c>
      <c r="G302" s="45">
        <f t="shared" si="24"/>
        <v>0</v>
      </c>
    </row>
    <row r="303" spans="2:7" x14ac:dyDescent="0.25">
      <c r="B303" s="44">
        <v>292</v>
      </c>
      <c r="C303" s="49">
        <f t="shared" si="20"/>
        <v>0.06</v>
      </c>
      <c r="D303" s="50">
        <f t="shared" si="21"/>
        <v>0</v>
      </c>
      <c r="E303" s="45">
        <f t="shared" si="23"/>
        <v>-3.4197000786662102E-9</v>
      </c>
      <c r="F303" s="45">
        <f t="shared" si="22"/>
        <v>0</v>
      </c>
      <c r="G303" s="45">
        <f t="shared" si="24"/>
        <v>0</v>
      </c>
    </row>
    <row r="304" spans="2:7" x14ac:dyDescent="0.25">
      <c r="B304" s="44">
        <v>293</v>
      </c>
      <c r="C304" s="49">
        <f t="shared" si="20"/>
        <v>0.06</v>
      </c>
      <c r="D304" s="50">
        <f t="shared" si="21"/>
        <v>0</v>
      </c>
      <c r="E304" s="45">
        <f t="shared" si="23"/>
        <v>-3.4197000786662102E-9</v>
      </c>
      <c r="F304" s="45">
        <f t="shared" si="22"/>
        <v>0</v>
      </c>
      <c r="G304" s="45">
        <f t="shared" si="24"/>
        <v>0</v>
      </c>
    </row>
    <row r="305" spans="2:7" x14ac:dyDescent="0.25">
      <c r="B305" s="44">
        <v>294</v>
      </c>
      <c r="C305" s="49">
        <f t="shared" si="20"/>
        <v>0.06</v>
      </c>
      <c r="D305" s="50">
        <f t="shared" si="21"/>
        <v>0</v>
      </c>
      <c r="E305" s="45">
        <f t="shared" si="23"/>
        <v>-3.4197000786662102E-9</v>
      </c>
      <c r="F305" s="45">
        <f t="shared" si="22"/>
        <v>0</v>
      </c>
      <c r="G305" s="45">
        <f t="shared" si="24"/>
        <v>0</v>
      </c>
    </row>
    <row r="306" spans="2:7" x14ac:dyDescent="0.25">
      <c r="B306" s="44">
        <v>295</v>
      </c>
      <c r="C306" s="49">
        <f t="shared" si="20"/>
        <v>0.06</v>
      </c>
      <c r="D306" s="50">
        <f t="shared" si="21"/>
        <v>0</v>
      </c>
      <c r="E306" s="45">
        <f t="shared" si="23"/>
        <v>-3.4197000786662102E-9</v>
      </c>
      <c r="F306" s="45">
        <f t="shared" si="22"/>
        <v>0</v>
      </c>
      <c r="G306" s="45">
        <f t="shared" si="24"/>
        <v>0</v>
      </c>
    </row>
    <row r="307" spans="2:7" x14ac:dyDescent="0.25">
      <c r="B307" s="44">
        <v>296</v>
      </c>
      <c r="C307" s="49">
        <f t="shared" si="20"/>
        <v>0.06</v>
      </c>
      <c r="D307" s="50">
        <f t="shared" si="21"/>
        <v>0</v>
      </c>
      <c r="E307" s="45">
        <f t="shared" si="23"/>
        <v>-3.4197000786662102E-9</v>
      </c>
      <c r="F307" s="45">
        <f t="shared" si="22"/>
        <v>0</v>
      </c>
      <c r="G307" s="45">
        <f t="shared" si="24"/>
        <v>0</v>
      </c>
    </row>
    <row r="308" spans="2:7" x14ac:dyDescent="0.25">
      <c r="B308" s="44">
        <v>297</v>
      </c>
      <c r="C308" s="49">
        <f t="shared" si="20"/>
        <v>0.06</v>
      </c>
      <c r="D308" s="50">
        <f t="shared" si="21"/>
        <v>0</v>
      </c>
      <c r="E308" s="45">
        <f t="shared" si="23"/>
        <v>-3.4197000786662102E-9</v>
      </c>
      <c r="F308" s="45">
        <f t="shared" si="22"/>
        <v>0</v>
      </c>
      <c r="G308" s="45">
        <f t="shared" si="24"/>
        <v>0</v>
      </c>
    </row>
    <row r="309" spans="2:7" x14ac:dyDescent="0.25">
      <c r="B309" s="44">
        <v>298</v>
      </c>
      <c r="C309" s="49">
        <f t="shared" si="20"/>
        <v>0.06</v>
      </c>
      <c r="D309" s="50">
        <f t="shared" si="21"/>
        <v>0</v>
      </c>
      <c r="E309" s="45">
        <f t="shared" si="23"/>
        <v>-3.4197000786662102E-9</v>
      </c>
      <c r="F309" s="45">
        <f t="shared" si="22"/>
        <v>0</v>
      </c>
      <c r="G309" s="45">
        <f t="shared" si="24"/>
        <v>0</v>
      </c>
    </row>
    <row r="310" spans="2:7" x14ac:dyDescent="0.25">
      <c r="B310" s="44">
        <v>299</v>
      </c>
      <c r="C310" s="49">
        <f t="shared" si="20"/>
        <v>0.06</v>
      </c>
      <c r="D310" s="50">
        <f t="shared" si="21"/>
        <v>0</v>
      </c>
      <c r="E310" s="45">
        <f t="shared" si="23"/>
        <v>-3.4197000786662102E-9</v>
      </c>
      <c r="F310" s="45">
        <f t="shared" si="22"/>
        <v>0</v>
      </c>
      <c r="G310" s="45">
        <f t="shared" si="24"/>
        <v>0</v>
      </c>
    </row>
    <row r="311" spans="2:7" x14ac:dyDescent="0.25">
      <c r="B311" s="44">
        <v>300</v>
      </c>
      <c r="C311" s="49">
        <f t="shared" si="20"/>
        <v>0.06</v>
      </c>
      <c r="D311" s="50">
        <f t="shared" si="21"/>
        <v>0</v>
      </c>
      <c r="E311" s="45">
        <f t="shared" si="23"/>
        <v>-3.4197000786662102E-9</v>
      </c>
      <c r="F311" s="45">
        <f t="shared" si="22"/>
        <v>0</v>
      </c>
      <c r="G311" s="45">
        <f t="shared" si="24"/>
        <v>0</v>
      </c>
    </row>
    <row r="312" spans="2:7" x14ac:dyDescent="0.25">
      <c r="B312" s="44">
        <v>301</v>
      </c>
      <c r="C312" s="49">
        <f t="shared" si="20"/>
        <v>0.06</v>
      </c>
      <c r="D312" s="50">
        <f t="shared" si="21"/>
        <v>0</v>
      </c>
      <c r="E312" s="45">
        <f t="shared" si="23"/>
        <v>-3.4197000786662102E-9</v>
      </c>
      <c r="F312" s="45">
        <f t="shared" si="22"/>
        <v>0</v>
      </c>
      <c r="G312" s="45">
        <f t="shared" si="24"/>
        <v>0</v>
      </c>
    </row>
    <row r="313" spans="2:7" x14ac:dyDescent="0.25">
      <c r="B313" s="44">
        <v>302</v>
      </c>
      <c r="C313" s="49">
        <f t="shared" si="20"/>
        <v>0.06</v>
      </c>
      <c r="D313" s="50">
        <f t="shared" si="21"/>
        <v>0</v>
      </c>
      <c r="E313" s="45">
        <f t="shared" si="23"/>
        <v>-3.4197000786662102E-9</v>
      </c>
      <c r="F313" s="45">
        <f t="shared" si="22"/>
        <v>0</v>
      </c>
      <c r="G313" s="45">
        <f t="shared" si="24"/>
        <v>0</v>
      </c>
    </row>
    <row r="314" spans="2:7" x14ac:dyDescent="0.25">
      <c r="B314" s="44">
        <v>303</v>
      </c>
      <c r="C314" s="49">
        <f t="shared" si="20"/>
        <v>0.06</v>
      </c>
      <c r="D314" s="50">
        <f t="shared" si="21"/>
        <v>0</v>
      </c>
      <c r="E314" s="45">
        <f t="shared" si="23"/>
        <v>-3.4197000786662102E-9</v>
      </c>
      <c r="F314" s="45">
        <f t="shared" si="22"/>
        <v>0</v>
      </c>
      <c r="G314" s="45">
        <f t="shared" si="24"/>
        <v>0</v>
      </c>
    </row>
    <row r="315" spans="2:7" x14ac:dyDescent="0.25">
      <c r="B315" s="44">
        <v>304</v>
      </c>
      <c r="C315" s="49">
        <f t="shared" si="20"/>
        <v>0.06</v>
      </c>
      <c r="D315" s="50">
        <f t="shared" si="21"/>
        <v>0</v>
      </c>
      <c r="E315" s="45">
        <f t="shared" si="23"/>
        <v>-3.4197000786662102E-9</v>
      </c>
      <c r="F315" s="45">
        <f t="shared" si="22"/>
        <v>0</v>
      </c>
      <c r="G315" s="45">
        <f t="shared" si="24"/>
        <v>0</v>
      </c>
    </row>
    <row r="316" spans="2:7" x14ac:dyDescent="0.25">
      <c r="B316" s="44">
        <v>305</v>
      </c>
      <c r="C316" s="49">
        <f t="shared" si="20"/>
        <v>0.06</v>
      </c>
      <c r="D316" s="50">
        <f t="shared" si="21"/>
        <v>0</v>
      </c>
      <c r="E316" s="45">
        <f t="shared" si="23"/>
        <v>-3.4197000786662102E-9</v>
      </c>
      <c r="F316" s="45">
        <f t="shared" si="22"/>
        <v>0</v>
      </c>
      <c r="G316" s="45">
        <f t="shared" si="24"/>
        <v>0</v>
      </c>
    </row>
    <row r="317" spans="2:7" x14ac:dyDescent="0.25">
      <c r="B317" s="44">
        <v>306</v>
      </c>
      <c r="C317" s="49">
        <f t="shared" si="20"/>
        <v>0.06</v>
      </c>
      <c r="D317" s="50">
        <f t="shared" si="21"/>
        <v>0</v>
      </c>
      <c r="E317" s="45">
        <f t="shared" si="23"/>
        <v>-3.4197000786662102E-9</v>
      </c>
      <c r="F317" s="45">
        <f t="shared" si="22"/>
        <v>0</v>
      </c>
      <c r="G317" s="45">
        <f t="shared" si="24"/>
        <v>0</v>
      </c>
    </row>
    <row r="318" spans="2:7" x14ac:dyDescent="0.25">
      <c r="B318" s="44">
        <v>307</v>
      </c>
      <c r="C318" s="49">
        <f t="shared" si="20"/>
        <v>0.06</v>
      </c>
      <c r="D318" s="50">
        <f t="shared" si="21"/>
        <v>0</v>
      </c>
      <c r="E318" s="45">
        <f t="shared" si="23"/>
        <v>-3.4197000786662102E-9</v>
      </c>
      <c r="F318" s="45">
        <f t="shared" si="22"/>
        <v>0</v>
      </c>
      <c r="G318" s="45">
        <f t="shared" si="24"/>
        <v>0</v>
      </c>
    </row>
    <row r="319" spans="2:7" x14ac:dyDescent="0.25">
      <c r="B319" s="44">
        <v>308</v>
      </c>
      <c r="C319" s="49">
        <f t="shared" si="20"/>
        <v>0.06</v>
      </c>
      <c r="D319" s="50">
        <f t="shared" si="21"/>
        <v>0</v>
      </c>
      <c r="E319" s="45">
        <f t="shared" si="23"/>
        <v>-3.4197000786662102E-9</v>
      </c>
      <c r="F319" s="45">
        <f t="shared" si="22"/>
        <v>0</v>
      </c>
      <c r="G319" s="45">
        <f t="shared" si="24"/>
        <v>0</v>
      </c>
    </row>
    <row r="320" spans="2:7" x14ac:dyDescent="0.25">
      <c r="B320" s="44">
        <v>309</v>
      </c>
      <c r="C320" s="49">
        <f t="shared" si="20"/>
        <v>0.06</v>
      </c>
      <c r="D320" s="50">
        <f t="shared" si="21"/>
        <v>0</v>
      </c>
      <c r="E320" s="45">
        <f t="shared" si="23"/>
        <v>-3.4197000786662102E-9</v>
      </c>
      <c r="F320" s="45">
        <f t="shared" si="22"/>
        <v>0</v>
      </c>
      <c r="G320" s="45">
        <f t="shared" si="24"/>
        <v>0</v>
      </c>
    </row>
    <row r="321" spans="2:7" x14ac:dyDescent="0.25">
      <c r="B321" s="44">
        <v>310</v>
      </c>
      <c r="C321" s="49">
        <f t="shared" si="20"/>
        <v>0.06</v>
      </c>
      <c r="D321" s="50">
        <f t="shared" si="21"/>
        <v>0</v>
      </c>
      <c r="E321" s="45">
        <f t="shared" si="23"/>
        <v>-3.4197000786662102E-9</v>
      </c>
      <c r="F321" s="45">
        <f t="shared" si="22"/>
        <v>0</v>
      </c>
      <c r="G321" s="45">
        <f t="shared" si="24"/>
        <v>0</v>
      </c>
    </row>
    <row r="322" spans="2:7" x14ac:dyDescent="0.25">
      <c r="B322" s="44">
        <v>311</v>
      </c>
      <c r="C322" s="49">
        <f t="shared" si="20"/>
        <v>0.06</v>
      </c>
      <c r="D322" s="50">
        <f t="shared" si="21"/>
        <v>0</v>
      </c>
      <c r="E322" s="45">
        <f t="shared" si="23"/>
        <v>-3.4197000786662102E-9</v>
      </c>
      <c r="F322" s="45">
        <f t="shared" si="22"/>
        <v>0</v>
      </c>
      <c r="G322" s="45">
        <f t="shared" si="24"/>
        <v>0</v>
      </c>
    </row>
    <row r="323" spans="2:7" x14ac:dyDescent="0.25">
      <c r="B323" s="44">
        <v>312</v>
      </c>
      <c r="C323" s="49">
        <f t="shared" si="20"/>
        <v>0.06</v>
      </c>
      <c r="D323" s="50">
        <f t="shared" si="21"/>
        <v>0</v>
      </c>
      <c r="E323" s="45">
        <f t="shared" si="23"/>
        <v>-3.4197000786662102E-9</v>
      </c>
      <c r="F323" s="45">
        <f t="shared" si="22"/>
        <v>0</v>
      </c>
      <c r="G323" s="45">
        <f t="shared" si="24"/>
        <v>0</v>
      </c>
    </row>
    <row r="324" spans="2:7" x14ac:dyDescent="0.25">
      <c r="B324" s="44">
        <v>313</v>
      </c>
      <c r="C324" s="49">
        <f t="shared" si="20"/>
        <v>0.06</v>
      </c>
      <c r="D324" s="50">
        <f t="shared" si="21"/>
        <v>0</v>
      </c>
      <c r="E324" s="45">
        <f t="shared" si="23"/>
        <v>-3.4197000786662102E-9</v>
      </c>
      <c r="F324" s="45">
        <f t="shared" si="22"/>
        <v>0</v>
      </c>
      <c r="G324" s="45">
        <f t="shared" si="24"/>
        <v>0</v>
      </c>
    </row>
    <row r="325" spans="2:7" x14ac:dyDescent="0.25">
      <c r="B325" s="44">
        <v>314</v>
      </c>
      <c r="C325" s="49">
        <f t="shared" si="20"/>
        <v>0.06</v>
      </c>
      <c r="D325" s="50">
        <f t="shared" si="21"/>
        <v>0</v>
      </c>
      <c r="E325" s="45">
        <f t="shared" si="23"/>
        <v>-3.4197000786662102E-9</v>
      </c>
      <c r="F325" s="45">
        <f t="shared" si="22"/>
        <v>0</v>
      </c>
      <c r="G325" s="45">
        <f t="shared" si="24"/>
        <v>0</v>
      </c>
    </row>
    <row r="326" spans="2:7" x14ac:dyDescent="0.25">
      <c r="B326" s="44">
        <v>315</v>
      </c>
      <c r="C326" s="49">
        <f t="shared" si="20"/>
        <v>0.06</v>
      </c>
      <c r="D326" s="50">
        <f t="shared" si="21"/>
        <v>0</v>
      </c>
      <c r="E326" s="45">
        <f t="shared" si="23"/>
        <v>-3.4197000786662102E-9</v>
      </c>
      <c r="F326" s="45">
        <f t="shared" si="22"/>
        <v>0</v>
      </c>
      <c r="G326" s="45">
        <f t="shared" si="24"/>
        <v>0</v>
      </c>
    </row>
    <row r="327" spans="2:7" x14ac:dyDescent="0.25">
      <c r="B327" s="44">
        <v>316</v>
      </c>
      <c r="C327" s="49">
        <f t="shared" si="20"/>
        <v>0.06</v>
      </c>
      <c r="D327" s="50">
        <f t="shared" si="21"/>
        <v>0</v>
      </c>
      <c r="E327" s="45">
        <f t="shared" si="23"/>
        <v>-3.4197000786662102E-9</v>
      </c>
      <c r="F327" s="45">
        <f t="shared" si="22"/>
        <v>0</v>
      </c>
      <c r="G327" s="45">
        <f t="shared" si="24"/>
        <v>0</v>
      </c>
    </row>
    <row r="328" spans="2:7" x14ac:dyDescent="0.25">
      <c r="B328" s="44">
        <v>317</v>
      </c>
      <c r="C328" s="49">
        <f t="shared" si="20"/>
        <v>0.06</v>
      </c>
      <c r="D328" s="50">
        <f t="shared" si="21"/>
        <v>0</v>
      </c>
      <c r="E328" s="45">
        <f t="shared" si="23"/>
        <v>-3.4197000786662102E-9</v>
      </c>
      <c r="F328" s="45">
        <f t="shared" si="22"/>
        <v>0</v>
      </c>
      <c r="G328" s="45">
        <f t="shared" si="24"/>
        <v>0</v>
      </c>
    </row>
    <row r="329" spans="2:7" x14ac:dyDescent="0.25">
      <c r="B329" s="44">
        <v>318</v>
      </c>
      <c r="C329" s="49">
        <f t="shared" si="20"/>
        <v>0.06</v>
      </c>
      <c r="D329" s="50">
        <f t="shared" si="21"/>
        <v>0</v>
      </c>
      <c r="E329" s="45">
        <f t="shared" si="23"/>
        <v>-3.4197000786662102E-9</v>
      </c>
      <c r="F329" s="45">
        <f t="shared" si="22"/>
        <v>0</v>
      </c>
      <c r="G329" s="45">
        <f t="shared" si="24"/>
        <v>0</v>
      </c>
    </row>
    <row r="330" spans="2:7" x14ac:dyDescent="0.25">
      <c r="B330" s="44">
        <v>319</v>
      </c>
      <c r="C330" s="49">
        <f t="shared" si="20"/>
        <v>0.06</v>
      </c>
      <c r="D330" s="50">
        <f t="shared" si="21"/>
        <v>0</v>
      </c>
      <c r="E330" s="45">
        <f t="shared" si="23"/>
        <v>-3.4197000786662102E-9</v>
      </c>
      <c r="F330" s="45">
        <f t="shared" si="22"/>
        <v>0</v>
      </c>
      <c r="G330" s="45">
        <f t="shared" si="24"/>
        <v>0</v>
      </c>
    </row>
    <row r="331" spans="2:7" x14ac:dyDescent="0.25">
      <c r="B331" s="44">
        <v>320</v>
      </c>
      <c r="C331" s="49">
        <f t="shared" si="20"/>
        <v>0.06</v>
      </c>
      <c r="D331" s="50">
        <f t="shared" si="21"/>
        <v>0</v>
      </c>
      <c r="E331" s="45">
        <f t="shared" si="23"/>
        <v>-3.4197000786662102E-9</v>
      </c>
      <c r="F331" s="45">
        <f t="shared" si="22"/>
        <v>0</v>
      </c>
      <c r="G331" s="45">
        <f t="shared" si="24"/>
        <v>0</v>
      </c>
    </row>
    <row r="332" spans="2:7" x14ac:dyDescent="0.25">
      <c r="B332" s="44">
        <v>321</v>
      </c>
      <c r="C332" s="49">
        <f t="shared" ref="C332:C372" si="25">IF(B332&gt;$C$6,$C$4,$C$3)</f>
        <v>0.06</v>
      </c>
      <c r="D332" s="50">
        <f t="shared" si="21"/>
        <v>0</v>
      </c>
      <c r="E332" s="45">
        <f t="shared" si="23"/>
        <v>-3.4197000786662102E-9</v>
      </c>
      <c r="F332" s="45">
        <f t="shared" si="22"/>
        <v>0</v>
      </c>
      <c r="G332" s="45">
        <f t="shared" si="24"/>
        <v>0</v>
      </c>
    </row>
    <row r="333" spans="2:7" x14ac:dyDescent="0.25">
      <c r="B333" s="44">
        <v>322</v>
      </c>
      <c r="C333" s="49">
        <f t="shared" si="25"/>
        <v>0.06</v>
      </c>
      <c r="D333" s="50">
        <f t="shared" ref="D333:D372" si="26">IF(B333&gt;$C$5,0,E332*(C333/12/(1-(1+C333/12)^(-($C$5-B332)))))</f>
        <v>0</v>
      </c>
      <c r="E333" s="45">
        <f t="shared" si="23"/>
        <v>-3.4197000786662102E-9</v>
      </c>
      <c r="F333" s="45">
        <f t="shared" ref="F333:F372" si="27">IF(B333&gt;$C$5,0,E332*C333/12)</f>
        <v>0</v>
      </c>
      <c r="G333" s="45">
        <f t="shared" si="24"/>
        <v>0</v>
      </c>
    </row>
    <row r="334" spans="2:7" x14ac:dyDescent="0.25">
      <c r="B334" s="44">
        <v>323</v>
      </c>
      <c r="C334" s="49">
        <f t="shared" si="25"/>
        <v>0.06</v>
      </c>
      <c r="D334" s="50">
        <f t="shared" si="26"/>
        <v>0</v>
      </c>
      <c r="E334" s="45">
        <f t="shared" ref="E334:E372" si="28">E333-G334</f>
        <v>-3.4197000786662102E-9</v>
      </c>
      <c r="F334" s="45">
        <f t="shared" si="27"/>
        <v>0</v>
      </c>
      <c r="G334" s="45">
        <f t="shared" ref="G334:G372" si="29">D334-F334</f>
        <v>0</v>
      </c>
    </row>
    <row r="335" spans="2:7" x14ac:dyDescent="0.25">
      <c r="B335" s="44">
        <v>324</v>
      </c>
      <c r="C335" s="49">
        <f t="shared" si="25"/>
        <v>0.06</v>
      </c>
      <c r="D335" s="50">
        <f t="shared" si="26"/>
        <v>0</v>
      </c>
      <c r="E335" s="45">
        <f t="shared" si="28"/>
        <v>-3.4197000786662102E-9</v>
      </c>
      <c r="F335" s="45">
        <f t="shared" si="27"/>
        <v>0</v>
      </c>
      <c r="G335" s="45">
        <f t="shared" si="29"/>
        <v>0</v>
      </c>
    </row>
    <row r="336" spans="2:7" x14ac:dyDescent="0.25">
      <c r="B336" s="44">
        <v>325</v>
      </c>
      <c r="C336" s="49">
        <f t="shared" si="25"/>
        <v>0.06</v>
      </c>
      <c r="D336" s="50">
        <f t="shared" si="26"/>
        <v>0</v>
      </c>
      <c r="E336" s="45">
        <f t="shared" si="28"/>
        <v>-3.4197000786662102E-9</v>
      </c>
      <c r="F336" s="45">
        <f t="shared" si="27"/>
        <v>0</v>
      </c>
      <c r="G336" s="45">
        <f t="shared" si="29"/>
        <v>0</v>
      </c>
    </row>
    <row r="337" spans="2:7" x14ac:dyDescent="0.25">
      <c r="B337" s="44">
        <v>326</v>
      </c>
      <c r="C337" s="49">
        <f t="shared" si="25"/>
        <v>0.06</v>
      </c>
      <c r="D337" s="50">
        <f t="shared" si="26"/>
        <v>0</v>
      </c>
      <c r="E337" s="45">
        <f t="shared" si="28"/>
        <v>-3.4197000786662102E-9</v>
      </c>
      <c r="F337" s="45">
        <f t="shared" si="27"/>
        <v>0</v>
      </c>
      <c r="G337" s="45">
        <f t="shared" si="29"/>
        <v>0</v>
      </c>
    </row>
    <row r="338" spans="2:7" x14ac:dyDescent="0.25">
      <c r="B338" s="44">
        <v>327</v>
      </c>
      <c r="C338" s="49">
        <f t="shared" si="25"/>
        <v>0.06</v>
      </c>
      <c r="D338" s="50">
        <f t="shared" si="26"/>
        <v>0</v>
      </c>
      <c r="E338" s="45">
        <f t="shared" si="28"/>
        <v>-3.4197000786662102E-9</v>
      </c>
      <c r="F338" s="45">
        <f t="shared" si="27"/>
        <v>0</v>
      </c>
      <c r="G338" s="45">
        <f t="shared" si="29"/>
        <v>0</v>
      </c>
    </row>
    <row r="339" spans="2:7" x14ac:dyDescent="0.25">
      <c r="B339" s="44">
        <v>328</v>
      </c>
      <c r="C339" s="49">
        <f t="shared" si="25"/>
        <v>0.06</v>
      </c>
      <c r="D339" s="50">
        <f t="shared" si="26"/>
        <v>0</v>
      </c>
      <c r="E339" s="45">
        <f t="shared" si="28"/>
        <v>-3.4197000786662102E-9</v>
      </c>
      <c r="F339" s="45">
        <f t="shared" si="27"/>
        <v>0</v>
      </c>
      <c r="G339" s="45">
        <f t="shared" si="29"/>
        <v>0</v>
      </c>
    </row>
    <row r="340" spans="2:7" x14ac:dyDescent="0.25">
      <c r="B340" s="44">
        <v>329</v>
      </c>
      <c r="C340" s="49">
        <f t="shared" si="25"/>
        <v>0.06</v>
      </c>
      <c r="D340" s="50">
        <f t="shared" si="26"/>
        <v>0</v>
      </c>
      <c r="E340" s="45">
        <f t="shared" si="28"/>
        <v>-3.4197000786662102E-9</v>
      </c>
      <c r="F340" s="45">
        <f t="shared" si="27"/>
        <v>0</v>
      </c>
      <c r="G340" s="45">
        <f t="shared" si="29"/>
        <v>0</v>
      </c>
    </row>
    <row r="341" spans="2:7" x14ac:dyDescent="0.25">
      <c r="B341" s="44">
        <v>330</v>
      </c>
      <c r="C341" s="49">
        <f t="shared" si="25"/>
        <v>0.06</v>
      </c>
      <c r="D341" s="50">
        <f t="shared" si="26"/>
        <v>0</v>
      </c>
      <c r="E341" s="45">
        <f t="shared" si="28"/>
        <v>-3.4197000786662102E-9</v>
      </c>
      <c r="F341" s="45">
        <f t="shared" si="27"/>
        <v>0</v>
      </c>
      <c r="G341" s="45">
        <f t="shared" si="29"/>
        <v>0</v>
      </c>
    </row>
    <row r="342" spans="2:7" x14ac:dyDescent="0.25">
      <c r="B342" s="44">
        <v>331</v>
      </c>
      <c r="C342" s="49">
        <f t="shared" si="25"/>
        <v>0.06</v>
      </c>
      <c r="D342" s="50">
        <f t="shared" si="26"/>
        <v>0</v>
      </c>
      <c r="E342" s="45">
        <f t="shared" si="28"/>
        <v>-3.4197000786662102E-9</v>
      </c>
      <c r="F342" s="45">
        <f t="shared" si="27"/>
        <v>0</v>
      </c>
      <c r="G342" s="45">
        <f t="shared" si="29"/>
        <v>0</v>
      </c>
    </row>
    <row r="343" spans="2:7" x14ac:dyDescent="0.25">
      <c r="B343" s="44">
        <v>332</v>
      </c>
      <c r="C343" s="49">
        <f t="shared" si="25"/>
        <v>0.06</v>
      </c>
      <c r="D343" s="50">
        <f t="shared" si="26"/>
        <v>0</v>
      </c>
      <c r="E343" s="45">
        <f t="shared" si="28"/>
        <v>-3.4197000786662102E-9</v>
      </c>
      <c r="F343" s="45">
        <f t="shared" si="27"/>
        <v>0</v>
      </c>
      <c r="G343" s="45">
        <f t="shared" si="29"/>
        <v>0</v>
      </c>
    </row>
    <row r="344" spans="2:7" x14ac:dyDescent="0.25">
      <c r="B344" s="44">
        <v>333</v>
      </c>
      <c r="C344" s="49">
        <f t="shared" si="25"/>
        <v>0.06</v>
      </c>
      <c r="D344" s="50">
        <f t="shared" si="26"/>
        <v>0</v>
      </c>
      <c r="E344" s="45">
        <f t="shared" si="28"/>
        <v>-3.4197000786662102E-9</v>
      </c>
      <c r="F344" s="45">
        <f t="shared" si="27"/>
        <v>0</v>
      </c>
      <c r="G344" s="45">
        <f t="shared" si="29"/>
        <v>0</v>
      </c>
    </row>
    <row r="345" spans="2:7" x14ac:dyDescent="0.25">
      <c r="B345" s="44">
        <v>334</v>
      </c>
      <c r="C345" s="49">
        <f t="shared" si="25"/>
        <v>0.06</v>
      </c>
      <c r="D345" s="50">
        <f t="shared" si="26"/>
        <v>0</v>
      </c>
      <c r="E345" s="45">
        <f t="shared" si="28"/>
        <v>-3.4197000786662102E-9</v>
      </c>
      <c r="F345" s="45">
        <f t="shared" si="27"/>
        <v>0</v>
      </c>
      <c r="G345" s="45">
        <f t="shared" si="29"/>
        <v>0</v>
      </c>
    </row>
    <row r="346" spans="2:7" x14ac:dyDescent="0.25">
      <c r="B346" s="44">
        <v>335</v>
      </c>
      <c r="C346" s="49">
        <f t="shared" si="25"/>
        <v>0.06</v>
      </c>
      <c r="D346" s="50">
        <f t="shared" si="26"/>
        <v>0</v>
      </c>
      <c r="E346" s="45">
        <f t="shared" si="28"/>
        <v>-3.4197000786662102E-9</v>
      </c>
      <c r="F346" s="45">
        <f t="shared" si="27"/>
        <v>0</v>
      </c>
      <c r="G346" s="45">
        <f t="shared" si="29"/>
        <v>0</v>
      </c>
    </row>
    <row r="347" spans="2:7" x14ac:dyDescent="0.25">
      <c r="B347" s="44">
        <v>336</v>
      </c>
      <c r="C347" s="49">
        <f t="shared" si="25"/>
        <v>0.06</v>
      </c>
      <c r="D347" s="50">
        <f t="shared" si="26"/>
        <v>0</v>
      </c>
      <c r="E347" s="45">
        <f t="shared" si="28"/>
        <v>-3.4197000786662102E-9</v>
      </c>
      <c r="F347" s="45">
        <f t="shared" si="27"/>
        <v>0</v>
      </c>
      <c r="G347" s="45">
        <f t="shared" si="29"/>
        <v>0</v>
      </c>
    </row>
    <row r="348" spans="2:7" x14ac:dyDescent="0.25">
      <c r="B348" s="44">
        <v>337</v>
      </c>
      <c r="C348" s="49">
        <f t="shared" si="25"/>
        <v>0.06</v>
      </c>
      <c r="D348" s="50">
        <f t="shared" si="26"/>
        <v>0</v>
      </c>
      <c r="E348" s="45">
        <f t="shared" si="28"/>
        <v>-3.4197000786662102E-9</v>
      </c>
      <c r="F348" s="45">
        <f t="shared" si="27"/>
        <v>0</v>
      </c>
      <c r="G348" s="45">
        <f t="shared" si="29"/>
        <v>0</v>
      </c>
    </row>
    <row r="349" spans="2:7" x14ac:dyDescent="0.25">
      <c r="B349" s="44">
        <v>338</v>
      </c>
      <c r="C349" s="49">
        <f t="shared" si="25"/>
        <v>0.06</v>
      </c>
      <c r="D349" s="50">
        <f t="shared" si="26"/>
        <v>0</v>
      </c>
      <c r="E349" s="45">
        <f t="shared" si="28"/>
        <v>-3.4197000786662102E-9</v>
      </c>
      <c r="F349" s="45">
        <f t="shared" si="27"/>
        <v>0</v>
      </c>
      <c r="G349" s="45">
        <f t="shared" si="29"/>
        <v>0</v>
      </c>
    </row>
    <row r="350" spans="2:7" x14ac:dyDescent="0.25">
      <c r="B350" s="44">
        <v>339</v>
      </c>
      <c r="C350" s="49">
        <f t="shared" si="25"/>
        <v>0.06</v>
      </c>
      <c r="D350" s="50">
        <f t="shared" si="26"/>
        <v>0</v>
      </c>
      <c r="E350" s="45">
        <f t="shared" si="28"/>
        <v>-3.4197000786662102E-9</v>
      </c>
      <c r="F350" s="45">
        <f t="shared" si="27"/>
        <v>0</v>
      </c>
      <c r="G350" s="45">
        <f t="shared" si="29"/>
        <v>0</v>
      </c>
    </row>
    <row r="351" spans="2:7" x14ac:dyDescent="0.25">
      <c r="B351" s="44">
        <v>340</v>
      </c>
      <c r="C351" s="49">
        <f t="shared" si="25"/>
        <v>0.06</v>
      </c>
      <c r="D351" s="50">
        <f t="shared" si="26"/>
        <v>0</v>
      </c>
      <c r="E351" s="45">
        <f t="shared" si="28"/>
        <v>-3.4197000786662102E-9</v>
      </c>
      <c r="F351" s="45">
        <f t="shared" si="27"/>
        <v>0</v>
      </c>
      <c r="G351" s="45">
        <f t="shared" si="29"/>
        <v>0</v>
      </c>
    </row>
    <row r="352" spans="2:7" x14ac:dyDescent="0.25">
      <c r="B352" s="44">
        <v>341</v>
      </c>
      <c r="C352" s="49">
        <f t="shared" si="25"/>
        <v>0.06</v>
      </c>
      <c r="D352" s="50">
        <f t="shared" si="26"/>
        <v>0</v>
      </c>
      <c r="E352" s="45">
        <f t="shared" si="28"/>
        <v>-3.4197000786662102E-9</v>
      </c>
      <c r="F352" s="45">
        <f t="shared" si="27"/>
        <v>0</v>
      </c>
      <c r="G352" s="45">
        <f t="shared" si="29"/>
        <v>0</v>
      </c>
    </row>
    <row r="353" spans="2:7" x14ac:dyDescent="0.25">
      <c r="B353" s="44">
        <v>342</v>
      </c>
      <c r="C353" s="49">
        <f t="shared" si="25"/>
        <v>0.06</v>
      </c>
      <c r="D353" s="50">
        <f t="shared" si="26"/>
        <v>0</v>
      </c>
      <c r="E353" s="45">
        <f t="shared" si="28"/>
        <v>-3.4197000786662102E-9</v>
      </c>
      <c r="F353" s="45">
        <f t="shared" si="27"/>
        <v>0</v>
      </c>
      <c r="G353" s="45">
        <f t="shared" si="29"/>
        <v>0</v>
      </c>
    </row>
    <row r="354" spans="2:7" x14ac:dyDescent="0.25">
      <c r="B354" s="44">
        <v>343</v>
      </c>
      <c r="C354" s="49">
        <f t="shared" si="25"/>
        <v>0.06</v>
      </c>
      <c r="D354" s="50">
        <f t="shared" si="26"/>
        <v>0</v>
      </c>
      <c r="E354" s="45">
        <f t="shared" si="28"/>
        <v>-3.4197000786662102E-9</v>
      </c>
      <c r="F354" s="45">
        <f t="shared" si="27"/>
        <v>0</v>
      </c>
      <c r="G354" s="45">
        <f t="shared" si="29"/>
        <v>0</v>
      </c>
    </row>
    <row r="355" spans="2:7" x14ac:dyDescent="0.25">
      <c r="B355" s="44">
        <v>344</v>
      </c>
      <c r="C355" s="49">
        <f t="shared" si="25"/>
        <v>0.06</v>
      </c>
      <c r="D355" s="50">
        <f t="shared" si="26"/>
        <v>0</v>
      </c>
      <c r="E355" s="45">
        <f t="shared" si="28"/>
        <v>-3.4197000786662102E-9</v>
      </c>
      <c r="F355" s="45">
        <f t="shared" si="27"/>
        <v>0</v>
      </c>
      <c r="G355" s="45">
        <f t="shared" si="29"/>
        <v>0</v>
      </c>
    </row>
    <row r="356" spans="2:7" x14ac:dyDescent="0.25">
      <c r="B356" s="44">
        <v>345</v>
      </c>
      <c r="C356" s="49">
        <f t="shared" si="25"/>
        <v>0.06</v>
      </c>
      <c r="D356" s="50">
        <f t="shared" si="26"/>
        <v>0</v>
      </c>
      <c r="E356" s="45">
        <f t="shared" si="28"/>
        <v>-3.4197000786662102E-9</v>
      </c>
      <c r="F356" s="45">
        <f t="shared" si="27"/>
        <v>0</v>
      </c>
      <c r="G356" s="45">
        <f t="shared" si="29"/>
        <v>0</v>
      </c>
    </row>
    <row r="357" spans="2:7" x14ac:dyDescent="0.25">
      <c r="B357" s="44">
        <v>346</v>
      </c>
      <c r="C357" s="49">
        <f t="shared" si="25"/>
        <v>0.06</v>
      </c>
      <c r="D357" s="50">
        <f t="shared" si="26"/>
        <v>0</v>
      </c>
      <c r="E357" s="45">
        <f t="shared" si="28"/>
        <v>-3.4197000786662102E-9</v>
      </c>
      <c r="F357" s="45">
        <f t="shared" si="27"/>
        <v>0</v>
      </c>
      <c r="G357" s="45">
        <f t="shared" si="29"/>
        <v>0</v>
      </c>
    </row>
    <row r="358" spans="2:7" x14ac:dyDescent="0.25">
      <c r="B358" s="44">
        <v>347</v>
      </c>
      <c r="C358" s="49">
        <f t="shared" si="25"/>
        <v>0.06</v>
      </c>
      <c r="D358" s="50">
        <f t="shared" si="26"/>
        <v>0</v>
      </c>
      <c r="E358" s="45">
        <f t="shared" si="28"/>
        <v>-3.4197000786662102E-9</v>
      </c>
      <c r="F358" s="45">
        <f t="shared" si="27"/>
        <v>0</v>
      </c>
      <c r="G358" s="45">
        <f t="shared" si="29"/>
        <v>0</v>
      </c>
    </row>
    <row r="359" spans="2:7" x14ac:dyDescent="0.25">
      <c r="B359" s="44">
        <v>348</v>
      </c>
      <c r="C359" s="49">
        <f t="shared" si="25"/>
        <v>0.06</v>
      </c>
      <c r="D359" s="50">
        <f t="shared" si="26"/>
        <v>0</v>
      </c>
      <c r="E359" s="45">
        <f t="shared" si="28"/>
        <v>-3.4197000786662102E-9</v>
      </c>
      <c r="F359" s="45">
        <f t="shared" si="27"/>
        <v>0</v>
      </c>
      <c r="G359" s="45">
        <f t="shared" si="29"/>
        <v>0</v>
      </c>
    </row>
    <row r="360" spans="2:7" x14ac:dyDescent="0.25">
      <c r="B360" s="44">
        <v>349</v>
      </c>
      <c r="C360" s="49">
        <f t="shared" si="25"/>
        <v>0.06</v>
      </c>
      <c r="D360" s="50">
        <f t="shared" si="26"/>
        <v>0</v>
      </c>
      <c r="E360" s="45">
        <f t="shared" si="28"/>
        <v>-3.4197000786662102E-9</v>
      </c>
      <c r="F360" s="45">
        <f t="shared" si="27"/>
        <v>0</v>
      </c>
      <c r="G360" s="45">
        <f t="shared" si="29"/>
        <v>0</v>
      </c>
    </row>
    <row r="361" spans="2:7" x14ac:dyDescent="0.25">
      <c r="B361" s="44">
        <v>350</v>
      </c>
      <c r="C361" s="49">
        <f t="shared" si="25"/>
        <v>0.06</v>
      </c>
      <c r="D361" s="50">
        <f t="shared" si="26"/>
        <v>0</v>
      </c>
      <c r="E361" s="45">
        <f t="shared" si="28"/>
        <v>-3.4197000786662102E-9</v>
      </c>
      <c r="F361" s="45">
        <f t="shared" si="27"/>
        <v>0</v>
      </c>
      <c r="G361" s="45">
        <f t="shared" si="29"/>
        <v>0</v>
      </c>
    </row>
    <row r="362" spans="2:7" x14ac:dyDescent="0.25">
      <c r="B362" s="44">
        <v>351</v>
      </c>
      <c r="C362" s="49">
        <f t="shared" si="25"/>
        <v>0.06</v>
      </c>
      <c r="D362" s="50">
        <f t="shared" si="26"/>
        <v>0</v>
      </c>
      <c r="E362" s="45">
        <f t="shared" si="28"/>
        <v>-3.4197000786662102E-9</v>
      </c>
      <c r="F362" s="45">
        <f t="shared" si="27"/>
        <v>0</v>
      </c>
      <c r="G362" s="45">
        <f t="shared" si="29"/>
        <v>0</v>
      </c>
    </row>
    <row r="363" spans="2:7" x14ac:dyDescent="0.25">
      <c r="B363" s="44">
        <v>352</v>
      </c>
      <c r="C363" s="49">
        <f t="shared" si="25"/>
        <v>0.06</v>
      </c>
      <c r="D363" s="50">
        <f t="shared" si="26"/>
        <v>0</v>
      </c>
      <c r="E363" s="45">
        <f t="shared" si="28"/>
        <v>-3.4197000786662102E-9</v>
      </c>
      <c r="F363" s="45">
        <f t="shared" si="27"/>
        <v>0</v>
      </c>
      <c r="G363" s="45">
        <f t="shared" si="29"/>
        <v>0</v>
      </c>
    </row>
    <row r="364" spans="2:7" x14ac:dyDescent="0.25">
      <c r="B364" s="44">
        <v>353</v>
      </c>
      <c r="C364" s="49">
        <f t="shared" si="25"/>
        <v>0.06</v>
      </c>
      <c r="D364" s="50">
        <f t="shared" si="26"/>
        <v>0</v>
      </c>
      <c r="E364" s="45">
        <f t="shared" si="28"/>
        <v>-3.4197000786662102E-9</v>
      </c>
      <c r="F364" s="45">
        <f t="shared" si="27"/>
        <v>0</v>
      </c>
      <c r="G364" s="45">
        <f t="shared" si="29"/>
        <v>0</v>
      </c>
    </row>
    <row r="365" spans="2:7" x14ac:dyDescent="0.25">
      <c r="B365" s="44">
        <v>354</v>
      </c>
      <c r="C365" s="49">
        <f t="shared" si="25"/>
        <v>0.06</v>
      </c>
      <c r="D365" s="50">
        <f t="shared" si="26"/>
        <v>0</v>
      </c>
      <c r="E365" s="45">
        <f t="shared" si="28"/>
        <v>-3.4197000786662102E-9</v>
      </c>
      <c r="F365" s="45">
        <f t="shared" si="27"/>
        <v>0</v>
      </c>
      <c r="G365" s="45">
        <f t="shared" si="29"/>
        <v>0</v>
      </c>
    </row>
    <row r="366" spans="2:7" x14ac:dyDescent="0.25">
      <c r="B366" s="44">
        <v>355</v>
      </c>
      <c r="C366" s="49">
        <f t="shared" si="25"/>
        <v>0.06</v>
      </c>
      <c r="D366" s="50">
        <f t="shared" si="26"/>
        <v>0</v>
      </c>
      <c r="E366" s="45">
        <f t="shared" si="28"/>
        <v>-3.4197000786662102E-9</v>
      </c>
      <c r="F366" s="45">
        <f t="shared" si="27"/>
        <v>0</v>
      </c>
      <c r="G366" s="45">
        <f t="shared" si="29"/>
        <v>0</v>
      </c>
    </row>
    <row r="367" spans="2:7" x14ac:dyDescent="0.25">
      <c r="B367" s="44">
        <v>356</v>
      </c>
      <c r="C367" s="49">
        <f t="shared" si="25"/>
        <v>0.06</v>
      </c>
      <c r="D367" s="50">
        <f t="shared" si="26"/>
        <v>0</v>
      </c>
      <c r="E367" s="45">
        <f t="shared" si="28"/>
        <v>-3.4197000786662102E-9</v>
      </c>
      <c r="F367" s="45">
        <f t="shared" si="27"/>
        <v>0</v>
      </c>
      <c r="G367" s="45">
        <f t="shared" si="29"/>
        <v>0</v>
      </c>
    </row>
    <row r="368" spans="2:7" x14ac:dyDescent="0.25">
      <c r="B368" s="44">
        <v>357</v>
      </c>
      <c r="C368" s="49">
        <f t="shared" si="25"/>
        <v>0.06</v>
      </c>
      <c r="D368" s="50">
        <f t="shared" si="26"/>
        <v>0</v>
      </c>
      <c r="E368" s="45">
        <f t="shared" si="28"/>
        <v>-3.4197000786662102E-9</v>
      </c>
      <c r="F368" s="45">
        <f t="shared" si="27"/>
        <v>0</v>
      </c>
      <c r="G368" s="45">
        <f t="shared" si="29"/>
        <v>0</v>
      </c>
    </row>
    <row r="369" spans="2:7" x14ac:dyDescent="0.25">
      <c r="B369" s="44">
        <v>358</v>
      </c>
      <c r="C369" s="49">
        <f t="shared" si="25"/>
        <v>0.06</v>
      </c>
      <c r="D369" s="50">
        <f t="shared" si="26"/>
        <v>0</v>
      </c>
      <c r="E369" s="45">
        <f t="shared" si="28"/>
        <v>-3.4197000786662102E-9</v>
      </c>
      <c r="F369" s="45">
        <f t="shared" si="27"/>
        <v>0</v>
      </c>
      <c r="G369" s="45">
        <f t="shared" si="29"/>
        <v>0</v>
      </c>
    </row>
    <row r="370" spans="2:7" x14ac:dyDescent="0.25">
      <c r="B370" s="44">
        <v>359</v>
      </c>
      <c r="C370" s="49">
        <f t="shared" si="25"/>
        <v>0.06</v>
      </c>
      <c r="D370" s="50">
        <f t="shared" si="26"/>
        <v>0</v>
      </c>
      <c r="E370" s="45">
        <f t="shared" si="28"/>
        <v>-3.4197000786662102E-9</v>
      </c>
      <c r="F370" s="45">
        <f t="shared" si="27"/>
        <v>0</v>
      </c>
      <c r="G370" s="45">
        <f t="shared" si="29"/>
        <v>0</v>
      </c>
    </row>
    <row r="371" spans="2:7" x14ac:dyDescent="0.25">
      <c r="B371" s="44">
        <v>360</v>
      </c>
      <c r="C371" s="49">
        <f t="shared" si="25"/>
        <v>0.06</v>
      </c>
      <c r="D371" s="50">
        <f t="shared" si="26"/>
        <v>0</v>
      </c>
      <c r="E371" s="45">
        <f t="shared" si="28"/>
        <v>-3.4197000786662102E-9</v>
      </c>
      <c r="F371" s="45">
        <f t="shared" si="27"/>
        <v>0</v>
      </c>
      <c r="G371" s="45">
        <f t="shared" si="29"/>
        <v>0</v>
      </c>
    </row>
    <row r="372" spans="2:7" x14ac:dyDescent="0.25">
      <c r="B372" s="44">
        <v>361</v>
      </c>
      <c r="C372" s="49">
        <f t="shared" si="25"/>
        <v>0.06</v>
      </c>
      <c r="D372" s="50">
        <f t="shared" si="26"/>
        <v>0</v>
      </c>
      <c r="E372" s="45">
        <f t="shared" si="28"/>
        <v>-3.4197000786662102E-9</v>
      </c>
      <c r="F372" s="45">
        <f t="shared" si="27"/>
        <v>0</v>
      </c>
      <c r="G372" s="45">
        <f t="shared" si="29"/>
        <v>0</v>
      </c>
    </row>
    <row r="373" spans="2:7" x14ac:dyDescent="0.25">
      <c r="C373" s="49"/>
    </row>
    <row r="374" spans="2:7" x14ac:dyDescent="0.25">
      <c r="C374" s="49"/>
    </row>
    <row r="375" spans="2:7" x14ac:dyDescent="0.25">
      <c r="C375" s="49"/>
    </row>
    <row r="376" spans="2:7" x14ac:dyDescent="0.25">
      <c r="C376" s="49"/>
    </row>
    <row r="377" spans="2:7" x14ac:dyDescent="0.25">
      <c r="C377" s="49"/>
    </row>
    <row r="378" spans="2:7" x14ac:dyDescent="0.25">
      <c r="C378" s="49"/>
    </row>
    <row r="379" spans="2:7" x14ac:dyDescent="0.25">
      <c r="C379" s="49"/>
    </row>
    <row r="380" spans="2:7" x14ac:dyDescent="0.25">
      <c r="C380" s="49"/>
    </row>
    <row r="381" spans="2:7" x14ac:dyDescent="0.25">
      <c r="C381" s="49"/>
    </row>
    <row r="382" spans="2:7" x14ac:dyDescent="0.25">
      <c r="C382" s="49"/>
    </row>
    <row r="383" spans="2:7" x14ac:dyDescent="0.25">
      <c r="C383" s="49"/>
    </row>
    <row r="384" spans="2:7" x14ac:dyDescent="0.25">
      <c r="C384" s="49"/>
    </row>
    <row r="385" spans="3:3" x14ac:dyDescent="0.25">
      <c r="C385" s="49"/>
    </row>
    <row r="386" spans="3:3" x14ac:dyDescent="0.25">
      <c r="C386" s="49"/>
    </row>
    <row r="387" spans="3:3" x14ac:dyDescent="0.25">
      <c r="C387" s="49"/>
    </row>
    <row r="388" spans="3:3" x14ac:dyDescent="0.25">
      <c r="C388" s="49"/>
    </row>
    <row r="389" spans="3:3" x14ac:dyDescent="0.25">
      <c r="C389" s="49"/>
    </row>
    <row r="390" spans="3:3" x14ac:dyDescent="0.25">
      <c r="C390" s="49"/>
    </row>
    <row r="391" spans="3:3" x14ac:dyDescent="0.25">
      <c r="C391" s="49"/>
    </row>
    <row r="392" spans="3:3" x14ac:dyDescent="0.25">
      <c r="C392" s="49"/>
    </row>
    <row r="393" spans="3:3" x14ac:dyDescent="0.25">
      <c r="C393" s="49"/>
    </row>
    <row r="394" spans="3:3" x14ac:dyDescent="0.25">
      <c r="C394" s="49"/>
    </row>
    <row r="395" spans="3:3" x14ac:dyDescent="0.25">
      <c r="C395" s="49"/>
    </row>
    <row r="396" spans="3:3" x14ac:dyDescent="0.25">
      <c r="C396" s="49"/>
    </row>
    <row r="397" spans="3:3" x14ac:dyDescent="0.25">
      <c r="C397" s="49"/>
    </row>
    <row r="398" spans="3:3" x14ac:dyDescent="0.25">
      <c r="C398" s="49"/>
    </row>
    <row r="399" spans="3:3" x14ac:dyDescent="0.25">
      <c r="C399" s="49"/>
    </row>
    <row r="400" spans="3:3" x14ac:dyDescent="0.25">
      <c r="C400" s="49"/>
    </row>
    <row r="401" spans="3:3" x14ac:dyDescent="0.25">
      <c r="C401" s="49"/>
    </row>
    <row r="402" spans="3:3" x14ac:dyDescent="0.25">
      <c r="C402" s="49"/>
    </row>
    <row r="403" spans="3:3" x14ac:dyDescent="0.25">
      <c r="C403" s="49"/>
    </row>
    <row r="404" spans="3:3" x14ac:dyDescent="0.25">
      <c r="C404" s="49"/>
    </row>
    <row r="405" spans="3:3" x14ac:dyDescent="0.25">
      <c r="C405" s="49"/>
    </row>
    <row r="406" spans="3:3" x14ac:dyDescent="0.25">
      <c r="C406" s="49"/>
    </row>
    <row r="407" spans="3:3" x14ac:dyDescent="0.25">
      <c r="C407" s="49"/>
    </row>
    <row r="408" spans="3:3" x14ac:dyDescent="0.25">
      <c r="C408" s="49"/>
    </row>
    <row r="409" spans="3:3" x14ac:dyDescent="0.25">
      <c r="C409" s="49"/>
    </row>
    <row r="410" spans="3:3" x14ac:dyDescent="0.25">
      <c r="C410" s="49"/>
    </row>
    <row r="411" spans="3:3" x14ac:dyDescent="0.25">
      <c r="C411" s="49"/>
    </row>
    <row r="412" spans="3:3" x14ac:dyDescent="0.25">
      <c r="C412" s="49"/>
    </row>
    <row r="413" spans="3:3" x14ac:dyDescent="0.25">
      <c r="C413" s="49"/>
    </row>
    <row r="414" spans="3:3" x14ac:dyDescent="0.25">
      <c r="C414" s="49"/>
    </row>
    <row r="415" spans="3:3" x14ac:dyDescent="0.25">
      <c r="C415" s="49"/>
    </row>
    <row r="416" spans="3:3" x14ac:dyDescent="0.25">
      <c r="C416" s="49"/>
    </row>
    <row r="417" spans="3:3" x14ac:dyDescent="0.25">
      <c r="C417" s="49"/>
    </row>
    <row r="418" spans="3:3" x14ac:dyDescent="0.25">
      <c r="C418" s="49"/>
    </row>
    <row r="419" spans="3:3" x14ac:dyDescent="0.25">
      <c r="C419" s="49"/>
    </row>
    <row r="420" spans="3:3" x14ac:dyDescent="0.25">
      <c r="C420" s="49"/>
    </row>
    <row r="421" spans="3:3" x14ac:dyDescent="0.25">
      <c r="C421" s="49"/>
    </row>
    <row r="422" spans="3:3" x14ac:dyDescent="0.25">
      <c r="C422" s="49"/>
    </row>
    <row r="423" spans="3:3" x14ac:dyDescent="0.25">
      <c r="C423" s="49"/>
    </row>
    <row r="424" spans="3:3" x14ac:dyDescent="0.25">
      <c r="C424" s="49"/>
    </row>
    <row r="425" spans="3:3" x14ac:dyDescent="0.25">
      <c r="C425" s="49"/>
    </row>
    <row r="426" spans="3:3" x14ac:dyDescent="0.25">
      <c r="C426" s="49"/>
    </row>
    <row r="427" spans="3:3" x14ac:dyDescent="0.25">
      <c r="C427" s="49"/>
    </row>
    <row r="428" spans="3:3" x14ac:dyDescent="0.25">
      <c r="C428" s="49"/>
    </row>
    <row r="429" spans="3:3" x14ac:dyDescent="0.25">
      <c r="C429" s="49"/>
    </row>
    <row r="430" spans="3:3" x14ac:dyDescent="0.25">
      <c r="C430" s="49"/>
    </row>
    <row r="431" spans="3:3" x14ac:dyDescent="0.25">
      <c r="C431" s="49"/>
    </row>
    <row r="432" spans="3:3" x14ac:dyDescent="0.25">
      <c r="C432" s="49"/>
    </row>
    <row r="433" spans="3:3" x14ac:dyDescent="0.25">
      <c r="C433" s="49"/>
    </row>
    <row r="434" spans="3:3" x14ac:dyDescent="0.25">
      <c r="C434" s="49"/>
    </row>
    <row r="435" spans="3:3" x14ac:dyDescent="0.25">
      <c r="C435" s="49"/>
    </row>
    <row r="436" spans="3:3" x14ac:dyDescent="0.25">
      <c r="C436" s="49"/>
    </row>
    <row r="437" spans="3:3" x14ac:dyDescent="0.25">
      <c r="C437" s="49"/>
    </row>
    <row r="438" spans="3:3" x14ac:dyDescent="0.25">
      <c r="C438" s="49"/>
    </row>
    <row r="439" spans="3:3" x14ac:dyDescent="0.25">
      <c r="C439" s="49"/>
    </row>
    <row r="440" spans="3:3" x14ac:dyDescent="0.25">
      <c r="C440" s="49"/>
    </row>
    <row r="441" spans="3:3" x14ac:dyDescent="0.25">
      <c r="C441" s="49"/>
    </row>
    <row r="442" spans="3:3" x14ac:dyDescent="0.25">
      <c r="C442" s="49"/>
    </row>
    <row r="443" spans="3:3" x14ac:dyDescent="0.25">
      <c r="C443" s="49"/>
    </row>
    <row r="444" spans="3:3" x14ac:dyDescent="0.25">
      <c r="C444" s="49"/>
    </row>
    <row r="445" spans="3:3" x14ac:dyDescent="0.25">
      <c r="C445" s="49"/>
    </row>
    <row r="446" spans="3:3" x14ac:dyDescent="0.25">
      <c r="C446" s="49"/>
    </row>
    <row r="447" spans="3:3" x14ac:dyDescent="0.25">
      <c r="C447" s="49"/>
    </row>
    <row r="448" spans="3:3" x14ac:dyDescent="0.25">
      <c r="C448" s="49"/>
    </row>
    <row r="449" spans="3:3" x14ac:dyDescent="0.25">
      <c r="C449" s="49"/>
    </row>
    <row r="450" spans="3:3" x14ac:dyDescent="0.25">
      <c r="C450" s="49"/>
    </row>
    <row r="451" spans="3:3" x14ac:dyDescent="0.25">
      <c r="C451" s="49"/>
    </row>
    <row r="452" spans="3:3" x14ac:dyDescent="0.25">
      <c r="C452" s="49"/>
    </row>
    <row r="453" spans="3:3" x14ac:dyDescent="0.25">
      <c r="C453" s="49"/>
    </row>
    <row r="454" spans="3:3" x14ac:dyDescent="0.25">
      <c r="C454" s="49"/>
    </row>
    <row r="455" spans="3:3" x14ac:dyDescent="0.25">
      <c r="C455" s="49"/>
    </row>
    <row r="456" spans="3:3" x14ac:dyDescent="0.25">
      <c r="C456" s="49"/>
    </row>
    <row r="457" spans="3:3" x14ac:dyDescent="0.25">
      <c r="C457" s="49"/>
    </row>
    <row r="458" spans="3:3" x14ac:dyDescent="0.25">
      <c r="C458" s="49"/>
    </row>
    <row r="459" spans="3:3" x14ac:dyDescent="0.25">
      <c r="C459" s="49"/>
    </row>
    <row r="460" spans="3:3" x14ac:dyDescent="0.25">
      <c r="C460" s="49"/>
    </row>
    <row r="461" spans="3:3" x14ac:dyDescent="0.25">
      <c r="C461" s="49"/>
    </row>
    <row r="462" spans="3:3" x14ac:dyDescent="0.25">
      <c r="C462" s="49"/>
    </row>
    <row r="463" spans="3:3" x14ac:dyDescent="0.25">
      <c r="C463" s="49"/>
    </row>
    <row r="464" spans="3:3" x14ac:dyDescent="0.25">
      <c r="C464" s="49"/>
    </row>
    <row r="465" spans="3:3" x14ac:dyDescent="0.25">
      <c r="C465" s="49"/>
    </row>
    <row r="466" spans="3:3" x14ac:dyDescent="0.25">
      <c r="C466" s="49"/>
    </row>
    <row r="467" spans="3:3" x14ac:dyDescent="0.25">
      <c r="C467" s="49"/>
    </row>
    <row r="468" spans="3:3" x14ac:dyDescent="0.25">
      <c r="C468" s="49"/>
    </row>
    <row r="469" spans="3:3" x14ac:dyDescent="0.25">
      <c r="C469" s="49"/>
    </row>
    <row r="470" spans="3:3" x14ac:dyDescent="0.25">
      <c r="C470" s="49"/>
    </row>
    <row r="471" spans="3:3" x14ac:dyDescent="0.25">
      <c r="C471" s="49"/>
    </row>
    <row r="472" spans="3:3" x14ac:dyDescent="0.25">
      <c r="C472" s="49"/>
    </row>
    <row r="473" spans="3:3" x14ac:dyDescent="0.25">
      <c r="C473" s="49"/>
    </row>
    <row r="474" spans="3:3" x14ac:dyDescent="0.25">
      <c r="C474" s="49"/>
    </row>
    <row r="475" spans="3:3" x14ac:dyDescent="0.25">
      <c r="C475" s="49"/>
    </row>
    <row r="476" spans="3:3" x14ac:dyDescent="0.25">
      <c r="C476" s="49"/>
    </row>
    <row r="477" spans="3:3" x14ac:dyDescent="0.25">
      <c r="C477" s="49"/>
    </row>
    <row r="478" spans="3:3" x14ac:dyDescent="0.25">
      <c r="C478" s="49"/>
    </row>
    <row r="479" spans="3:3" x14ac:dyDescent="0.25">
      <c r="C479" s="49"/>
    </row>
    <row r="480" spans="3:3" x14ac:dyDescent="0.25">
      <c r="C480" s="49"/>
    </row>
    <row r="481" spans="3:3" x14ac:dyDescent="0.25">
      <c r="C481" s="49"/>
    </row>
    <row r="482" spans="3:3" x14ac:dyDescent="0.25">
      <c r="C482" s="49"/>
    </row>
    <row r="483" spans="3:3" x14ac:dyDescent="0.25">
      <c r="C483" s="49"/>
    </row>
    <row r="484" spans="3:3" x14ac:dyDescent="0.25">
      <c r="C484" s="49"/>
    </row>
    <row r="485" spans="3:3" x14ac:dyDescent="0.25">
      <c r="C485" s="49"/>
    </row>
    <row r="486" spans="3:3" x14ac:dyDescent="0.25">
      <c r="C486" s="49"/>
    </row>
    <row r="487" spans="3:3" x14ac:dyDescent="0.25">
      <c r="C487" s="49"/>
    </row>
    <row r="488" spans="3:3" x14ac:dyDescent="0.25">
      <c r="C488" s="49"/>
    </row>
    <row r="489" spans="3:3" x14ac:dyDescent="0.25">
      <c r="C489" s="49"/>
    </row>
    <row r="490" spans="3:3" x14ac:dyDescent="0.25">
      <c r="C490" s="49"/>
    </row>
    <row r="491" spans="3:3" x14ac:dyDescent="0.25">
      <c r="C491" s="49"/>
    </row>
    <row r="492" spans="3:3" x14ac:dyDescent="0.25">
      <c r="C492" s="49"/>
    </row>
    <row r="493" spans="3:3" x14ac:dyDescent="0.25">
      <c r="C493" s="49"/>
    </row>
    <row r="494" spans="3:3" x14ac:dyDescent="0.25">
      <c r="C494" s="49"/>
    </row>
    <row r="495" spans="3:3" x14ac:dyDescent="0.25">
      <c r="C495" s="49"/>
    </row>
    <row r="496" spans="3:3" x14ac:dyDescent="0.25">
      <c r="C496" s="49"/>
    </row>
    <row r="497" spans="3:3" x14ac:dyDescent="0.25">
      <c r="C497" s="49"/>
    </row>
  </sheetData>
  <sheetProtection password="CC5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 на весь срок</vt:lpstr>
      <vt:lpstr>льготный период</vt:lpstr>
      <vt:lpstr>справочники</vt:lpstr>
      <vt:lpstr>Комбо-ипотека</vt:lpstr>
      <vt:lpstr>Ставка мечты</vt:lpstr>
      <vt:lpstr>Комбо (с субсидир от Застройщ)</vt:lpstr>
      <vt:lpstr>Комбо (со средневзв. ставкой)</vt:lpstr>
      <vt:lpstr>Комбо2</vt:lpstr>
      <vt:lpstr>график</vt:lpstr>
      <vt:lpstr>справочники!_ftn1</vt:lpstr>
      <vt:lpstr>справочники!_ftnref1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2024-08-05T15:33:32Z</dcterms:modified>
</cp:coreProperties>
</file>